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19020" windowHeight="11595" tabRatio="950"/>
  </bookViews>
  <sheets>
    <sheet name="SUMMARY OF FORMULA GRANT" sheetId="7" r:id="rId1"/>
    <sheet name="NCLB Title I-A Formula" sheetId="1" r:id="rId2"/>
    <sheet name="NCLB Title I-C Migrant" sheetId="8" r:id="rId3"/>
    <sheet name="NCLB Title I-C Migrant Summer" sheetId="13" r:id="rId4"/>
    <sheet name="NCLB Title I-Delinquent" sheetId="10" r:id="rId5"/>
    <sheet name="StateAgenciesTitle I-Delinquent" sheetId="11" r:id="rId6"/>
    <sheet name="NCLB Title II-A Formula" sheetId="14" r:id="rId7"/>
    <sheet name="NCLB Title III-A" sheetId="3" r:id="rId8"/>
    <sheet name="NCLB Title III SAI" sheetId="4" r:id="rId9"/>
    <sheet name="TITLE VI RURAL LI" sheetId="5" r:id="rId10"/>
    <sheet name="Sheet1" sheetId="12" state="hidden" r:id="rId11"/>
  </sheets>
  <definedNames>
    <definedName name="_xlnm._FilterDatabase" localSheetId="1" hidden="1">'NCLB Title I-A Formula'!$A$13:$AM$198</definedName>
    <definedName name="_xlnm._FilterDatabase" localSheetId="7" hidden="1">'NCLB Title III-A'!$A$9:$AJ$202</definedName>
  </definedNames>
  <calcPr calcId="145621"/>
</workbook>
</file>

<file path=xl/calcChain.xml><?xml version="1.0" encoding="utf-8"?>
<calcChain xmlns="http://schemas.openxmlformats.org/spreadsheetml/2006/main">
  <c r="Y91" i="14" l="1"/>
  <c r="F20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14" i="4"/>
  <c r="AX204" i="4"/>
  <c r="AW204" i="4"/>
  <c r="F203" i="4" l="1"/>
  <c r="AV204" i="4"/>
  <c r="AU204" i="4"/>
  <c r="AT204" i="4"/>
  <c r="AS204" i="4"/>
  <c r="AR204" i="4"/>
  <c r="AP204" i="4"/>
  <c r="AO204" i="4"/>
  <c r="AN204" i="4"/>
  <c r="AM204" i="4"/>
  <c r="AL204" i="4"/>
  <c r="AQ204" i="4"/>
  <c r="AM1" i="4"/>
  <c r="AK204" i="4"/>
  <c r="AH204" i="3" l="1"/>
  <c r="AJ204" i="4" l="1"/>
  <c r="AI204" i="4"/>
  <c r="AD68" i="1" l="1"/>
  <c r="AE28" i="4" l="1"/>
  <c r="AC154" i="5"/>
  <c r="AE14" i="4"/>
  <c r="AE125" i="14"/>
  <c r="AC26" i="4"/>
  <c r="AC188" i="1" l="1"/>
  <c r="AB48" i="1"/>
  <c r="X23" i="10"/>
  <c r="Z25" i="1"/>
  <c r="Z16" i="3"/>
  <c r="Z25" i="14"/>
  <c r="C85" i="3" l="1"/>
  <c r="M127" i="3" l="1"/>
  <c r="Q123" i="3"/>
  <c r="N55" i="3"/>
  <c r="C134" i="3" l="1"/>
  <c r="C127" i="3"/>
  <c r="C55" i="3"/>
  <c r="W146" i="5" l="1"/>
  <c r="Y1" i="11" l="1"/>
  <c r="Y115" i="14" l="1"/>
  <c r="K15" i="13"/>
  <c r="X91" i="3"/>
  <c r="X91" i="14"/>
  <c r="X91" i="1"/>
  <c r="X147" i="1"/>
  <c r="L200" i="14" l="1"/>
  <c r="X103" i="3" l="1"/>
  <c r="X204" i="3" s="1"/>
  <c r="X20" i="14"/>
  <c r="V200" i="8"/>
  <c r="X45" i="1"/>
  <c r="X20" i="1"/>
  <c r="X188" i="1"/>
  <c r="W181" i="3"/>
  <c r="Y204" i="3"/>
  <c r="U129" i="5"/>
  <c r="W130" i="14" l="1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4" i="8"/>
  <c r="D195" i="8"/>
  <c r="D196" i="8"/>
  <c r="D26" i="8"/>
  <c r="W130" i="1"/>
  <c r="U200" i="8"/>
  <c r="V76" i="14"/>
  <c r="T98" i="10"/>
  <c r="V76" i="1" l="1"/>
  <c r="F189" i="7" l="1"/>
  <c r="F191" i="7"/>
  <c r="F192" i="7"/>
  <c r="V155" i="14" l="1"/>
  <c r="V200" i="14" s="1"/>
  <c r="AH200" i="14"/>
  <c r="AG200" i="14"/>
  <c r="AF200" i="14"/>
  <c r="AE200" i="14"/>
  <c r="AD200" i="14"/>
  <c r="AC200" i="14"/>
  <c r="AB200" i="14"/>
  <c r="AA200" i="14"/>
  <c r="Z200" i="14"/>
  <c r="Y200" i="14"/>
  <c r="X200" i="14"/>
  <c r="W200" i="14"/>
  <c r="T200" i="14"/>
  <c r="N200" i="14"/>
  <c r="M200" i="14"/>
  <c r="K200" i="14"/>
  <c r="J200" i="14"/>
  <c r="I200" i="14"/>
  <c r="H200" i="14"/>
  <c r="D200" i="14"/>
  <c r="F198" i="14"/>
  <c r="F197" i="14"/>
  <c r="F196" i="14"/>
  <c r="F195" i="14"/>
  <c r="F194" i="14"/>
  <c r="F193" i="14"/>
  <c r="G193" i="14" s="1"/>
  <c r="F183" i="7" s="1"/>
  <c r="F192" i="14"/>
  <c r="G192" i="14" s="1"/>
  <c r="F182" i="7" s="1"/>
  <c r="F191" i="14"/>
  <c r="E191" i="14"/>
  <c r="G191" i="14" s="1"/>
  <c r="F181" i="7" s="1"/>
  <c r="F190" i="14"/>
  <c r="E190" i="14"/>
  <c r="G190" i="14" s="1"/>
  <c r="F180" i="7" s="1"/>
  <c r="F189" i="14"/>
  <c r="G189" i="14" s="1"/>
  <c r="F179" i="7" s="1"/>
  <c r="F188" i="14"/>
  <c r="G188" i="14" s="1"/>
  <c r="F178" i="7" s="1"/>
  <c r="F187" i="14"/>
  <c r="E187" i="14"/>
  <c r="G187" i="14" s="1"/>
  <c r="F177" i="7" s="1"/>
  <c r="F186" i="14"/>
  <c r="E186" i="14"/>
  <c r="G186" i="14" s="1"/>
  <c r="F176" i="7" s="1"/>
  <c r="F185" i="14"/>
  <c r="E185" i="14"/>
  <c r="G185" i="14" s="1"/>
  <c r="F175" i="7" s="1"/>
  <c r="F184" i="14"/>
  <c r="G184" i="14" s="1"/>
  <c r="F174" i="7" s="1"/>
  <c r="F183" i="14"/>
  <c r="G183" i="14" s="1"/>
  <c r="F173" i="7" s="1"/>
  <c r="F182" i="14"/>
  <c r="E182" i="14"/>
  <c r="G182" i="14" s="1"/>
  <c r="F172" i="7" s="1"/>
  <c r="F181" i="14"/>
  <c r="G181" i="14" s="1"/>
  <c r="F171" i="7" s="1"/>
  <c r="F180" i="14"/>
  <c r="G180" i="14" s="1"/>
  <c r="F170" i="7" s="1"/>
  <c r="F179" i="14"/>
  <c r="G179" i="14" s="1"/>
  <c r="F169" i="7" s="1"/>
  <c r="F178" i="14"/>
  <c r="G178" i="14" s="1"/>
  <c r="F168" i="7" s="1"/>
  <c r="F177" i="14"/>
  <c r="G177" i="14" s="1"/>
  <c r="F167" i="7" s="1"/>
  <c r="F176" i="14"/>
  <c r="E176" i="14"/>
  <c r="G176" i="14" s="1"/>
  <c r="F166" i="7" s="1"/>
  <c r="F175" i="14"/>
  <c r="E175" i="14"/>
  <c r="G175" i="14" s="1"/>
  <c r="F165" i="7" s="1"/>
  <c r="F174" i="14"/>
  <c r="E174" i="14"/>
  <c r="G174" i="14" s="1"/>
  <c r="F164" i="7" s="1"/>
  <c r="F173" i="14"/>
  <c r="E173" i="14"/>
  <c r="G173" i="14" s="1"/>
  <c r="F163" i="7" s="1"/>
  <c r="F172" i="14"/>
  <c r="E172" i="14"/>
  <c r="G172" i="14" s="1"/>
  <c r="F162" i="7" s="1"/>
  <c r="F171" i="14"/>
  <c r="G171" i="14" s="1"/>
  <c r="F161" i="7" s="1"/>
  <c r="F170" i="14"/>
  <c r="G170" i="14" s="1"/>
  <c r="F160" i="7" s="1"/>
  <c r="F169" i="14"/>
  <c r="G169" i="14" s="1"/>
  <c r="F159" i="7" s="1"/>
  <c r="F168" i="14"/>
  <c r="G168" i="14" s="1"/>
  <c r="F158" i="7" s="1"/>
  <c r="F167" i="14"/>
  <c r="E167" i="14"/>
  <c r="G167" i="14" s="1"/>
  <c r="F157" i="7" s="1"/>
  <c r="F166" i="14"/>
  <c r="E166" i="14"/>
  <c r="G166" i="14" s="1"/>
  <c r="F156" i="7" s="1"/>
  <c r="F165" i="14"/>
  <c r="G165" i="14" s="1"/>
  <c r="F155" i="7" s="1"/>
  <c r="F164" i="14"/>
  <c r="G164" i="14" s="1"/>
  <c r="F154" i="7" s="1"/>
  <c r="F163" i="14"/>
  <c r="G163" i="14" s="1"/>
  <c r="F153" i="7" s="1"/>
  <c r="F162" i="14"/>
  <c r="G162" i="14" s="1"/>
  <c r="F152" i="7" s="1"/>
  <c r="F161" i="14"/>
  <c r="G161" i="14" s="1"/>
  <c r="F151" i="7" s="1"/>
  <c r="S160" i="14"/>
  <c r="F160" i="14" s="1"/>
  <c r="G160" i="14" s="1"/>
  <c r="F150" i="7" s="1"/>
  <c r="F159" i="14"/>
  <c r="E159" i="14"/>
  <c r="G159" i="14" s="1"/>
  <c r="F149" i="7" s="1"/>
  <c r="F158" i="14"/>
  <c r="G158" i="14" s="1"/>
  <c r="F148" i="7" s="1"/>
  <c r="F157" i="14"/>
  <c r="E157" i="14"/>
  <c r="G157" i="14" s="1"/>
  <c r="F147" i="7" s="1"/>
  <c r="F156" i="14"/>
  <c r="G156" i="14" s="1"/>
  <c r="F146" i="7" s="1"/>
  <c r="F154" i="14"/>
  <c r="G154" i="14" s="1"/>
  <c r="F144" i="7" s="1"/>
  <c r="F153" i="14"/>
  <c r="E153" i="14"/>
  <c r="G153" i="14" s="1"/>
  <c r="F143" i="7" s="1"/>
  <c r="F152" i="14"/>
  <c r="G152" i="14" s="1"/>
  <c r="F142" i="7" s="1"/>
  <c r="F151" i="14"/>
  <c r="G151" i="14" s="1"/>
  <c r="F141" i="7" s="1"/>
  <c r="F150" i="14"/>
  <c r="G150" i="14" s="1"/>
  <c r="F140" i="7" s="1"/>
  <c r="F149" i="14"/>
  <c r="G149" i="14" s="1"/>
  <c r="F139" i="7" s="1"/>
  <c r="F148" i="14"/>
  <c r="G148" i="14" s="1"/>
  <c r="F138" i="7" s="1"/>
  <c r="U147" i="14"/>
  <c r="Q147" i="14"/>
  <c r="P147" i="14"/>
  <c r="F146" i="14"/>
  <c r="G146" i="14" s="1"/>
  <c r="F136" i="7" s="1"/>
  <c r="F145" i="14"/>
  <c r="G145" i="14" s="1"/>
  <c r="F135" i="7" s="1"/>
  <c r="F144" i="14"/>
  <c r="E144" i="14"/>
  <c r="G144" i="14" s="1"/>
  <c r="F134" i="7" s="1"/>
  <c r="F143" i="14"/>
  <c r="G143" i="14" s="1"/>
  <c r="F133" i="7" s="1"/>
  <c r="F142" i="14"/>
  <c r="G142" i="14" s="1"/>
  <c r="F132" i="7" s="1"/>
  <c r="F141" i="14"/>
  <c r="G141" i="14" s="1"/>
  <c r="F131" i="7" s="1"/>
  <c r="F140" i="14"/>
  <c r="G140" i="14" s="1"/>
  <c r="F130" i="7" s="1"/>
  <c r="F139" i="14"/>
  <c r="G139" i="14" s="1"/>
  <c r="F129" i="7" s="1"/>
  <c r="F138" i="14"/>
  <c r="G138" i="14" s="1"/>
  <c r="F128" i="7" s="1"/>
  <c r="F137" i="14"/>
  <c r="G137" i="14" s="1"/>
  <c r="F127" i="7" s="1"/>
  <c r="F136" i="14"/>
  <c r="G136" i="14" s="1"/>
  <c r="F126" i="7" s="1"/>
  <c r="F135" i="14"/>
  <c r="G135" i="14" s="1"/>
  <c r="F125" i="7" s="1"/>
  <c r="F134" i="14"/>
  <c r="G134" i="14" s="1"/>
  <c r="F124" i="7" s="1"/>
  <c r="Q133" i="14"/>
  <c r="F133" i="14" s="1"/>
  <c r="G133" i="14" s="1"/>
  <c r="F123" i="7" s="1"/>
  <c r="F132" i="14"/>
  <c r="E132" i="14"/>
  <c r="G132" i="14" s="1"/>
  <c r="F122" i="7" s="1"/>
  <c r="F131" i="14"/>
  <c r="E131" i="14"/>
  <c r="G131" i="14" s="1"/>
  <c r="F121" i="7" s="1"/>
  <c r="F130" i="14"/>
  <c r="G130" i="14" s="1"/>
  <c r="F120" i="7" s="1"/>
  <c r="F129" i="14"/>
  <c r="E129" i="14"/>
  <c r="G129" i="14" s="1"/>
  <c r="F119" i="7" s="1"/>
  <c r="F128" i="14"/>
  <c r="G128" i="14" s="1"/>
  <c r="F118" i="7" s="1"/>
  <c r="F127" i="14"/>
  <c r="G127" i="14" s="1"/>
  <c r="F117" i="7" s="1"/>
  <c r="F126" i="14"/>
  <c r="G126" i="14" s="1"/>
  <c r="F116" i="7" s="1"/>
  <c r="F125" i="14"/>
  <c r="G125" i="14" s="1"/>
  <c r="F115" i="7" s="1"/>
  <c r="F124" i="14"/>
  <c r="G124" i="14" s="1"/>
  <c r="F114" i="7" s="1"/>
  <c r="F123" i="14"/>
  <c r="G123" i="14" s="1"/>
  <c r="F113" i="7" s="1"/>
  <c r="F122" i="14"/>
  <c r="G122" i="14" s="1"/>
  <c r="F112" i="7" s="1"/>
  <c r="U121" i="14"/>
  <c r="F120" i="14"/>
  <c r="G120" i="14" s="1"/>
  <c r="F110" i="7" s="1"/>
  <c r="F119" i="14"/>
  <c r="G119" i="14" s="1"/>
  <c r="F109" i="7" s="1"/>
  <c r="F118" i="14"/>
  <c r="E118" i="14"/>
  <c r="G118" i="14" s="1"/>
  <c r="F108" i="7" s="1"/>
  <c r="F117" i="14"/>
  <c r="G117" i="14" s="1"/>
  <c r="F107" i="7" s="1"/>
  <c r="F116" i="14"/>
  <c r="E116" i="14"/>
  <c r="G116" i="14" s="1"/>
  <c r="F106" i="7" s="1"/>
  <c r="F115" i="14"/>
  <c r="G115" i="14" s="1"/>
  <c r="F105" i="7" s="1"/>
  <c r="F114" i="14"/>
  <c r="E114" i="14"/>
  <c r="G114" i="14" s="1"/>
  <c r="F104" i="7" s="1"/>
  <c r="F113" i="14"/>
  <c r="E113" i="14"/>
  <c r="G113" i="14" s="1"/>
  <c r="F103" i="7" s="1"/>
  <c r="F112" i="14"/>
  <c r="E112" i="14"/>
  <c r="G112" i="14" s="1"/>
  <c r="F102" i="7" s="1"/>
  <c r="F111" i="14"/>
  <c r="G111" i="14" s="1"/>
  <c r="F101" i="7" s="1"/>
  <c r="F110" i="14"/>
  <c r="G110" i="14" s="1"/>
  <c r="F100" i="7" s="1"/>
  <c r="F109" i="14"/>
  <c r="G109" i="14" s="1"/>
  <c r="F99" i="7" s="1"/>
  <c r="F108" i="14"/>
  <c r="G108" i="14" s="1"/>
  <c r="F98" i="7" s="1"/>
  <c r="F107" i="14"/>
  <c r="G107" i="14" s="1"/>
  <c r="F97" i="7" s="1"/>
  <c r="F106" i="14"/>
  <c r="G106" i="14" s="1"/>
  <c r="F96" i="7" s="1"/>
  <c r="F105" i="14"/>
  <c r="G105" i="14" s="1"/>
  <c r="F95" i="7" s="1"/>
  <c r="S104" i="14"/>
  <c r="O104" i="14"/>
  <c r="F103" i="14"/>
  <c r="G103" i="14" s="1"/>
  <c r="F93" i="7" s="1"/>
  <c r="F102" i="14"/>
  <c r="G102" i="14" s="1"/>
  <c r="F92" i="7" s="1"/>
  <c r="F101" i="14"/>
  <c r="G101" i="14" s="1"/>
  <c r="F91" i="7" s="1"/>
  <c r="F100" i="14"/>
  <c r="G100" i="14" s="1"/>
  <c r="F90" i="7" s="1"/>
  <c r="F99" i="14"/>
  <c r="G99" i="14" s="1"/>
  <c r="F89" i="7" s="1"/>
  <c r="F98" i="14"/>
  <c r="E98" i="14"/>
  <c r="G98" i="14" s="1"/>
  <c r="F88" i="7" s="1"/>
  <c r="F97" i="14"/>
  <c r="E97" i="14"/>
  <c r="G97" i="14" s="1"/>
  <c r="F87" i="7" s="1"/>
  <c r="F96" i="14"/>
  <c r="E96" i="14"/>
  <c r="G96" i="14" s="1"/>
  <c r="F86" i="7" s="1"/>
  <c r="F95" i="14"/>
  <c r="E95" i="14"/>
  <c r="G95" i="14" s="1"/>
  <c r="F85" i="7" s="1"/>
  <c r="F94" i="14"/>
  <c r="E94" i="14"/>
  <c r="G94" i="14" s="1"/>
  <c r="F84" i="7" s="1"/>
  <c r="F93" i="14"/>
  <c r="G93" i="14" s="1"/>
  <c r="F83" i="7" s="1"/>
  <c r="F92" i="14"/>
  <c r="G92" i="14" s="1"/>
  <c r="F82" i="7" s="1"/>
  <c r="F91" i="14"/>
  <c r="G91" i="14" s="1"/>
  <c r="F81" i="7" s="1"/>
  <c r="F90" i="14"/>
  <c r="E90" i="14"/>
  <c r="G90" i="14" s="1"/>
  <c r="F80" i="7" s="1"/>
  <c r="F89" i="14"/>
  <c r="G89" i="14" s="1"/>
  <c r="F79" i="7" s="1"/>
  <c r="F88" i="14"/>
  <c r="G88" i="14" s="1"/>
  <c r="F78" i="7" s="1"/>
  <c r="F87" i="14"/>
  <c r="G87" i="14" s="1"/>
  <c r="F77" i="7" s="1"/>
  <c r="F86" i="14"/>
  <c r="G86" i="14" s="1"/>
  <c r="F76" i="7" s="1"/>
  <c r="F85" i="14"/>
  <c r="G85" i="14" s="1"/>
  <c r="F75" i="7" s="1"/>
  <c r="F84" i="14"/>
  <c r="G84" i="14" s="1"/>
  <c r="F74" i="7" s="1"/>
  <c r="F83" i="14"/>
  <c r="G83" i="14" s="1"/>
  <c r="F73" i="7" s="1"/>
  <c r="F82" i="14"/>
  <c r="G82" i="14" s="1"/>
  <c r="F72" i="7" s="1"/>
  <c r="F81" i="14"/>
  <c r="G81" i="14" s="1"/>
  <c r="F71" i="7" s="1"/>
  <c r="F80" i="14"/>
  <c r="G80" i="14" s="1"/>
  <c r="F70" i="7" s="1"/>
  <c r="F79" i="14"/>
  <c r="G79" i="14" s="1"/>
  <c r="F69" i="7" s="1"/>
  <c r="Q78" i="14"/>
  <c r="F78" i="14" s="1"/>
  <c r="G78" i="14" s="1"/>
  <c r="F68" i="7" s="1"/>
  <c r="U77" i="14"/>
  <c r="F77" i="14" s="1"/>
  <c r="G77" i="14" s="1"/>
  <c r="F67" i="7" s="1"/>
  <c r="F76" i="14"/>
  <c r="G76" i="14" s="1"/>
  <c r="F66" i="7" s="1"/>
  <c r="F75" i="14"/>
  <c r="G75" i="14" s="1"/>
  <c r="F65" i="7" s="1"/>
  <c r="F74" i="14"/>
  <c r="G74" i="14" s="1"/>
  <c r="F64" i="7" s="1"/>
  <c r="F73" i="14"/>
  <c r="G73" i="14" s="1"/>
  <c r="F63" i="7" s="1"/>
  <c r="F72" i="14"/>
  <c r="G72" i="14" s="1"/>
  <c r="F62" i="7" s="1"/>
  <c r="F71" i="14"/>
  <c r="G71" i="14" s="1"/>
  <c r="F61" i="7" s="1"/>
  <c r="F70" i="14"/>
  <c r="G70" i="14" s="1"/>
  <c r="F60" i="7" s="1"/>
  <c r="F69" i="14"/>
  <c r="G69" i="14" s="1"/>
  <c r="F59" i="7" s="1"/>
  <c r="F68" i="14"/>
  <c r="G68" i="14" s="1"/>
  <c r="F58" i="7" s="1"/>
  <c r="F67" i="14"/>
  <c r="G67" i="14" s="1"/>
  <c r="F57" i="7" s="1"/>
  <c r="F66" i="14"/>
  <c r="G66" i="14" s="1"/>
  <c r="F56" i="7" s="1"/>
  <c r="F65" i="14"/>
  <c r="G65" i="14" s="1"/>
  <c r="F55" i="7" s="1"/>
  <c r="F64" i="14"/>
  <c r="G64" i="14" s="1"/>
  <c r="F54" i="7" s="1"/>
  <c r="F63" i="14"/>
  <c r="G63" i="14" s="1"/>
  <c r="F53" i="7" s="1"/>
  <c r="F62" i="14"/>
  <c r="G62" i="14" s="1"/>
  <c r="F52" i="7" s="1"/>
  <c r="F61" i="14"/>
  <c r="E61" i="14"/>
  <c r="G61" i="14" s="1"/>
  <c r="F51" i="7" s="1"/>
  <c r="F60" i="14"/>
  <c r="G60" i="14" s="1"/>
  <c r="F50" i="7" s="1"/>
  <c r="F59" i="14"/>
  <c r="G59" i="14" s="1"/>
  <c r="F49" i="7" s="1"/>
  <c r="F58" i="14"/>
  <c r="E58" i="14"/>
  <c r="G58" i="14" s="1"/>
  <c r="F48" i="7" s="1"/>
  <c r="F57" i="14"/>
  <c r="G57" i="14" s="1"/>
  <c r="F47" i="7" s="1"/>
  <c r="F56" i="14"/>
  <c r="G56" i="14" s="1"/>
  <c r="F46" i="7" s="1"/>
  <c r="F55" i="14"/>
  <c r="G55" i="14" s="1"/>
  <c r="F45" i="7" s="1"/>
  <c r="F54" i="14"/>
  <c r="G54" i="14" s="1"/>
  <c r="F44" i="7" s="1"/>
  <c r="F53" i="14"/>
  <c r="G53" i="14" s="1"/>
  <c r="F43" i="7" s="1"/>
  <c r="F52" i="14"/>
  <c r="G52" i="14" s="1"/>
  <c r="F42" i="7" s="1"/>
  <c r="F51" i="14"/>
  <c r="G51" i="14" s="1"/>
  <c r="F41" i="7" s="1"/>
  <c r="F50" i="14"/>
  <c r="G50" i="14" s="1"/>
  <c r="F40" i="7" s="1"/>
  <c r="R49" i="14"/>
  <c r="P49" i="14"/>
  <c r="F48" i="14"/>
  <c r="G48" i="14" s="1"/>
  <c r="F38" i="7" s="1"/>
  <c r="F47" i="14"/>
  <c r="G47" i="14" s="1"/>
  <c r="F37" i="7" s="1"/>
  <c r="F46" i="14"/>
  <c r="G46" i="14" s="1"/>
  <c r="F36" i="7" s="1"/>
  <c r="F45" i="14"/>
  <c r="G45" i="14" s="1"/>
  <c r="F35" i="7" s="1"/>
  <c r="F44" i="14"/>
  <c r="G44" i="14" s="1"/>
  <c r="F34" i="7" s="1"/>
  <c r="F43" i="14"/>
  <c r="E43" i="14"/>
  <c r="G43" i="14" s="1"/>
  <c r="F33" i="7" s="1"/>
  <c r="F42" i="14"/>
  <c r="G42" i="14" s="1"/>
  <c r="F32" i="7" s="1"/>
  <c r="O41" i="14"/>
  <c r="F40" i="14"/>
  <c r="G40" i="14" s="1"/>
  <c r="F30" i="7" s="1"/>
  <c r="F39" i="14"/>
  <c r="G39" i="14" s="1"/>
  <c r="F29" i="7" s="1"/>
  <c r="F38" i="14"/>
  <c r="G38" i="14" s="1"/>
  <c r="F28" i="7" s="1"/>
  <c r="F37" i="14"/>
  <c r="G37" i="14" s="1"/>
  <c r="F27" i="7" s="1"/>
  <c r="F36" i="14"/>
  <c r="G36" i="14" s="1"/>
  <c r="F26" i="7" s="1"/>
  <c r="F35" i="14"/>
  <c r="G35" i="14" s="1"/>
  <c r="F25" i="7" s="1"/>
  <c r="F34" i="14"/>
  <c r="G34" i="14" s="1"/>
  <c r="F24" i="7" s="1"/>
  <c r="F33" i="14"/>
  <c r="G33" i="14" s="1"/>
  <c r="F23" i="7" s="1"/>
  <c r="F32" i="14"/>
  <c r="G32" i="14" s="1"/>
  <c r="F22" i="7" s="1"/>
  <c r="F31" i="14"/>
  <c r="G31" i="14" s="1"/>
  <c r="F21" i="7" s="1"/>
  <c r="F30" i="14"/>
  <c r="G30" i="14" s="1"/>
  <c r="F20" i="7" s="1"/>
  <c r="F29" i="14"/>
  <c r="E29" i="14"/>
  <c r="G29" i="14" s="1"/>
  <c r="F19" i="7" s="1"/>
  <c r="F28" i="14"/>
  <c r="G28" i="14" s="1"/>
  <c r="F18" i="7" s="1"/>
  <c r="F27" i="14"/>
  <c r="E27" i="14"/>
  <c r="G27" i="14" s="1"/>
  <c r="F17" i="7" s="1"/>
  <c r="P26" i="14"/>
  <c r="F26" i="14" s="1"/>
  <c r="G26" i="14" s="1"/>
  <c r="F16" i="7" s="1"/>
  <c r="F25" i="14"/>
  <c r="G25" i="14" s="1"/>
  <c r="F15" i="7" s="1"/>
  <c r="F24" i="14"/>
  <c r="G24" i="14" s="1"/>
  <c r="F14" i="7" s="1"/>
  <c r="R23" i="14"/>
  <c r="F22" i="14"/>
  <c r="G22" i="14" s="1"/>
  <c r="F12" i="7" s="1"/>
  <c r="F21" i="14"/>
  <c r="G21" i="14" s="1"/>
  <c r="F11" i="7" s="1"/>
  <c r="F20" i="14"/>
  <c r="G20" i="14" s="1"/>
  <c r="F10" i="7" s="1"/>
  <c r="F19" i="14"/>
  <c r="E19" i="14"/>
  <c r="G19" i="14" s="1"/>
  <c r="F9" i="7" s="1"/>
  <c r="F18" i="14"/>
  <c r="E18" i="14"/>
  <c r="C195" i="14" s="1"/>
  <c r="F17" i="14"/>
  <c r="G17" i="14" s="1"/>
  <c r="F7" i="7" s="1"/>
  <c r="F16" i="14"/>
  <c r="G16" i="14" s="1"/>
  <c r="F6" i="7" s="1"/>
  <c r="F15" i="14"/>
  <c r="G15" i="14" s="1"/>
  <c r="F5" i="7" s="1"/>
  <c r="F14" i="14"/>
  <c r="G14" i="14" s="1"/>
  <c r="F4" i="7" s="1"/>
  <c r="C4" i="14"/>
  <c r="K2" i="14" s="1"/>
  <c r="AN1" i="14"/>
  <c r="AA1" i="14"/>
  <c r="S1" i="14"/>
  <c r="K1" i="14"/>
  <c r="J1" i="14"/>
  <c r="F104" i="14" l="1"/>
  <c r="G104" i="14" s="1"/>
  <c r="F94" i="7" s="1"/>
  <c r="C198" i="14"/>
  <c r="G198" i="14" s="1"/>
  <c r="F188" i="7" s="1"/>
  <c r="R200" i="14"/>
  <c r="U200" i="14"/>
  <c r="F147" i="14"/>
  <c r="G147" i="14" s="1"/>
  <c r="F137" i="7" s="1"/>
  <c r="Q200" i="14"/>
  <c r="AA2" i="14"/>
  <c r="S2" i="14"/>
  <c r="F121" i="14"/>
  <c r="G121" i="14" s="1"/>
  <c r="F111" i="7" s="1"/>
  <c r="P200" i="14"/>
  <c r="F49" i="14"/>
  <c r="G49" i="14" s="1"/>
  <c r="F39" i="7" s="1"/>
  <c r="F155" i="14"/>
  <c r="G155" i="14" s="1"/>
  <c r="F145" i="7" s="1"/>
  <c r="G18" i="14"/>
  <c r="F8" i="7" s="1"/>
  <c r="F23" i="14"/>
  <c r="G23" i="14" s="1"/>
  <c r="F13" i="7" s="1"/>
  <c r="O200" i="14"/>
  <c r="F41" i="14"/>
  <c r="G41" i="14" s="1"/>
  <c r="F31" i="7" s="1"/>
  <c r="C196" i="14"/>
  <c r="G196" i="14" s="1"/>
  <c r="F186" i="7" s="1"/>
  <c r="E200" i="14"/>
  <c r="C197" i="14"/>
  <c r="G197" i="14" s="1"/>
  <c r="F187" i="7" s="1"/>
  <c r="G195" i="14"/>
  <c r="F185" i="7" s="1"/>
  <c r="C194" i="14"/>
  <c r="G194" i="14" s="1"/>
  <c r="F184" i="7" s="1"/>
  <c r="S200" i="14"/>
  <c r="S119" i="8"/>
  <c r="G200" i="14" l="1"/>
  <c r="C200" i="14"/>
  <c r="F200" i="14"/>
  <c r="V16" i="1"/>
  <c r="S146" i="5" l="1"/>
  <c r="S76" i="5"/>
  <c r="S75" i="10"/>
  <c r="U147" i="1"/>
  <c r="U120" i="1"/>
  <c r="U77" i="1"/>
  <c r="U188" i="1" l="1"/>
  <c r="U121" i="1"/>
  <c r="U106" i="1" l="1"/>
  <c r="C15" i="13" l="1"/>
  <c r="I15" i="13"/>
  <c r="H15" i="13"/>
  <c r="G15" i="13"/>
  <c r="F15" i="13"/>
  <c r="J15" i="13"/>
  <c r="D13" i="13"/>
  <c r="E13" i="13" s="1"/>
  <c r="D12" i="13"/>
  <c r="E12" i="13" s="1"/>
  <c r="D11" i="13"/>
  <c r="E11" i="13" s="1"/>
  <c r="D15" i="13" l="1"/>
  <c r="R119" i="8"/>
  <c r="S151" i="1" l="1"/>
  <c r="S104" i="1"/>
  <c r="P11" i="11" l="1"/>
  <c r="R49" i="1" l="1"/>
  <c r="R23" i="1"/>
  <c r="P119" i="8" l="1"/>
  <c r="Q147" i="1" l="1"/>
  <c r="O51" i="10" l="1"/>
  <c r="Q188" i="1" l="1"/>
  <c r="Q133" i="1"/>
  <c r="Q78" i="1"/>
  <c r="O193" i="8" l="1"/>
  <c r="D193" i="8" s="1"/>
  <c r="O63" i="3" l="1"/>
  <c r="P49" i="1" l="1"/>
  <c r="N146" i="5" l="1"/>
  <c r="E191" i="3" l="1"/>
  <c r="E172" i="3"/>
  <c r="E70" i="3"/>
  <c r="E27" i="3"/>
  <c r="M119" i="8" l="1"/>
  <c r="D119" i="8" s="1"/>
  <c r="M64" i="10" l="1"/>
  <c r="O162" i="1" l="1"/>
  <c r="O115" i="1"/>
  <c r="O104" i="1"/>
  <c r="O99" i="1"/>
  <c r="O66" i="1"/>
  <c r="E190" i="3" l="1"/>
  <c r="E189" i="3"/>
  <c r="E184" i="3"/>
  <c r="E182" i="3"/>
  <c r="E179" i="3"/>
  <c r="E177" i="3"/>
  <c r="E176" i="3"/>
  <c r="E175" i="3"/>
  <c r="E171" i="3"/>
  <c r="E166" i="3"/>
  <c r="E165" i="3"/>
  <c r="E163" i="3"/>
  <c r="E161" i="3"/>
  <c r="E159" i="3"/>
  <c r="E157" i="3"/>
  <c r="E156" i="3"/>
  <c r="E154" i="3"/>
  <c r="E152" i="3"/>
  <c r="E148" i="3"/>
  <c r="E147" i="3"/>
  <c r="E146" i="3"/>
  <c r="E143" i="3"/>
  <c r="E140" i="3"/>
  <c r="E139" i="3"/>
  <c r="E138" i="3"/>
  <c r="E136" i="3"/>
  <c r="E135" i="3"/>
  <c r="E132" i="3"/>
  <c r="E131" i="3"/>
  <c r="E129" i="3"/>
  <c r="E128" i="3"/>
  <c r="E126" i="3"/>
  <c r="E125" i="3"/>
  <c r="E115" i="3"/>
  <c r="E113" i="3"/>
  <c r="E109" i="3"/>
  <c r="E108" i="3"/>
  <c r="E107" i="3"/>
  <c r="E106" i="3"/>
  <c r="E102" i="3"/>
  <c r="E101" i="3"/>
  <c r="E100" i="3"/>
  <c r="E98" i="3"/>
  <c r="E97" i="3"/>
  <c r="E96" i="3"/>
  <c r="E95" i="3"/>
  <c r="E92" i="3"/>
  <c r="E90" i="3"/>
  <c r="E84" i="3"/>
  <c r="E78" i="3"/>
  <c r="E77" i="3"/>
  <c r="E76" i="3"/>
  <c r="E59" i="3"/>
  <c r="E58" i="3"/>
  <c r="E50" i="3"/>
  <c r="E49" i="3"/>
  <c r="E48" i="3"/>
  <c r="E47" i="3"/>
  <c r="E46" i="3"/>
  <c r="E43" i="3"/>
  <c r="E41" i="3"/>
  <c r="E37" i="3"/>
  <c r="E33" i="3"/>
  <c r="E31" i="3"/>
  <c r="E30" i="3"/>
  <c r="E29" i="3"/>
  <c r="E22" i="3"/>
  <c r="E19" i="3"/>
  <c r="E18" i="3"/>
  <c r="L204" i="3"/>
  <c r="M204" i="3"/>
  <c r="C200" i="4"/>
  <c r="C202" i="4"/>
  <c r="C201" i="4"/>
  <c r="C199" i="4"/>
  <c r="C198" i="4"/>
  <c r="C197" i="4"/>
  <c r="F202" i="3"/>
  <c r="G14" i="4"/>
  <c r="H4" i="7" s="1"/>
  <c r="G15" i="4"/>
  <c r="G16" i="4"/>
  <c r="G17" i="4"/>
  <c r="G18" i="4"/>
  <c r="G19" i="4"/>
  <c r="G20" i="4"/>
  <c r="C201" i="3" l="1"/>
  <c r="E204" i="3"/>
  <c r="G200" i="4"/>
  <c r="H190" i="7" s="1"/>
  <c r="C194" i="3"/>
  <c r="C202" i="3"/>
  <c r="G202" i="3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D69" i="5"/>
  <c r="E69" i="5" s="1"/>
  <c r="D70" i="5"/>
  <c r="E70" i="5" s="1"/>
  <c r="D71" i="5"/>
  <c r="E71" i="5" s="1"/>
  <c r="D72" i="5"/>
  <c r="E72" i="5" s="1"/>
  <c r="D73" i="5"/>
  <c r="E73" i="5" s="1"/>
  <c r="D74" i="5"/>
  <c r="E74" i="5" s="1"/>
  <c r="D75" i="5"/>
  <c r="E75" i="5" s="1"/>
  <c r="D155" i="5"/>
  <c r="E155" i="5" s="1"/>
  <c r="D156" i="5"/>
  <c r="E156" i="5" s="1"/>
  <c r="D157" i="5"/>
  <c r="E157" i="5" s="1"/>
  <c r="D158" i="5"/>
  <c r="E158" i="5" s="1"/>
  <c r="D159" i="5"/>
  <c r="E159" i="5" s="1"/>
  <c r="D160" i="5"/>
  <c r="E160" i="5" s="1"/>
  <c r="D161" i="5"/>
  <c r="E161" i="5" s="1"/>
  <c r="D162" i="5"/>
  <c r="E162" i="5" s="1"/>
  <c r="D163" i="5"/>
  <c r="E163" i="5" s="1"/>
  <c r="D164" i="5"/>
  <c r="E164" i="5" s="1"/>
  <c r="D165" i="5"/>
  <c r="E165" i="5" s="1"/>
  <c r="D166" i="5"/>
  <c r="E166" i="5" s="1"/>
  <c r="D167" i="5"/>
  <c r="E167" i="5" s="1"/>
  <c r="D168" i="5"/>
  <c r="E168" i="5" s="1"/>
  <c r="D169" i="5"/>
  <c r="E169" i="5" s="1"/>
  <c r="D170" i="5"/>
  <c r="E170" i="5" s="1"/>
  <c r="D171" i="5"/>
  <c r="E171" i="5" s="1"/>
  <c r="D172" i="5"/>
  <c r="E172" i="5" s="1"/>
  <c r="D173" i="5"/>
  <c r="E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E181" i="5" s="1"/>
  <c r="D182" i="5"/>
  <c r="E182" i="5" s="1"/>
  <c r="D183" i="5"/>
  <c r="E183" i="5" s="1"/>
  <c r="D184" i="5"/>
  <c r="E184" i="5" s="1"/>
  <c r="D185" i="5"/>
  <c r="E185" i="5" s="1"/>
  <c r="D186" i="5"/>
  <c r="E186" i="5" s="1"/>
  <c r="D187" i="5"/>
  <c r="E187" i="5" s="1"/>
  <c r="D188" i="5"/>
  <c r="E188" i="5" s="1"/>
  <c r="D189" i="5"/>
  <c r="E189" i="5" s="1"/>
  <c r="D190" i="5"/>
  <c r="E190" i="5" s="1"/>
  <c r="D191" i="5"/>
  <c r="E191" i="5" s="1"/>
  <c r="D192" i="5"/>
  <c r="E192" i="5" s="1"/>
  <c r="C4" i="5"/>
  <c r="Q2" i="5" s="1"/>
  <c r="C4" i="4"/>
  <c r="C4" i="3"/>
  <c r="AB2" i="3" s="1"/>
  <c r="C4" i="11"/>
  <c r="R2" i="11" s="1"/>
  <c r="C4" i="10"/>
  <c r="Z2" i="10" s="1"/>
  <c r="C4" i="8"/>
  <c r="Q2" i="8" s="1"/>
  <c r="L2" i="1"/>
  <c r="T2" i="1"/>
  <c r="AB2" i="1"/>
  <c r="I2" i="8" l="1"/>
  <c r="R2" i="10"/>
  <c r="J2" i="11"/>
  <c r="Z2" i="11"/>
  <c r="L2" i="3"/>
  <c r="J2" i="10"/>
  <c r="T2" i="3"/>
  <c r="Y2" i="5"/>
  <c r="I2" i="5"/>
  <c r="C200" i="3" l="1"/>
  <c r="F196" i="1" l="1"/>
  <c r="F197" i="1"/>
  <c r="F198" i="1"/>
  <c r="E204" i="4"/>
  <c r="C196" i="4" s="1"/>
  <c r="G196" i="4" s="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P14" i="11"/>
  <c r="O14" i="11"/>
  <c r="N14" i="11"/>
  <c r="M14" i="11"/>
  <c r="K14" i="11"/>
  <c r="J14" i="11"/>
  <c r="I14" i="11"/>
  <c r="H14" i="11"/>
  <c r="G14" i="11"/>
  <c r="F14" i="11"/>
  <c r="D12" i="11"/>
  <c r="E12" i="11" s="1"/>
  <c r="D11" i="11"/>
  <c r="E11" i="11" s="1"/>
  <c r="Q14" i="11"/>
  <c r="L14" i="11"/>
  <c r="C14" i="11"/>
  <c r="I1" i="11"/>
  <c r="H1" i="11"/>
  <c r="C194" i="4" l="1"/>
  <c r="C195" i="4"/>
  <c r="D14" i="11"/>
  <c r="E14" i="11" l="1"/>
  <c r="Q194" i="5" l="1"/>
  <c r="S200" i="1"/>
  <c r="E190" i="1"/>
  <c r="G190" i="1" s="1"/>
  <c r="C180" i="7" s="1"/>
  <c r="E187" i="1"/>
  <c r="G187" i="1" s="1"/>
  <c r="C177" i="7" s="1"/>
  <c r="E186" i="1"/>
  <c r="G186" i="1" s="1"/>
  <c r="C176" i="7" s="1"/>
  <c r="E185" i="1"/>
  <c r="G185" i="1" s="1"/>
  <c r="C175" i="7" s="1"/>
  <c r="E182" i="1"/>
  <c r="G182" i="1" s="1"/>
  <c r="C172" i="7" s="1"/>
  <c r="E176" i="1"/>
  <c r="G176" i="1" s="1"/>
  <c r="C166" i="7" s="1"/>
  <c r="E175" i="1"/>
  <c r="G175" i="1" s="1"/>
  <c r="C165" i="7" s="1"/>
  <c r="E173" i="1"/>
  <c r="G173" i="1" s="1"/>
  <c r="C163" i="7" s="1"/>
  <c r="E172" i="1"/>
  <c r="G172" i="1" s="1"/>
  <c r="C162" i="7" s="1"/>
  <c r="E171" i="1"/>
  <c r="G171" i="1" s="1"/>
  <c r="C161" i="7" s="1"/>
  <c r="E167" i="1"/>
  <c r="G167" i="1" s="1"/>
  <c r="C157" i="7" s="1"/>
  <c r="E166" i="1"/>
  <c r="G166" i="1" s="1"/>
  <c r="C156" i="7" s="1"/>
  <c r="E159" i="1"/>
  <c r="G159" i="1" s="1"/>
  <c r="C149" i="7" s="1"/>
  <c r="E157" i="1"/>
  <c r="G157" i="1" s="1"/>
  <c r="C147" i="7" s="1"/>
  <c r="E153" i="1"/>
  <c r="G153" i="1" s="1"/>
  <c r="C143" i="7" s="1"/>
  <c r="E144" i="1"/>
  <c r="G144" i="1" s="1"/>
  <c r="C134" i="7" s="1"/>
  <c r="E132" i="1"/>
  <c r="G132" i="1" s="1"/>
  <c r="C122" i="7" s="1"/>
  <c r="E131" i="1"/>
  <c r="G131" i="1" s="1"/>
  <c r="C121" i="7" s="1"/>
  <c r="E129" i="1"/>
  <c r="G129" i="1" s="1"/>
  <c r="C119" i="7" s="1"/>
  <c r="E118" i="1"/>
  <c r="G118" i="1" s="1"/>
  <c r="C108" i="7" s="1"/>
  <c r="E117" i="1"/>
  <c r="G117" i="1" s="1"/>
  <c r="C107" i="7" s="1"/>
  <c r="E116" i="1"/>
  <c r="G116" i="1" s="1"/>
  <c r="C106" i="7" s="1"/>
  <c r="E114" i="1"/>
  <c r="G114" i="1" s="1"/>
  <c r="C104" i="7" s="1"/>
  <c r="E113" i="1"/>
  <c r="G113" i="1" s="1"/>
  <c r="C103" i="7" s="1"/>
  <c r="E112" i="1"/>
  <c r="G112" i="1" s="1"/>
  <c r="C102" i="7" s="1"/>
  <c r="E98" i="1"/>
  <c r="G98" i="1" s="1"/>
  <c r="C88" i="7" s="1"/>
  <c r="E97" i="1"/>
  <c r="G97" i="1" s="1"/>
  <c r="C87" i="7" s="1"/>
  <c r="E96" i="1"/>
  <c r="G96" i="1" s="1"/>
  <c r="C86" i="7" s="1"/>
  <c r="E95" i="1"/>
  <c r="G95" i="1" s="1"/>
  <c r="C85" i="7" s="1"/>
  <c r="E94" i="1"/>
  <c r="G94" i="1" s="1"/>
  <c r="C84" i="7" s="1"/>
  <c r="E90" i="1"/>
  <c r="G90" i="1" s="1"/>
  <c r="C80" i="7" s="1"/>
  <c r="E61" i="1"/>
  <c r="G61" i="1" s="1"/>
  <c r="C51" i="7" s="1"/>
  <c r="E58" i="1"/>
  <c r="E43" i="1"/>
  <c r="G43" i="1" s="1"/>
  <c r="C33" i="7" s="1"/>
  <c r="E29" i="1"/>
  <c r="G29" i="1" s="1"/>
  <c r="C19" i="7" s="1"/>
  <c r="E27" i="1"/>
  <c r="G27" i="1" s="1"/>
  <c r="C17" i="7" s="1"/>
  <c r="E19" i="1"/>
  <c r="E18" i="1"/>
  <c r="G18" i="1" s="1"/>
  <c r="C8" i="7" s="1"/>
  <c r="H200" i="1"/>
  <c r="I200" i="1"/>
  <c r="J200" i="1"/>
  <c r="K200" i="1"/>
  <c r="M200" i="1"/>
  <c r="N200" i="1"/>
  <c r="P200" i="1"/>
  <c r="Q200" i="1"/>
  <c r="R200" i="1"/>
  <c r="T200" i="1"/>
  <c r="U200" i="1"/>
  <c r="U203" i="1" s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D180" i="10"/>
  <c r="E180" i="10" s="1"/>
  <c r="D181" i="10"/>
  <c r="E181" i="10" s="1"/>
  <c r="D182" i="10"/>
  <c r="E182" i="10" s="1"/>
  <c r="D183" i="10"/>
  <c r="E183" i="10" s="1"/>
  <c r="D184" i="10"/>
  <c r="E184" i="10" s="1"/>
  <c r="D185" i="10"/>
  <c r="E185" i="10" s="1"/>
  <c r="D186" i="10"/>
  <c r="E186" i="10" s="1"/>
  <c r="D187" i="10"/>
  <c r="E187" i="10" s="1"/>
  <c r="D188" i="10"/>
  <c r="E188" i="10" s="1"/>
  <c r="D189" i="10"/>
  <c r="E189" i="10" s="1"/>
  <c r="D190" i="10"/>
  <c r="E190" i="10" s="1"/>
  <c r="D191" i="10"/>
  <c r="E191" i="10" s="1"/>
  <c r="D192" i="10"/>
  <c r="E192" i="10" s="1"/>
  <c r="D193" i="10"/>
  <c r="E193" i="10" s="1"/>
  <c r="D194" i="10"/>
  <c r="E194" i="10" s="1"/>
  <c r="D195" i="10"/>
  <c r="E195" i="10" s="1"/>
  <c r="D196" i="10"/>
  <c r="E196" i="10" s="1"/>
  <c r="M198" i="10"/>
  <c r="F198" i="10"/>
  <c r="G198" i="10"/>
  <c r="H198" i="10"/>
  <c r="I198" i="10"/>
  <c r="J198" i="10"/>
  <c r="K198" i="10"/>
  <c r="N198" i="10"/>
  <c r="O198" i="10"/>
  <c r="P198" i="10"/>
  <c r="Q198" i="10"/>
  <c r="R198" i="10"/>
  <c r="S198" i="10"/>
  <c r="T198" i="10"/>
  <c r="U198" i="10"/>
  <c r="V198" i="10"/>
  <c r="W198" i="10"/>
  <c r="X198" i="10"/>
  <c r="Y198" i="10"/>
  <c r="Z198" i="10"/>
  <c r="AA198" i="10"/>
  <c r="AB198" i="10"/>
  <c r="AC198" i="10"/>
  <c r="AD198" i="10"/>
  <c r="AE198" i="10"/>
  <c r="AF198" i="10"/>
  <c r="L198" i="10"/>
  <c r="O200" i="1"/>
  <c r="I1" i="10"/>
  <c r="H1" i="10"/>
  <c r="D179" i="10"/>
  <c r="E179" i="10" s="1"/>
  <c r="E171" i="7" s="1"/>
  <c r="D178" i="10"/>
  <c r="E178" i="10" s="1"/>
  <c r="D177" i="10"/>
  <c r="E177" i="10" s="1"/>
  <c r="D176" i="10"/>
  <c r="E176" i="10" s="1"/>
  <c r="D175" i="10"/>
  <c r="E175" i="10" s="1"/>
  <c r="D174" i="10"/>
  <c r="E174" i="10" s="1"/>
  <c r="D173" i="10"/>
  <c r="E173" i="10" s="1"/>
  <c r="D172" i="10"/>
  <c r="E172" i="10" s="1"/>
  <c r="D171" i="10"/>
  <c r="E171" i="10" s="1"/>
  <c r="D170" i="10"/>
  <c r="E170" i="10" s="1"/>
  <c r="D169" i="10"/>
  <c r="E169" i="10" s="1"/>
  <c r="D168" i="10"/>
  <c r="E168" i="10" s="1"/>
  <c r="D167" i="10"/>
  <c r="E167" i="10" s="1"/>
  <c r="D166" i="10"/>
  <c r="E166" i="10" s="1"/>
  <c r="D165" i="10"/>
  <c r="E165" i="10" s="1"/>
  <c r="D164" i="10"/>
  <c r="E164" i="10" s="1"/>
  <c r="D163" i="10"/>
  <c r="E163" i="10" s="1"/>
  <c r="D162" i="10"/>
  <c r="E162" i="10" s="1"/>
  <c r="D161" i="10"/>
  <c r="E161" i="10" s="1"/>
  <c r="D160" i="10"/>
  <c r="E160" i="10" s="1"/>
  <c r="D159" i="10"/>
  <c r="E159" i="10" s="1"/>
  <c r="D158" i="10"/>
  <c r="E158" i="10" s="1"/>
  <c r="D157" i="10"/>
  <c r="E157" i="10" s="1"/>
  <c r="D156" i="10"/>
  <c r="E156" i="10" s="1"/>
  <c r="D155" i="10"/>
  <c r="E155" i="10" s="1"/>
  <c r="D154" i="10"/>
  <c r="E154" i="10" s="1"/>
  <c r="D153" i="10"/>
  <c r="E153" i="10" s="1"/>
  <c r="D152" i="10"/>
  <c r="E152" i="10" s="1"/>
  <c r="D151" i="10"/>
  <c r="E151" i="10" s="1"/>
  <c r="D150" i="10"/>
  <c r="E150" i="10" s="1"/>
  <c r="D149" i="10"/>
  <c r="E149" i="10" s="1"/>
  <c r="D148" i="10"/>
  <c r="E148" i="10" s="1"/>
  <c r="E140" i="7" s="1"/>
  <c r="D147" i="10"/>
  <c r="E147" i="10" s="1"/>
  <c r="D146" i="10"/>
  <c r="E146" i="10" s="1"/>
  <c r="D145" i="10"/>
  <c r="E145" i="10" s="1"/>
  <c r="D144" i="10"/>
  <c r="E144" i="10" s="1"/>
  <c r="D143" i="10"/>
  <c r="E143" i="10" s="1"/>
  <c r="D142" i="10"/>
  <c r="E142" i="10" s="1"/>
  <c r="D141" i="10"/>
  <c r="E141" i="10" s="1"/>
  <c r="D140" i="10"/>
  <c r="E140" i="10" s="1"/>
  <c r="D139" i="10"/>
  <c r="E139" i="10" s="1"/>
  <c r="D138" i="10"/>
  <c r="E138" i="10" s="1"/>
  <c r="D137" i="10"/>
  <c r="E137" i="10" s="1"/>
  <c r="D136" i="10"/>
  <c r="E136" i="10" s="1"/>
  <c r="D135" i="10"/>
  <c r="E135" i="10" s="1"/>
  <c r="D134" i="10"/>
  <c r="E134" i="10" s="1"/>
  <c r="D133" i="10"/>
  <c r="E133" i="10" s="1"/>
  <c r="D132" i="10"/>
  <c r="E132" i="10" s="1"/>
  <c r="D131" i="10"/>
  <c r="E131" i="10" s="1"/>
  <c r="E123" i="7" s="1"/>
  <c r="D130" i="10"/>
  <c r="E130" i="10" s="1"/>
  <c r="D129" i="10"/>
  <c r="E129" i="10" s="1"/>
  <c r="D128" i="10"/>
  <c r="E128" i="10" s="1"/>
  <c r="D127" i="10"/>
  <c r="E127" i="10" s="1"/>
  <c r="D126" i="10"/>
  <c r="E126" i="10" s="1"/>
  <c r="D125" i="10"/>
  <c r="E125" i="10" s="1"/>
  <c r="D124" i="10"/>
  <c r="E124" i="10" s="1"/>
  <c r="D123" i="10"/>
  <c r="E123" i="10" s="1"/>
  <c r="D122" i="10"/>
  <c r="E122" i="10" s="1"/>
  <c r="D121" i="10"/>
  <c r="E121" i="10" s="1"/>
  <c r="D120" i="10"/>
  <c r="E120" i="10" s="1"/>
  <c r="D119" i="10"/>
  <c r="E119" i="10" s="1"/>
  <c r="E111" i="7" s="1"/>
  <c r="D118" i="10"/>
  <c r="E118" i="10" s="1"/>
  <c r="D117" i="10"/>
  <c r="E117" i="10" s="1"/>
  <c r="D116" i="10"/>
  <c r="E116" i="10" s="1"/>
  <c r="D115" i="10"/>
  <c r="E115" i="10" s="1"/>
  <c r="D114" i="10"/>
  <c r="E114" i="10" s="1"/>
  <c r="D113" i="10"/>
  <c r="E113" i="10" s="1"/>
  <c r="D112" i="10"/>
  <c r="E112" i="10" s="1"/>
  <c r="D111" i="10"/>
  <c r="E111" i="10" s="1"/>
  <c r="D110" i="10"/>
  <c r="E110" i="10" s="1"/>
  <c r="D109" i="10"/>
  <c r="E109" i="10" s="1"/>
  <c r="D108" i="10"/>
  <c r="E108" i="10" s="1"/>
  <c r="D107" i="10"/>
  <c r="E107" i="10" s="1"/>
  <c r="D106" i="10"/>
  <c r="E106" i="10" s="1"/>
  <c r="D105" i="10"/>
  <c r="E105" i="10" s="1"/>
  <c r="D104" i="10"/>
  <c r="E104" i="10" s="1"/>
  <c r="D103" i="10"/>
  <c r="E103" i="10" s="1"/>
  <c r="D102" i="10"/>
  <c r="E102" i="10" s="1"/>
  <c r="D101" i="10"/>
  <c r="E101" i="10" s="1"/>
  <c r="E93" i="7" s="1"/>
  <c r="D100" i="10"/>
  <c r="E100" i="10" s="1"/>
  <c r="D99" i="10"/>
  <c r="E99" i="10" s="1"/>
  <c r="D98" i="10"/>
  <c r="E98" i="10" s="1"/>
  <c r="E90" i="7" s="1"/>
  <c r="D97" i="10"/>
  <c r="E97" i="10" s="1"/>
  <c r="D96" i="10"/>
  <c r="E96" i="10" s="1"/>
  <c r="D95" i="10"/>
  <c r="E95" i="10" s="1"/>
  <c r="D94" i="10"/>
  <c r="E94" i="10" s="1"/>
  <c r="D93" i="10"/>
  <c r="E93" i="10" s="1"/>
  <c r="D92" i="10"/>
  <c r="E92" i="10" s="1"/>
  <c r="D91" i="10"/>
  <c r="E91" i="10" s="1"/>
  <c r="D90" i="10"/>
  <c r="E90" i="10" s="1"/>
  <c r="D89" i="10"/>
  <c r="E89" i="10" s="1"/>
  <c r="D88" i="10"/>
  <c r="E88" i="10" s="1"/>
  <c r="D87" i="10"/>
  <c r="E87" i="10" s="1"/>
  <c r="D86" i="10"/>
  <c r="E86" i="10" s="1"/>
  <c r="D85" i="10"/>
  <c r="E85" i="10" s="1"/>
  <c r="D84" i="10"/>
  <c r="E84" i="10" s="1"/>
  <c r="D83" i="10"/>
  <c r="E83" i="10" s="1"/>
  <c r="D82" i="10"/>
  <c r="E82" i="10" s="1"/>
  <c r="D81" i="10"/>
  <c r="E81" i="10" s="1"/>
  <c r="D80" i="10"/>
  <c r="E80" i="10" s="1"/>
  <c r="D79" i="10"/>
  <c r="E79" i="10" s="1"/>
  <c r="D78" i="10"/>
  <c r="E78" i="10" s="1"/>
  <c r="D77" i="10"/>
  <c r="E77" i="10" s="1"/>
  <c r="D76" i="10"/>
  <c r="E76" i="10" s="1"/>
  <c r="D75" i="10"/>
  <c r="E75" i="10" s="1"/>
  <c r="E67" i="7" s="1"/>
  <c r="D74" i="10"/>
  <c r="E74" i="10" s="1"/>
  <c r="D73" i="10"/>
  <c r="E73" i="10" s="1"/>
  <c r="D72" i="10"/>
  <c r="E72" i="10" s="1"/>
  <c r="D71" i="10"/>
  <c r="E71" i="10" s="1"/>
  <c r="D70" i="10"/>
  <c r="E70" i="10" s="1"/>
  <c r="D69" i="10"/>
  <c r="E69" i="10" s="1"/>
  <c r="D68" i="10"/>
  <c r="E68" i="10" s="1"/>
  <c r="D67" i="10"/>
  <c r="E67" i="10" s="1"/>
  <c r="D66" i="10"/>
  <c r="E66" i="10" s="1"/>
  <c r="D65" i="10"/>
  <c r="E65" i="10" s="1"/>
  <c r="D64" i="10"/>
  <c r="E64" i="10" s="1"/>
  <c r="E56" i="7" s="1"/>
  <c r="D63" i="10"/>
  <c r="E63" i="10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E43" i="7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D25" i="10"/>
  <c r="E25" i="10" s="1"/>
  <c r="D24" i="10"/>
  <c r="E24" i="10" s="1"/>
  <c r="D23" i="10"/>
  <c r="E23" i="10" s="1"/>
  <c r="E15" i="7" s="1"/>
  <c r="D22" i="10"/>
  <c r="E22" i="10" s="1"/>
  <c r="D21" i="10"/>
  <c r="E21" i="10" s="1"/>
  <c r="D20" i="10"/>
  <c r="E20" i="10" s="1"/>
  <c r="D19" i="10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G194" i="5"/>
  <c r="H194" i="5"/>
  <c r="I194" i="5"/>
  <c r="J194" i="5"/>
  <c r="K194" i="5"/>
  <c r="L194" i="5"/>
  <c r="M194" i="5"/>
  <c r="N194" i="5"/>
  <c r="O194" i="5"/>
  <c r="P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F194" i="5"/>
  <c r="C194" i="5"/>
  <c r="G202" i="4"/>
  <c r="G184" i="4"/>
  <c r="H174" i="7" s="1"/>
  <c r="G185" i="4"/>
  <c r="G186" i="4"/>
  <c r="G187" i="4"/>
  <c r="G188" i="4"/>
  <c r="H178" i="7" s="1"/>
  <c r="G189" i="4"/>
  <c r="G190" i="4"/>
  <c r="G191" i="4"/>
  <c r="G193" i="4"/>
  <c r="G192" i="4"/>
  <c r="C199" i="3"/>
  <c r="C198" i="3"/>
  <c r="C197" i="3"/>
  <c r="C196" i="3"/>
  <c r="C195" i="3"/>
  <c r="G58" i="1"/>
  <c r="C48" i="7" s="1"/>
  <c r="L200" i="1"/>
  <c r="H204" i="4"/>
  <c r="I204" i="4"/>
  <c r="J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W206" i="4" s="1"/>
  <c r="X204" i="4"/>
  <c r="Y204" i="4"/>
  <c r="Z204" i="4"/>
  <c r="AA204" i="4"/>
  <c r="AB204" i="4"/>
  <c r="AC204" i="4"/>
  <c r="AD204" i="4"/>
  <c r="AE204" i="4"/>
  <c r="AF204" i="4"/>
  <c r="AG204" i="4"/>
  <c r="AH204" i="4"/>
  <c r="K204" i="4"/>
  <c r="T200" i="8"/>
  <c r="S200" i="8"/>
  <c r="R200" i="8"/>
  <c r="Q200" i="8"/>
  <c r="P200" i="8"/>
  <c r="O200" i="8"/>
  <c r="G200" i="8"/>
  <c r="F200" i="8"/>
  <c r="C200" i="8"/>
  <c r="D198" i="8"/>
  <c r="E198" i="8" s="1"/>
  <c r="D197" i="8"/>
  <c r="E197" i="8" s="1"/>
  <c r="E196" i="8"/>
  <c r="D189" i="7" s="1"/>
  <c r="E195" i="8"/>
  <c r="D188" i="7" s="1"/>
  <c r="E194" i="8"/>
  <c r="E193" i="8"/>
  <c r="D185" i="7" s="1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D111" i="7" s="1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46" i="7" s="1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F19" i="1"/>
  <c r="F18" i="1"/>
  <c r="C204" i="3" l="1"/>
  <c r="C194" i="1"/>
  <c r="D18" i="7"/>
  <c r="D194" i="7" s="1"/>
  <c r="E200" i="8"/>
  <c r="E200" i="1"/>
  <c r="C196" i="1"/>
  <c r="G196" i="1" s="1"/>
  <c r="C198" i="1"/>
  <c r="G198" i="1" s="1"/>
  <c r="C197" i="1"/>
  <c r="G197" i="1" s="1"/>
  <c r="E26" i="10"/>
  <c r="E18" i="7" s="1"/>
  <c r="G19" i="1"/>
  <c r="C9" i="7" s="1"/>
  <c r="C195" i="1"/>
  <c r="C198" i="10"/>
  <c r="D198" i="10"/>
  <c r="E19" i="10"/>
  <c r="E12" i="10"/>
  <c r="C204" i="4"/>
  <c r="AJ204" i="3"/>
  <c r="AG204" i="3"/>
  <c r="AF204" i="3"/>
  <c r="AE204" i="3"/>
  <c r="AD204" i="3"/>
  <c r="AC204" i="3"/>
  <c r="AB204" i="3"/>
  <c r="AA204" i="3"/>
  <c r="Z204" i="3"/>
  <c r="W204" i="3"/>
  <c r="V204" i="3"/>
  <c r="U204" i="3"/>
  <c r="T204" i="3"/>
  <c r="S204" i="3"/>
  <c r="R204" i="3"/>
  <c r="Q204" i="3"/>
  <c r="P204" i="3"/>
  <c r="O204" i="3"/>
  <c r="N204" i="3"/>
  <c r="K204" i="3"/>
  <c r="J204" i="3"/>
  <c r="I204" i="3"/>
  <c r="H204" i="3"/>
  <c r="N200" i="8"/>
  <c r="M200" i="8"/>
  <c r="L200" i="8"/>
  <c r="K200" i="8"/>
  <c r="J200" i="8"/>
  <c r="I200" i="8"/>
  <c r="H200" i="8"/>
  <c r="D19" i="8"/>
  <c r="E19" i="8" s="1"/>
  <c r="F201" i="3"/>
  <c r="G201" i="3" s="1"/>
  <c r="G191" i="7" s="1"/>
  <c r="F200" i="3"/>
  <c r="G200" i="3" s="1"/>
  <c r="G190" i="7" s="1"/>
  <c r="F199" i="3"/>
  <c r="G199" i="3" s="1"/>
  <c r="G189" i="7" s="1"/>
  <c r="F198" i="3"/>
  <c r="F197" i="3"/>
  <c r="G197" i="3" s="1"/>
  <c r="G187" i="7" s="1"/>
  <c r="F196" i="3"/>
  <c r="G196" i="3" s="1"/>
  <c r="G186" i="7" s="1"/>
  <c r="F195" i="3"/>
  <c r="G195" i="3" s="1"/>
  <c r="G185" i="7" s="1"/>
  <c r="F194" i="3"/>
  <c r="G194" i="3" s="1"/>
  <c r="G184" i="7" s="1"/>
  <c r="G201" i="4"/>
  <c r="H191" i="7" s="1"/>
  <c r="G199" i="4"/>
  <c r="H189" i="7" s="1"/>
  <c r="G195" i="4"/>
  <c r="H185" i="7" s="1"/>
  <c r="G194" i="4"/>
  <c r="G183" i="4"/>
  <c r="H173" i="7" s="1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H153" i="7" s="1"/>
  <c r="G162" i="4"/>
  <c r="H152" i="7" s="1"/>
  <c r="G161" i="4"/>
  <c r="G160" i="4"/>
  <c r="G159" i="4"/>
  <c r="G158" i="4"/>
  <c r="H148" i="7" s="1"/>
  <c r="G157" i="4"/>
  <c r="G156" i="4"/>
  <c r="H146" i="7" s="1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H130" i="7" s="1"/>
  <c r="G139" i="4"/>
  <c r="G138" i="4"/>
  <c r="G137" i="4"/>
  <c r="G136" i="4"/>
  <c r="G135" i="4"/>
  <c r="G134" i="4"/>
  <c r="H124" i="7" s="1"/>
  <c r="G133" i="4"/>
  <c r="G132" i="4"/>
  <c r="G131" i="4"/>
  <c r="G130" i="4"/>
  <c r="G129" i="4"/>
  <c r="G128" i="4"/>
  <c r="G127" i="4"/>
  <c r="G126" i="4"/>
  <c r="G125" i="4"/>
  <c r="G124" i="4"/>
  <c r="H114" i="7" s="1"/>
  <c r="G123" i="4"/>
  <c r="G122" i="4"/>
  <c r="G121" i="4"/>
  <c r="H111" i="7" s="1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H93" i="7" s="1"/>
  <c r="G102" i="4"/>
  <c r="G101" i="4"/>
  <c r="G100" i="4"/>
  <c r="G99" i="4"/>
  <c r="G98" i="4"/>
  <c r="G97" i="4"/>
  <c r="G96" i="4"/>
  <c r="G95" i="4"/>
  <c r="G94" i="4"/>
  <c r="G93" i="4"/>
  <c r="G92" i="4"/>
  <c r="H82" i="7" s="1"/>
  <c r="G91" i="4"/>
  <c r="G90" i="4"/>
  <c r="G89" i="4"/>
  <c r="G88" i="4"/>
  <c r="G87" i="4"/>
  <c r="G86" i="4"/>
  <c r="H76" i="7" s="1"/>
  <c r="G85" i="4"/>
  <c r="G84" i="4"/>
  <c r="G83" i="4"/>
  <c r="G82" i="4"/>
  <c r="G81" i="4"/>
  <c r="G80" i="4"/>
  <c r="G79" i="4"/>
  <c r="G78" i="4"/>
  <c r="G77" i="4"/>
  <c r="G76" i="4"/>
  <c r="H66" i="7" s="1"/>
  <c r="G75" i="4"/>
  <c r="G74" i="4"/>
  <c r="H64" i="7" s="1"/>
  <c r="G73" i="4"/>
  <c r="H63" i="7" s="1"/>
  <c r="G72" i="4"/>
  <c r="G71" i="4"/>
  <c r="G70" i="4"/>
  <c r="G69" i="4"/>
  <c r="G68" i="4"/>
  <c r="H58" i="7" s="1"/>
  <c r="G67" i="4"/>
  <c r="H57" i="7" s="1"/>
  <c r="G66" i="4"/>
  <c r="H56" i="7" s="1"/>
  <c r="G65" i="4"/>
  <c r="G64" i="4"/>
  <c r="H54" i="7" s="1"/>
  <c r="G63" i="4"/>
  <c r="H53" i="7" s="1"/>
  <c r="G62" i="4"/>
  <c r="G61" i="4"/>
  <c r="G60" i="4"/>
  <c r="G59" i="4"/>
  <c r="G58" i="4"/>
  <c r="G57" i="4"/>
  <c r="G56" i="4"/>
  <c r="G55" i="4"/>
  <c r="G54" i="4"/>
  <c r="G53" i="4"/>
  <c r="H43" i="7" s="1"/>
  <c r="G52" i="4"/>
  <c r="G51" i="4"/>
  <c r="G50" i="4"/>
  <c r="G49" i="4"/>
  <c r="G48" i="4"/>
  <c r="G47" i="4"/>
  <c r="G46" i="4"/>
  <c r="G45" i="4"/>
  <c r="G44" i="4"/>
  <c r="G43" i="4"/>
  <c r="G42" i="4"/>
  <c r="G41" i="4"/>
  <c r="H31" i="7" s="1"/>
  <c r="G40" i="4"/>
  <c r="G39" i="4"/>
  <c r="H29" i="7" s="1"/>
  <c r="G38" i="4"/>
  <c r="G37" i="4"/>
  <c r="G36" i="4"/>
  <c r="G35" i="4"/>
  <c r="G34" i="4"/>
  <c r="G33" i="4"/>
  <c r="G32" i="4"/>
  <c r="G31" i="4"/>
  <c r="G30" i="4"/>
  <c r="G29" i="4"/>
  <c r="G28" i="4"/>
  <c r="H18" i="7" s="1"/>
  <c r="G27" i="4"/>
  <c r="G26" i="4"/>
  <c r="H16" i="7" s="1"/>
  <c r="G25" i="4"/>
  <c r="H15" i="7" s="1"/>
  <c r="G24" i="4"/>
  <c r="G23" i="4"/>
  <c r="H13" i="7" s="1"/>
  <c r="G22" i="4"/>
  <c r="G21" i="4"/>
  <c r="H11" i="7" s="1"/>
  <c r="D154" i="5"/>
  <c r="E154" i="5" s="1"/>
  <c r="I145" i="7" s="1"/>
  <c r="D153" i="5"/>
  <c r="E153" i="5" s="1"/>
  <c r="D152" i="5"/>
  <c r="E152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I137" i="7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6" i="5"/>
  <c r="E136" i="5" s="1"/>
  <c r="D135" i="5"/>
  <c r="E135" i="5" s="1"/>
  <c r="D134" i="5"/>
  <c r="E134" i="5" s="1"/>
  <c r="D133" i="5"/>
  <c r="E133" i="5" s="1"/>
  <c r="I124" i="7" s="1"/>
  <c r="D132" i="5"/>
  <c r="E132" i="5" s="1"/>
  <c r="I123" i="7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I96" i="7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D98" i="5"/>
  <c r="E98" i="5" s="1"/>
  <c r="I89" i="7" s="1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7" i="5"/>
  <c r="E87" i="5" s="1"/>
  <c r="I78" i="7" s="1"/>
  <c r="D86" i="5"/>
  <c r="E86" i="5" s="1"/>
  <c r="D85" i="5"/>
  <c r="E85" i="5" s="1"/>
  <c r="D84" i="5"/>
  <c r="E84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D76" i="5"/>
  <c r="E76" i="5" s="1"/>
  <c r="I67" i="7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AA1" i="4"/>
  <c r="S1" i="4"/>
  <c r="AA1" i="3"/>
  <c r="S1" i="3"/>
  <c r="I1" i="5"/>
  <c r="Q1" i="5" s="1"/>
  <c r="H1" i="5"/>
  <c r="K1" i="4"/>
  <c r="J1" i="4"/>
  <c r="F192" i="3"/>
  <c r="G192" i="3" s="1"/>
  <c r="G182" i="7" s="1"/>
  <c r="F193" i="3"/>
  <c r="G193" i="3" s="1"/>
  <c r="G183" i="7" s="1"/>
  <c r="F191" i="3"/>
  <c r="G191" i="3" s="1"/>
  <c r="G181" i="7" s="1"/>
  <c r="F190" i="3"/>
  <c r="G190" i="3" s="1"/>
  <c r="G180" i="7" s="1"/>
  <c r="F189" i="3"/>
  <c r="G189" i="3" s="1"/>
  <c r="G179" i="7" s="1"/>
  <c r="F188" i="3"/>
  <c r="G188" i="3" s="1"/>
  <c r="G178" i="7" s="1"/>
  <c r="F187" i="3"/>
  <c r="G187" i="3" s="1"/>
  <c r="G177" i="7" s="1"/>
  <c r="F186" i="3"/>
  <c r="G186" i="3" s="1"/>
  <c r="G176" i="7" s="1"/>
  <c r="F185" i="3"/>
  <c r="G185" i="3" s="1"/>
  <c r="G175" i="7" s="1"/>
  <c r="F184" i="3"/>
  <c r="G184" i="3" s="1"/>
  <c r="G174" i="7" s="1"/>
  <c r="F183" i="3"/>
  <c r="F182" i="3"/>
  <c r="G182" i="3" s="1"/>
  <c r="G172" i="7" s="1"/>
  <c r="F181" i="3"/>
  <c r="G181" i="3" s="1"/>
  <c r="G171" i="7" s="1"/>
  <c r="F180" i="3"/>
  <c r="G180" i="3" s="1"/>
  <c r="G170" i="7" s="1"/>
  <c r="F179" i="3"/>
  <c r="G179" i="3" s="1"/>
  <c r="G169" i="7" s="1"/>
  <c r="F178" i="3"/>
  <c r="F177" i="3"/>
  <c r="G177" i="3" s="1"/>
  <c r="F176" i="3"/>
  <c r="G176" i="3" s="1"/>
  <c r="G166" i="7" s="1"/>
  <c r="F175" i="3"/>
  <c r="G175" i="3" s="1"/>
  <c r="G165" i="7" s="1"/>
  <c r="F174" i="3"/>
  <c r="G174" i="3" s="1"/>
  <c r="G164" i="7" s="1"/>
  <c r="F173" i="3"/>
  <c r="G173" i="3" s="1"/>
  <c r="G163" i="7" s="1"/>
  <c r="F172" i="3"/>
  <c r="G172" i="3" s="1"/>
  <c r="G162" i="7" s="1"/>
  <c r="F171" i="3"/>
  <c r="G171" i="3" s="1"/>
  <c r="F170" i="3"/>
  <c r="F169" i="3"/>
  <c r="F168" i="3"/>
  <c r="F167" i="3"/>
  <c r="F166" i="3"/>
  <c r="G166" i="3" s="1"/>
  <c r="G156" i="7" s="1"/>
  <c r="F165" i="3"/>
  <c r="G165" i="3" s="1"/>
  <c r="G155" i="7" s="1"/>
  <c r="F164" i="3"/>
  <c r="F163" i="3"/>
  <c r="G163" i="3" s="1"/>
  <c r="G153" i="7" s="1"/>
  <c r="F162" i="3"/>
  <c r="G162" i="3" s="1"/>
  <c r="G152" i="7" s="1"/>
  <c r="F161" i="3"/>
  <c r="G161" i="3" s="1"/>
  <c r="F160" i="3"/>
  <c r="F159" i="3"/>
  <c r="G159" i="3" s="1"/>
  <c r="F158" i="3"/>
  <c r="G158" i="3" s="1"/>
  <c r="G148" i="7" s="1"/>
  <c r="F157" i="3"/>
  <c r="G157" i="3" s="1"/>
  <c r="G147" i="7" s="1"/>
  <c r="F156" i="3"/>
  <c r="G156" i="3" s="1"/>
  <c r="G146" i="7" s="1"/>
  <c r="F155" i="3"/>
  <c r="F154" i="3"/>
  <c r="G154" i="3" s="1"/>
  <c r="F153" i="3"/>
  <c r="F152" i="3"/>
  <c r="G152" i="3" s="1"/>
  <c r="G142" i="7" s="1"/>
  <c r="F151" i="3"/>
  <c r="G151" i="3" s="1"/>
  <c r="G141" i="7" s="1"/>
  <c r="F150" i="3"/>
  <c r="G150" i="3" s="1"/>
  <c r="G140" i="7" s="1"/>
  <c r="F149" i="3"/>
  <c r="G149" i="3" s="1"/>
  <c r="G139" i="7" s="1"/>
  <c r="F148" i="3"/>
  <c r="G148" i="3" s="1"/>
  <c r="G138" i="7" s="1"/>
  <c r="F147" i="3"/>
  <c r="G147" i="3" s="1"/>
  <c r="F146" i="3"/>
  <c r="G146" i="3" s="1"/>
  <c r="F145" i="3"/>
  <c r="G145" i="3" s="1"/>
  <c r="G135" i="7" s="1"/>
  <c r="F144" i="3"/>
  <c r="G144" i="3" s="1"/>
  <c r="G134" i="7" s="1"/>
  <c r="F143" i="3"/>
  <c r="G143" i="3" s="1"/>
  <c r="G133" i="7" s="1"/>
  <c r="F142" i="3"/>
  <c r="F141" i="3"/>
  <c r="F140" i="3"/>
  <c r="G140" i="3" s="1"/>
  <c r="F139" i="3"/>
  <c r="G139" i="3" s="1"/>
  <c r="G129" i="7" s="1"/>
  <c r="F138" i="3"/>
  <c r="F137" i="3"/>
  <c r="F136" i="3"/>
  <c r="G136" i="3" s="1"/>
  <c r="F135" i="3"/>
  <c r="G135" i="3" s="1"/>
  <c r="F134" i="3"/>
  <c r="F133" i="3"/>
  <c r="F132" i="3"/>
  <c r="G132" i="3" s="1"/>
  <c r="F131" i="3"/>
  <c r="G131" i="3" s="1"/>
  <c r="F130" i="3"/>
  <c r="F129" i="3"/>
  <c r="G129" i="3" s="1"/>
  <c r="F128" i="3"/>
  <c r="G128" i="3" s="1"/>
  <c r="F127" i="3"/>
  <c r="F126" i="3"/>
  <c r="G126" i="3" s="1"/>
  <c r="F125" i="3"/>
  <c r="G125" i="3" s="1"/>
  <c r="F124" i="3"/>
  <c r="F123" i="3"/>
  <c r="F122" i="3"/>
  <c r="F121" i="3"/>
  <c r="F120" i="3"/>
  <c r="F119" i="3"/>
  <c r="F118" i="3"/>
  <c r="F117" i="3"/>
  <c r="F116" i="3"/>
  <c r="F115" i="3"/>
  <c r="G115" i="3" s="1"/>
  <c r="G105" i="7" s="1"/>
  <c r="F114" i="3"/>
  <c r="G114" i="3" s="1"/>
  <c r="G104" i="7" s="1"/>
  <c r="F113" i="3"/>
  <c r="G113" i="3" s="1"/>
  <c r="F112" i="3"/>
  <c r="F111" i="3"/>
  <c r="F110" i="3"/>
  <c r="F109" i="3"/>
  <c r="G109" i="3" s="1"/>
  <c r="F108" i="3"/>
  <c r="G108" i="3" s="1"/>
  <c r="F107" i="3"/>
  <c r="G107" i="3" s="1"/>
  <c r="G97" i="7" s="1"/>
  <c r="F106" i="3"/>
  <c r="G106" i="3" s="1"/>
  <c r="F105" i="3"/>
  <c r="F104" i="3"/>
  <c r="F103" i="3"/>
  <c r="F102" i="3"/>
  <c r="G102" i="3" s="1"/>
  <c r="F101" i="3"/>
  <c r="G101" i="3" s="1"/>
  <c r="F100" i="3"/>
  <c r="G100" i="3" s="1"/>
  <c r="G90" i="7" s="1"/>
  <c r="F99" i="3"/>
  <c r="G99" i="3" s="1"/>
  <c r="G89" i="7" s="1"/>
  <c r="F98" i="3"/>
  <c r="G98" i="3" s="1"/>
  <c r="F97" i="3"/>
  <c r="G97" i="3" s="1"/>
  <c r="G87" i="7" s="1"/>
  <c r="F96" i="3"/>
  <c r="G96" i="3" s="1"/>
  <c r="F95" i="3"/>
  <c r="G95" i="3" s="1"/>
  <c r="G85" i="7" s="1"/>
  <c r="F94" i="3"/>
  <c r="G94" i="3" s="1"/>
  <c r="G84" i="7" s="1"/>
  <c r="F93" i="3"/>
  <c r="G93" i="3" s="1"/>
  <c r="G83" i="7" s="1"/>
  <c r="F92" i="3"/>
  <c r="G92" i="3" s="1"/>
  <c r="F91" i="3"/>
  <c r="F90" i="3"/>
  <c r="G90" i="3" s="1"/>
  <c r="F89" i="3"/>
  <c r="G89" i="3" s="1"/>
  <c r="G79" i="7" s="1"/>
  <c r="F88" i="3"/>
  <c r="G88" i="3" s="1"/>
  <c r="G78" i="7" s="1"/>
  <c r="F87" i="3"/>
  <c r="F86" i="3"/>
  <c r="F85" i="3"/>
  <c r="F84" i="3"/>
  <c r="F83" i="3"/>
  <c r="F82" i="3"/>
  <c r="F81" i="3"/>
  <c r="F80" i="3"/>
  <c r="F79" i="3"/>
  <c r="F78" i="3"/>
  <c r="G78" i="3" s="1"/>
  <c r="F77" i="3"/>
  <c r="G77" i="3" s="1"/>
  <c r="F76" i="3"/>
  <c r="G76" i="3" s="1"/>
  <c r="G66" i="7" s="1"/>
  <c r="F75" i="3"/>
  <c r="G75" i="3" s="1"/>
  <c r="G65" i="7" s="1"/>
  <c r="F74" i="3"/>
  <c r="G74" i="3" s="1"/>
  <c r="G64" i="7" s="1"/>
  <c r="F73" i="3"/>
  <c r="G73" i="3" s="1"/>
  <c r="G63" i="7" s="1"/>
  <c r="F72" i="3"/>
  <c r="G72" i="3" s="1"/>
  <c r="G62" i="7" s="1"/>
  <c r="F71" i="3"/>
  <c r="G71" i="3" s="1"/>
  <c r="G61" i="7" s="1"/>
  <c r="F70" i="3"/>
  <c r="G70" i="3" s="1"/>
  <c r="G60" i="7" s="1"/>
  <c r="F69" i="3"/>
  <c r="G69" i="3" s="1"/>
  <c r="G59" i="7" s="1"/>
  <c r="F68" i="3"/>
  <c r="G68" i="3" s="1"/>
  <c r="G58" i="7" s="1"/>
  <c r="F67" i="3"/>
  <c r="G67" i="3" s="1"/>
  <c r="G57" i="7" s="1"/>
  <c r="F66" i="3"/>
  <c r="G66" i="3" s="1"/>
  <c r="G56" i="7" s="1"/>
  <c r="F65" i="3"/>
  <c r="G65" i="3" s="1"/>
  <c r="G55" i="7" s="1"/>
  <c r="F64" i="3"/>
  <c r="G64" i="3" s="1"/>
  <c r="G54" i="7" s="1"/>
  <c r="F63" i="3"/>
  <c r="G63" i="3" s="1"/>
  <c r="G53" i="7" s="1"/>
  <c r="F62" i="3"/>
  <c r="G62" i="3" s="1"/>
  <c r="G52" i="7" s="1"/>
  <c r="F61" i="3"/>
  <c r="G61" i="3" s="1"/>
  <c r="G51" i="7" s="1"/>
  <c r="F60" i="3"/>
  <c r="G60" i="3" s="1"/>
  <c r="G50" i="7" s="1"/>
  <c r="F59" i="3"/>
  <c r="G59" i="3" s="1"/>
  <c r="F58" i="3"/>
  <c r="G58" i="3" s="1"/>
  <c r="G48" i="7" s="1"/>
  <c r="F57" i="3"/>
  <c r="G57" i="3" s="1"/>
  <c r="G47" i="7" s="1"/>
  <c r="F56" i="3"/>
  <c r="G56" i="3" s="1"/>
  <c r="G46" i="7" s="1"/>
  <c r="F55" i="3"/>
  <c r="G55" i="3" s="1"/>
  <c r="G45" i="7" s="1"/>
  <c r="F54" i="3"/>
  <c r="G54" i="3" s="1"/>
  <c r="G44" i="7" s="1"/>
  <c r="F53" i="3"/>
  <c r="G53" i="3" s="1"/>
  <c r="G43" i="7" s="1"/>
  <c r="F52" i="3"/>
  <c r="G52" i="3" s="1"/>
  <c r="G42" i="7" s="1"/>
  <c r="F51" i="3"/>
  <c r="G51" i="3" s="1"/>
  <c r="G41" i="7" s="1"/>
  <c r="F50" i="3"/>
  <c r="G50" i="3" s="1"/>
  <c r="F49" i="3"/>
  <c r="G49" i="3" s="1"/>
  <c r="G39" i="7" s="1"/>
  <c r="F48" i="3"/>
  <c r="G48" i="3" s="1"/>
  <c r="F47" i="3"/>
  <c r="G47" i="3" s="1"/>
  <c r="G37" i="7" s="1"/>
  <c r="F46" i="3"/>
  <c r="G46" i="3" s="1"/>
  <c r="G36" i="7" s="1"/>
  <c r="F45" i="3"/>
  <c r="F44" i="3"/>
  <c r="F43" i="3"/>
  <c r="G43" i="3" s="1"/>
  <c r="G33" i="7" s="1"/>
  <c r="F42" i="3"/>
  <c r="G42" i="3" s="1"/>
  <c r="F41" i="3"/>
  <c r="G41" i="3" s="1"/>
  <c r="F40" i="3"/>
  <c r="G40" i="3" s="1"/>
  <c r="G30" i="7" s="1"/>
  <c r="F39" i="3"/>
  <c r="G39" i="3" s="1"/>
  <c r="G29" i="7" s="1"/>
  <c r="F38" i="3"/>
  <c r="G38" i="3" s="1"/>
  <c r="G28" i="7" s="1"/>
  <c r="F37" i="3"/>
  <c r="G37" i="3" s="1"/>
  <c r="F36" i="3"/>
  <c r="F35" i="3"/>
  <c r="F34" i="3"/>
  <c r="F33" i="3"/>
  <c r="G33" i="3" s="1"/>
  <c r="F32" i="3"/>
  <c r="G32" i="3" s="1"/>
  <c r="G22" i="7" s="1"/>
  <c r="F31" i="3"/>
  <c r="G31" i="3" s="1"/>
  <c r="G21" i="7" s="1"/>
  <c r="F30" i="3"/>
  <c r="G30" i="3" s="1"/>
  <c r="F29" i="3"/>
  <c r="G29" i="3" s="1"/>
  <c r="F28" i="3"/>
  <c r="F27" i="3"/>
  <c r="F26" i="3"/>
  <c r="F25" i="3"/>
  <c r="F24" i="3"/>
  <c r="F23" i="3"/>
  <c r="G23" i="3" s="1"/>
  <c r="F22" i="3"/>
  <c r="G22" i="3" s="1"/>
  <c r="F21" i="3"/>
  <c r="G21" i="3" s="1"/>
  <c r="G11" i="7" s="1"/>
  <c r="F20" i="3"/>
  <c r="G20" i="3" s="1"/>
  <c r="G10" i="7" s="1"/>
  <c r="F19" i="3"/>
  <c r="G19" i="3" s="1"/>
  <c r="F18" i="3"/>
  <c r="G18" i="3" s="1"/>
  <c r="G8" i="7" s="1"/>
  <c r="F17" i="3"/>
  <c r="G17" i="3" s="1"/>
  <c r="G7" i="7" s="1"/>
  <c r="F16" i="3"/>
  <c r="G16" i="3" s="1"/>
  <c r="G6" i="7" s="1"/>
  <c r="F15" i="3"/>
  <c r="G15" i="3" s="1"/>
  <c r="G5" i="7" s="1"/>
  <c r="F14" i="3"/>
  <c r="G14" i="3" s="1"/>
  <c r="G4" i="7" s="1"/>
  <c r="K1" i="3"/>
  <c r="J1" i="3"/>
  <c r="I1" i="8"/>
  <c r="H1" i="8"/>
  <c r="F195" i="1"/>
  <c r="F194" i="1"/>
  <c r="F192" i="1"/>
  <c r="F193" i="1"/>
  <c r="F191" i="1"/>
  <c r="G191" i="1" s="1"/>
  <c r="C181" i="7" s="1"/>
  <c r="F190" i="1"/>
  <c r="F189" i="1"/>
  <c r="F188" i="1"/>
  <c r="F187" i="1"/>
  <c r="F186" i="1"/>
  <c r="F185" i="1"/>
  <c r="F184" i="1"/>
  <c r="F183" i="1"/>
  <c r="G183" i="1" s="1"/>
  <c r="C173" i="7" s="1"/>
  <c r="F182" i="1"/>
  <c r="F181" i="1"/>
  <c r="F180" i="1"/>
  <c r="G180" i="1" s="1"/>
  <c r="C170" i="7" s="1"/>
  <c r="F179" i="1"/>
  <c r="F178" i="1"/>
  <c r="F177" i="1"/>
  <c r="G177" i="1" s="1"/>
  <c r="C167" i="7" s="1"/>
  <c r="F176" i="1"/>
  <c r="F175" i="1"/>
  <c r="F174" i="1"/>
  <c r="G174" i="1" s="1"/>
  <c r="C164" i="7" s="1"/>
  <c r="F173" i="1"/>
  <c r="F172" i="1"/>
  <c r="F171" i="1"/>
  <c r="F170" i="1"/>
  <c r="G170" i="1" s="1"/>
  <c r="C160" i="7" s="1"/>
  <c r="F169" i="1"/>
  <c r="F168" i="1"/>
  <c r="G168" i="1" s="1"/>
  <c r="C158" i="7" s="1"/>
  <c r="F167" i="1"/>
  <c r="F166" i="1"/>
  <c r="F165" i="1"/>
  <c r="G165" i="1" s="1"/>
  <c r="C155" i="7" s="1"/>
  <c r="F164" i="1"/>
  <c r="G164" i="1" s="1"/>
  <c r="C154" i="7" s="1"/>
  <c r="F163" i="1"/>
  <c r="G163" i="1" s="1"/>
  <c r="C153" i="7" s="1"/>
  <c r="F162" i="1"/>
  <c r="F161" i="1"/>
  <c r="F160" i="1"/>
  <c r="G160" i="1" s="1"/>
  <c r="C150" i="7" s="1"/>
  <c r="F159" i="1"/>
  <c r="F158" i="1"/>
  <c r="G158" i="1" s="1"/>
  <c r="C148" i="7" s="1"/>
  <c r="F157" i="1"/>
  <c r="F156" i="1"/>
  <c r="G156" i="1" s="1"/>
  <c r="C146" i="7" s="1"/>
  <c r="F155" i="1"/>
  <c r="F154" i="1"/>
  <c r="F153" i="1"/>
  <c r="F152" i="1"/>
  <c r="F151" i="1"/>
  <c r="G151" i="1" s="1"/>
  <c r="C141" i="7" s="1"/>
  <c r="F150" i="1"/>
  <c r="F149" i="1"/>
  <c r="G149" i="1" s="1"/>
  <c r="C139" i="7" s="1"/>
  <c r="F148" i="1"/>
  <c r="G148" i="1" s="1"/>
  <c r="C138" i="7" s="1"/>
  <c r="F147" i="1"/>
  <c r="F146" i="1"/>
  <c r="F145" i="1"/>
  <c r="G145" i="1" s="1"/>
  <c r="C135" i="7" s="1"/>
  <c r="F144" i="1"/>
  <c r="F143" i="1"/>
  <c r="G143" i="1" s="1"/>
  <c r="C133" i="7" s="1"/>
  <c r="F142" i="1"/>
  <c r="F141" i="1"/>
  <c r="F140" i="1"/>
  <c r="G140" i="1" s="1"/>
  <c r="C130" i="7" s="1"/>
  <c r="F139" i="1"/>
  <c r="G139" i="1" s="1"/>
  <c r="C129" i="7" s="1"/>
  <c r="F138" i="1"/>
  <c r="F137" i="1"/>
  <c r="G137" i="1" s="1"/>
  <c r="C127" i="7" s="1"/>
  <c r="F136" i="1"/>
  <c r="G136" i="1" s="1"/>
  <c r="C126" i="7" s="1"/>
  <c r="F135" i="1"/>
  <c r="G135" i="1" s="1"/>
  <c r="C125" i="7" s="1"/>
  <c r="F134" i="1"/>
  <c r="G134" i="1" s="1"/>
  <c r="C124" i="7" s="1"/>
  <c r="F133" i="1"/>
  <c r="G133" i="1" s="1"/>
  <c r="C123" i="7" s="1"/>
  <c r="F132" i="1"/>
  <c r="F131" i="1"/>
  <c r="F130" i="1"/>
  <c r="F129" i="1"/>
  <c r="F128" i="1"/>
  <c r="F127" i="1"/>
  <c r="F126" i="1"/>
  <c r="F125" i="1"/>
  <c r="G125" i="1" s="1"/>
  <c r="C115" i="7" s="1"/>
  <c r="F124" i="1"/>
  <c r="F123" i="1"/>
  <c r="F122" i="1"/>
  <c r="G122" i="1" s="1"/>
  <c r="C112" i="7" s="1"/>
  <c r="F121" i="1"/>
  <c r="F120" i="1"/>
  <c r="F119" i="1"/>
  <c r="G119" i="1" s="1"/>
  <c r="C109" i="7" s="1"/>
  <c r="F118" i="1"/>
  <c r="F117" i="1"/>
  <c r="F116" i="1"/>
  <c r="F115" i="1"/>
  <c r="F114" i="1"/>
  <c r="F113" i="1"/>
  <c r="F112" i="1"/>
  <c r="F111" i="1"/>
  <c r="G111" i="1" s="1"/>
  <c r="C101" i="7" s="1"/>
  <c r="F110" i="1"/>
  <c r="G110" i="1" s="1"/>
  <c r="C100" i="7" s="1"/>
  <c r="F109" i="1"/>
  <c r="F108" i="1"/>
  <c r="G108" i="1" s="1"/>
  <c r="C98" i="7" s="1"/>
  <c r="F107" i="1"/>
  <c r="G107" i="1" s="1"/>
  <c r="C97" i="7" s="1"/>
  <c r="F106" i="1"/>
  <c r="F105" i="1"/>
  <c r="F104" i="1"/>
  <c r="F103" i="1"/>
  <c r="F102" i="1"/>
  <c r="G102" i="1" s="1"/>
  <c r="C92" i="7" s="1"/>
  <c r="F101" i="1"/>
  <c r="G101" i="1" s="1"/>
  <c r="C91" i="7" s="1"/>
  <c r="F100" i="1"/>
  <c r="F99" i="1"/>
  <c r="F98" i="1"/>
  <c r="F97" i="1"/>
  <c r="F96" i="1"/>
  <c r="F95" i="1"/>
  <c r="F94" i="1"/>
  <c r="F93" i="1"/>
  <c r="G93" i="1" s="1"/>
  <c r="C83" i="7" s="1"/>
  <c r="F92" i="1"/>
  <c r="G92" i="1" s="1"/>
  <c r="C82" i="7" s="1"/>
  <c r="F91" i="1"/>
  <c r="F90" i="1"/>
  <c r="F89" i="1"/>
  <c r="F88" i="1"/>
  <c r="F87" i="1"/>
  <c r="G87" i="1" s="1"/>
  <c r="C77" i="7" s="1"/>
  <c r="F86" i="1"/>
  <c r="G86" i="1" s="1"/>
  <c r="C76" i="7" s="1"/>
  <c r="F85" i="1"/>
  <c r="F84" i="1"/>
  <c r="G84" i="1" s="1"/>
  <c r="C74" i="7" s="1"/>
  <c r="F83" i="1"/>
  <c r="G83" i="1" s="1"/>
  <c r="C73" i="7" s="1"/>
  <c r="F82" i="1"/>
  <c r="G82" i="1" s="1"/>
  <c r="C72" i="7" s="1"/>
  <c r="F81" i="1"/>
  <c r="F80" i="1"/>
  <c r="G80" i="1" s="1"/>
  <c r="C70" i="7" s="1"/>
  <c r="F79" i="1"/>
  <c r="G79" i="1" s="1"/>
  <c r="C69" i="7" s="1"/>
  <c r="F78" i="1"/>
  <c r="F77" i="1"/>
  <c r="G77" i="1" s="1"/>
  <c r="C67" i="7" s="1"/>
  <c r="F76" i="1"/>
  <c r="G76" i="1" s="1"/>
  <c r="C66" i="7" s="1"/>
  <c r="F75" i="1"/>
  <c r="G75" i="1" s="1"/>
  <c r="C65" i="7" s="1"/>
  <c r="F74" i="1"/>
  <c r="G74" i="1" s="1"/>
  <c r="C64" i="7" s="1"/>
  <c r="F73" i="1"/>
  <c r="G73" i="1" s="1"/>
  <c r="C63" i="7" s="1"/>
  <c r="F72" i="1"/>
  <c r="G72" i="1" s="1"/>
  <c r="C62" i="7" s="1"/>
  <c r="F71" i="1"/>
  <c r="G71" i="1" s="1"/>
  <c r="C61" i="7" s="1"/>
  <c r="F70" i="1"/>
  <c r="G70" i="1" s="1"/>
  <c r="C60" i="7" s="1"/>
  <c r="F69" i="1"/>
  <c r="G69" i="1" s="1"/>
  <c r="C59" i="7" s="1"/>
  <c r="F68" i="1"/>
  <c r="G68" i="1" s="1"/>
  <c r="C58" i="7" s="1"/>
  <c r="F67" i="1"/>
  <c r="G67" i="1" s="1"/>
  <c r="C57" i="7" s="1"/>
  <c r="F66" i="1"/>
  <c r="F65" i="1"/>
  <c r="F64" i="1"/>
  <c r="G64" i="1" s="1"/>
  <c r="C54" i="7" s="1"/>
  <c r="F63" i="1"/>
  <c r="F62" i="1"/>
  <c r="G62" i="1" s="1"/>
  <c r="C52" i="7" s="1"/>
  <c r="F61" i="1"/>
  <c r="F60" i="1"/>
  <c r="F59" i="1"/>
  <c r="G59" i="1" s="1"/>
  <c r="C49" i="7" s="1"/>
  <c r="F58" i="1"/>
  <c r="F57" i="1"/>
  <c r="G57" i="1" s="1"/>
  <c r="C47" i="7" s="1"/>
  <c r="F56" i="1"/>
  <c r="G56" i="1" s="1"/>
  <c r="C46" i="7" s="1"/>
  <c r="F55" i="1"/>
  <c r="G55" i="1" s="1"/>
  <c r="C45" i="7" s="1"/>
  <c r="F54" i="1"/>
  <c r="F53" i="1"/>
  <c r="G53" i="1" s="1"/>
  <c r="C43" i="7" s="1"/>
  <c r="F52" i="1"/>
  <c r="F51" i="1"/>
  <c r="G51" i="1" s="1"/>
  <c r="C41" i="7" s="1"/>
  <c r="F50" i="1"/>
  <c r="G50" i="1" s="1"/>
  <c r="C40" i="7" s="1"/>
  <c r="F49" i="1"/>
  <c r="F48" i="1"/>
  <c r="G48" i="1" s="1"/>
  <c r="C38" i="7" s="1"/>
  <c r="F47" i="1"/>
  <c r="G47" i="1" s="1"/>
  <c r="C37" i="7" s="1"/>
  <c r="F46" i="1"/>
  <c r="F45" i="1"/>
  <c r="G45" i="1" s="1"/>
  <c r="C35" i="7" s="1"/>
  <c r="F44" i="1"/>
  <c r="G44" i="1" s="1"/>
  <c r="C34" i="7" s="1"/>
  <c r="F43" i="1"/>
  <c r="F42" i="1"/>
  <c r="G42" i="1" s="1"/>
  <c r="C32" i="7" s="1"/>
  <c r="F41" i="1"/>
  <c r="F40" i="1"/>
  <c r="F39" i="1"/>
  <c r="F38" i="1"/>
  <c r="F37" i="1"/>
  <c r="G37" i="1" s="1"/>
  <c r="C27" i="7" s="1"/>
  <c r="F36" i="1"/>
  <c r="F35" i="1"/>
  <c r="G35" i="1" s="1"/>
  <c r="C25" i="7" s="1"/>
  <c r="F34" i="1"/>
  <c r="G34" i="1" s="1"/>
  <c r="C24" i="7" s="1"/>
  <c r="F33" i="1"/>
  <c r="G33" i="1" s="1"/>
  <c r="C23" i="7" s="1"/>
  <c r="F32" i="1"/>
  <c r="G32" i="1" s="1"/>
  <c r="C22" i="7" s="1"/>
  <c r="F31" i="1"/>
  <c r="G31" i="1" s="1"/>
  <c r="C21" i="7" s="1"/>
  <c r="F30" i="1"/>
  <c r="F29" i="1"/>
  <c r="F28" i="1"/>
  <c r="F27" i="1"/>
  <c r="F26" i="1"/>
  <c r="G26" i="1" s="1"/>
  <c r="C16" i="7" s="1"/>
  <c r="F25" i="1"/>
  <c r="G25" i="1" s="1"/>
  <c r="C15" i="7" s="1"/>
  <c r="F24" i="1"/>
  <c r="G24" i="1" s="1"/>
  <c r="C14" i="7" s="1"/>
  <c r="F23" i="1"/>
  <c r="F22" i="1"/>
  <c r="G22" i="1" s="1"/>
  <c r="C12" i="7" s="1"/>
  <c r="F21" i="1"/>
  <c r="F20" i="1"/>
  <c r="F17" i="1"/>
  <c r="F16" i="1"/>
  <c r="F15" i="1"/>
  <c r="G15" i="1" s="1"/>
  <c r="C5" i="7" s="1"/>
  <c r="F14" i="1"/>
  <c r="K1" i="1"/>
  <c r="J1" i="1"/>
  <c r="Q1" i="8"/>
  <c r="G204" i="4" l="1"/>
  <c r="G155" i="3"/>
  <c r="G145" i="7" s="1"/>
  <c r="G198" i="3"/>
  <c r="G188" i="7" s="1"/>
  <c r="Y1" i="5"/>
  <c r="C200" i="1"/>
  <c r="E20" i="5"/>
  <c r="I11" i="7" s="1"/>
  <c r="G194" i="1"/>
  <c r="C184" i="7" s="1"/>
  <c r="G195" i="1"/>
  <c r="G193" i="1"/>
  <c r="C183" i="7" s="1"/>
  <c r="G189" i="1"/>
  <c r="C179" i="7" s="1"/>
  <c r="G192" i="1"/>
  <c r="C182" i="7" s="1"/>
  <c r="H184" i="7"/>
  <c r="H194" i="7" s="1"/>
  <c r="E198" i="10"/>
  <c r="F200" i="1"/>
  <c r="E11" i="7"/>
  <c r="E194" i="7" s="1"/>
  <c r="G26" i="3"/>
  <c r="G16" i="7" s="1"/>
  <c r="G35" i="3"/>
  <c r="G25" i="7" s="1"/>
  <c r="G44" i="3"/>
  <c r="G34" i="7" s="1"/>
  <c r="G82" i="3"/>
  <c r="G72" i="7" s="1"/>
  <c r="G84" i="3"/>
  <c r="G74" i="7" s="1"/>
  <c r="G86" i="3"/>
  <c r="G76" i="7" s="1"/>
  <c r="G104" i="3"/>
  <c r="G94" i="7" s="1"/>
  <c r="G110" i="3"/>
  <c r="G100" i="7" s="1"/>
  <c r="G112" i="3"/>
  <c r="G102" i="7" s="1"/>
  <c r="G117" i="3"/>
  <c r="G107" i="7" s="1"/>
  <c r="G119" i="3"/>
  <c r="G109" i="7" s="1"/>
  <c r="G121" i="3"/>
  <c r="G111" i="7" s="1"/>
  <c r="G133" i="3"/>
  <c r="G123" i="7" s="1"/>
  <c r="G137" i="3"/>
  <c r="G127" i="7" s="1"/>
  <c r="G141" i="3"/>
  <c r="G131" i="7" s="1"/>
  <c r="G160" i="3"/>
  <c r="G150" i="7" s="1"/>
  <c r="G164" i="3"/>
  <c r="G154" i="7" s="1"/>
  <c r="G170" i="3"/>
  <c r="G160" i="7" s="1"/>
  <c r="G27" i="3"/>
  <c r="G17" i="7" s="1"/>
  <c r="G34" i="3"/>
  <c r="G24" i="7" s="1"/>
  <c r="G36" i="3"/>
  <c r="G26" i="7" s="1"/>
  <c r="G45" i="3"/>
  <c r="G35" i="7" s="1"/>
  <c r="G79" i="3"/>
  <c r="G69" i="7" s="1"/>
  <c r="G83" i="3"/>
  <c r="G73" i="7" s="1"/>
  <c r="G87" i="3"/>
  <c r="G77" i="7" s="1"/>
  <c r="G111" i="3"/>
  <c r="G101" i="7" s="1"/>
  <c r="G116" i="3"/>
  <c r="G106" i="7" s="1"/>
  <c r="G118" i="3"/>
  <c r="G108" i="7" s="1"/>
  <c r="G120" i="3"/>
  <c r="G110" i="7" s="1"/>
  <c r="G122" i="3"/>
  <c r="G112" i="7" s="1"/>
  <c r="G134" i="3"/>
  <c r="G124" i="7" s="1"/>
  <c r="G138" i="3"/>
  <c r="G128" i="7" s="1"/>
  <c r="G142" i="3"/>
  <c r="G132" i="7" s="1"/>
  <c r="G153" i="3"/>
  <c r="G143" i="7" s="1"/>
  <c r="G167" i="3"/>
  <c r="G157" i="7" s="1"/>
  <c r="G169" i="3"/>
  <c r="G159" i="7" s="1"/>
  <c r="G183" i="3"/>
  <c r="G173" i="7" s="1"/>
  <c r="G168" i="3"/>
  <c r="G158" i="7" s="1"/>
  <c r="G80" i="3"/>
  <c r="G70" i="7" s="1"/>
  <c r="G25" i="3"/>
  <c r="G15" i="7" s="1"/>
  <c r="G24" i="3"/>
  <c r="G14" i="7" s="1"/>
  <c r="D194" i="5"/>
  <c r="G123" i="3"/>
  <c r="G113" i="7" s="1"/>
  <c r="G91" i="3"/>
  <c r="G81" i="7" s="1"/>
  <c r="G85" i="3"/>
  <c r="G75" i="7" s="1"/>
  <c r="G184" i="1"/>
  <c r="C174" i="7" s="1"/>
  <c r="G181" i="1"/>
  <c r="C171" i="7" s="1"/>
  <c r="G154" i="1"/>
  <c r="C144" i="7" s="1"/>
  <c r="G142" i="1"/>
  <c r="C132" i="7" s="1"/>
  <c r="G123" i="1"/>
  <c r="C113" i="7" s="1"/>
  <c r="G109" i="1"/>
  <c r="C99" i="7" s="1"/>
  <c r="G99" i="1"/>
  <c r="C89" i="7" s="1"/>
  <c r="G91" i="1"/>
  <c r="C81" i="7" s="1"/>
  <c r="G88" i="1"/>
  <c r="C78" i="7" s="1"/>
  <c r="G85" i="1"/>
  <c r="C75" i="7" s="1"/>
  <c r="G60" i="1"/>
  <c r="C50" i="7" s="1"/>
  <c r="G54" i="1"/>
  <c r="C44" i="7" s="1"/>
  <c r="G52" i="1"/>
  <c r="C42" i="7" s="1"/>
  <c r="G46" i="1"/>
  <c r="C36" i="7" s="1"/>
  <c r="G41" i="1"/>
  <c r="C31" i="7" s="1"/>
  <c r="G38" i="1"/>
  <c r="C28" i="7" s="1"/>
  <c r="G36" i="1"/>
  <c r="C26" i="7" s="1"/>
  <c r="E77" i="5"/>
  <c r="G178" i="3"/>
  <c r="G168" i="7" s="1"/>
  <c r="G130" i="3"/>
  <c r="G120" i="7" s="1"/>
  <c r="G127" i="3"/>
  <c r="G117" i="7" s="1"/>
  <c r="G124" i="3"/>
  <c r="G114" i="7" s="1"/>
  <c r="G105" i="3"/>
  <c r="G95" i="7" s="1"/>
  <c r="G103" i="3"/>
  <c r="G93" i="7" s="1"/>
  <c r="G81" i="3"/>
  <c r="G71" i="7" s="1"/>
  <c r="G28" i="3"/>
  <c r="G18" i="7" s="1"/>
  <c r="F204" i="3"/>
  <c r="G188" i="1"/>
  <c r="C178" i="7" s="1"/>
  <c r="G179" i="1"/>
  <c r="C169" i="7" s="1"/>
  <c r="G178" i="1"/>
  <c r="C168" i="7" s="1"/>
  <c r="G169" i="1"/>
  <c r="C159" i="7" s="1"/>
  <c r="G162" i="1"/>
  <c r="C152" i="7" s="1"/>
  <c r="G161" i="1"/>
  <c r="C151" i="7" s="1"/>
  <c r="G155" i="1"/>
  <c r="C145" i="7" s="1"/>
  <c r="G150" i="1"/>
  <c r="C140" i="7" s="1"/>
  <c r="G147" i="1"/>
  <c r="C137" i="7" s="1"/>
  <c r="G146" i="1"/>
  <c r="C136" i="7" s="1"/>
  <c r="G141" i="1"/>
  <c r="C131" i="7" s="1"/>
  <c r="G138" i="1"/>
  <c r="C128" i="7" s="1"/>
  <c r="G130" i="1"/>
  <c r="C120" i="7" s="1"/>
  <c r="G128" i="1"/>
  <c r="C118" i="7" s="1"/>
  <c r="G127" i="1"/>
  <c r="C117" i="7" s="1"/>
  <c r="G126" i="1"/>
  <c r="C116" i="7" s="1"/>
  <c r="G124" i="1"/>
  <c r="C114" i="7" s="1"/>
  <c r="G121" i="1"/>
  <c r="C111" i="7" s="1"/>
  <c r="G120" i="1"/>
  <c r="C110" i="7" s="1"/>
  <c r="G115" i="1"/>
  <c r="C105" i="7" s="1"/>
  <c r="G106" i="1"/>
  <c r="C96" i="7" s="1"/>
  <c r="G105" i="1"/>
  <c r="C95" i="7" s="1"/>
  <c r="G104" i="1"/>
  <c r="C94" i="7" s="1"/>
  <c r="G103" i="1"/>
  <c r="C93" i="7" s="1"/>
  <c r="G100" i="1"/>
  <c r="C90" i="7" s="1"/>
  <c r="G89" i="1"/>
  <c r="C79" i="7" s="1"/>
  <c r="G81" i="1"/>
  <c r="C71" i="7" s="1"/>
  <c r="G78" i="1"/>
  <c r="C68" i="7" s="1"/>
  <c r="G66" i="1"/>
  <c r="C56" i="7" s="1"/>
  <c r="G65" i="1"/>
  <c r="C55" i="7" s="1"/>
  <c r="G63" i="1"/>
  <c r="C53" i="7" s="1"/>
  <c r="G49" i="1"/>
  <c r="C39" i="7" s="1"/>
  <c r="G39" i="1"/>
  <c r="C29" i="7" s="1"/>
  <c r="G30" i="1"/>
  <c r="C20" i="7" s="1"/>
  <c r="G28" i="1"/>
  <c r="C18" i="7" s="1"/>
  <c r="G23" i="1"/>
  <c r="C13" i="7" s="1"/>
  <c r="G21" i="1"/>
  <c r="C11" i="7" s="1"/>
  <c r="G20" i="1"/>
  <c r="C10" i="7" s="1"/>
  <c r="G16" i="1"/>
  <c r="C6" i="7" s="1"/>
  <c r="G152" i="1"/>
  <c r="C142" i="7" s="1"/>
  <c r="G40" i="1"/>
  <c r="C30" i="7" s="1"/>
  <c r="G17" i="1"/>
  <c r="C7" i="7" s="1"/>
  <c r="G13" i="7"/>
  <c r="G14" i="1"/>
  <c r="C4" i="7" s="1"/>
  <c r="D200" i="8"/>
  <c r="G200" i="1" l="1"/>
  <c r="C186" i="7"/>
  <c r="C191" i="7"/>
  <c r="C192" i="7"/>
  <c r="G204" i="3"/>
  <c r="I68" i="7"/>
  <c r="I194" i="7" s="1"/>
  <c r="E194" i="5"/>
  <c r="G194" i="7"/>
  <c r="C185" i="7" l="1"/>
  <c r="C194" i="7" s="1"/>
  <c r="F194" i="7"/>
</calcChain>
</file>

<file path=xl/comments1.xml><?xml version="1.0" encoding="utf-8"?>
<comments xmlns="http://schemas.openxmlformats.org/spreadsheetml/2006/main">
  <authors>
    <author>Mains, Jacqueline</author>
    <author>Moreno, Sharon</author>
  </authors>
  <commentList>
    <comment ref="C42" authorId="0">
      <text>
        <r>
          <rPr>
            <b/>
            <sz val="9"/>
            <color indexed="81"/>
            <rFont val="Tahoma"/>
            <family val="2"/>
          </rPr>
          <t>District declined funds. JM</t>
        </r>
      </text>
    </comment>
    <comment ref="R91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Processed in June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District Declined Funds</t>
        </r>
      </text>
    </comment>
    <comment ref="Q14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$50,857 was reqst'd in March, but was not paid. sm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District Declined Funds</t>
        </r>
      </text>
    </comment>
  </commentList>
</comments>
</file>

<file path=xl/comments2.xml><?xml version="1.0" encoding="utf-8"?>
<comments xmlns="http://schemas.openxmlformats.org/spreadsheetml/2006/main">
  <authors>
    <author>Tim Kahle</author>
  </authors>
  <commentList>
    <comment ref="C196" authorId="0">
      <text>
        <r>
          <rPr>
            <b/>
            <sz val="8"/>
            <color indexed="81"/>
            <rFont val="Tahoma"/>
            <family val="2"/>
          </rPr>
          <t xml:space="preserve">Current year allocation is $800,000 and $78,089 is reflected on FY12-13 worksheet.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Tim Kahle</author>
    <author>Kahle, Tim</author>
    <author>Moreno, Sharon</author>
  </authors>
  <commentList>
    <comment ref="R79" authorId="0">
      <text>
        <r>
          <rPr>
            <b/>
            <sz val="8"/>
            <color indexed="81"/>
            <rFont val="Tahoma"/>
            <family val="2"/>
          </rPr>
          <t>Refund of cash on hand.</t>
        </r>
      </text>
    </comment>
    <comment ref="S91" authorId="1">
      <text>
        <r>
          <rPr>
            <b/>
            <sz val="8"/>
            <color indexed="81"/>
            <rFont val="Tahoma"/>
            <family val="2"/>
          </rPr>
          <t>Refund of cash on hand. 6/18/13 TK
Re-entered on 9-29-16 to correct issue.</t>
        </r>
      </text>
    </comment>
    <comment ref="Y91" authorId="0">
      <text>
        <r>
          <rPr>
            <b/>
            <sz val="9"/>
            <color indexed="81"/>
            <rFont val="Tahoma"/>
            <charset val="1"/>
          </rPr>
          <t xml:space="preserve">Moved $90,164 from FY13-14 to correct issue caused in carryover from $323,288 refund of cash on hand. TK
</t>
        </r>
      </text>
    </comment>
    <comment ref="Z91" authorId="0">
      <text>
        <r>
          <rPr>
            <b/>
            <sz val="9"/>
            <color indexed="81"/>
            <rFont val="Tahoma"/>
            <charset val="1"/>
          </rPr>
          <t>Moved $203,946 from FY13-14 to correct issue caused in carryover from $323,288 refund of cash on hand. TK</t>
        </r>
      </text>
    </comment>
    <comment ref="AB91" authorId="0">
      <text>
        <r>
          <rPr>
            <b/>
            <sz val="9"/>
            <color indexed="81"/>
            <rFont val="Tahoma"/>
            <charset val="1"/>
          </rPr>
          <t>Moved $29,178 from FY13-14 to correct issue caused in carryover from $323,288 refund of cash on hand. TK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107" authorId="2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Funds returned to II-D ARAA, not II-A where they belong. See PDF dtd 6-12-13</t>
        </r>
      </text>
    </comment>
    <comment ref="Q109" authorId="2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Recv'd ck#1007043 $37 repaying overpayment issued 3/2013</t>
        </r>
      </text>
    </comment>
    <comment ref="AI150" authorId="0">
      <text>
        <r>
          <rPr>
            <b/>
            <sz val="9"/>
            <color indexed="81"/>
            <rFont val="Tahoma"/>
            <charset val="1"/>
          </rPr>
          <t>Tim Kahle:</t>
        </r>
        <r>
          <rPr>
            <sz val="9"/>
            <color indexed="81"/>
            <rFont val="Tahoma"/>
            <charset val="1"/>
          </rPr>
          <t xml:space="preserve">
Adjustment of 9-15-14 RFF which was incorrectly booked against FY13-14.</t>
        </r>
      </text>
    </comment>
    <comment ref="O198" authorId="2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This was paid in March</t>
        </r>
      </text>
    </comment>
  </commentList>
</comments>
</file>

<file path=xl/comments4.xml><?xml version="1.0" encoding="utf-8"?>
<comments xmlns="http://schemas.openxmlformats.org/spreadsheetml/2006/main">
  <authors>
    <author>Tim Kahle</author>
    <author>Moreno, Sharon</author>
    <author>Mosness, Ron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 xml:space="preserve">Includes $184,661 allocation for 0900 and $3,562 allocation signover from 0920 Elizabeth C-1.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 xml:space="preserve">$3,206 adjustment made to closeout FY1112 signover funds.
</t>
        </r>
      </text>
    </comment>
    <comment ref="S6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$11,087 but added $9 to close out FY13. Total RFF paid = $11,096</t>
        </r>
      </text>
    </comment>
    <comment ref="S86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$7,320 but added $9 to close out FY13. Total RFF paid = $7,329.</t>
        </r>
      </text>
    </comment>
    <comment ref="S105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$520 but added $51 to close out FY13. Total RFF paid = $571.</t>
        </r>
      </text>
    </comment>
    <comment ref="S123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$3,318 but added $14 to close out FY13. Total RFF paid = $3,332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 xml:space="preserve">Includes $68,631 allocation for 2180 and $6,575 allocation signover from 2830 Telluride R-1.
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$7,116 adjustment made to closeout signover funds from FY1112.</t>
        </r>
      </text>
    </comment>
    <comment ref="C134" authorId="0">
      <text>
        <r>
          <rPr>
            <b/>
            <sz val="9"/>
            <color indexed="81"/>
            <rFont val="Tahoma"/>
            <family val="2"/>
          </rPr>
          <t>Includes $5,274 allocation for 2530, $548 allocation signover from 2570 Swink 33 and $4,932 allocation signover from 2670 Holly RE-3.</t>
        </r>
      </text>
    </comment>
    <comment ref="S145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$6,125 but added $11 to close out FY13. Total RFF paid = $6,136.</t>
        </r>
      </text>
    </comment>
    <comment ref="G155" authorId="2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Balance adjustment for carryover to 9055 San Juan BOCES</t>
        </r>
      </text>
    </comment>
    <comment ref="S158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$10,881 but added $10 to close out FY13. Total RFF paid = $10,891.</t>
        </r>
      </text>
    </comment>
    <comment ref="S180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$17,725 but added $15 to close out FY13. Total RFF paid = $17,740.</t>
        </r>
      </text>
    </comment>
    <comment ref="R19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Funds were requested on wrong form -this is paid in GPS. Has NOT been paid. sm</t>
        </r>
      </text>
    </comment>
    <comment ref="S19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$10,088 but added $23 to close out FY13. Total RFF paid = $10,111.</t>
        </r>
      </text>
    </comment>
    <comment ref="G198" authorId="2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Carryover adjustment from 2740 Monte Vista</t>
        </r>
      </text>
    </comment>
  </commentList>
</comments>
</file>

<file path=xl/comments5.xml><?xml version="1.0" encoding="utf-8"?>
<comments xmlns="http://schemas.openxmlformats.org/spreadsheetml/2006/main">
  <authors>
    <author>Moreno, Sharon</author>
    <author>Tim Kahle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Allocs agree with Adb. @ 4-2-13</t>
        </r>
      </text>
    </comment>
    <comment ref="U146" authorId="1">
      <text>
        <r>
          <rPr>
            <b/>
            <sz val="9"/>
            <color indexed="81"/>
            <rFont val="Tahoma"/>
            <family val="2"/>
          </rPr>
          <t>Received funds in error.  Sent refund to CDE. TK</t>
        </r>
      </text>
    </comment>
  </commentList>
</comments>
</file>

<file path=xl/sharedStrings.xml><?xml version="1.0" encoding="utf-8"?>
<sst xmlns="http://schemas.openxmlformats.org/spreadsheetml/2006/main" count="2928" uniqueCount="521">
  <si>
    <t>Grant:</t>
  </si>
  <si>
    <t>CFDA #</t>
  </si>
  <si>
    <t>FISCAL YEAR:</t>
  </si>
  <si>
    <t>2011-12</t>
  </si>
  <si>
    <t>GRANT NUMBER:</t>
  </si>
  <si>
    <t>Tim Kahle   303-866-6034 or kahle_t@cde.state.co.us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</si>
  <si>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</si>
  <si>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</si>
  <si>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</si>
  <si>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</si>
  <si>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</si>
  <si>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</si>
  <si>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</si>
  <si>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</si>
  <si>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</si>
  <si>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</si>
  <si>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</si>
  <si>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</si>
  <si>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</si>
  <si>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</si>
  <si>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</si>
  <si>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</si>
  <si>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</si>
  <si>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</si>
  <si>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</si>
  <si>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</si>
  <si>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</si>
  <si>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</si>
  <si>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</si>
  <si>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</si>
  <si>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</si>
  <si>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</si>
  <si>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</si>
  <si>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</si>
  <si>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</si>
  <si>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</si>
  <si>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</si>
  <si>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</si>
  <si>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</si>
  <si>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</si>
  <si>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</si>
  <si>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</si>
  <si>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</si>
  <si>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</si>
  <si>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</si>
  <si>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</si>
  <si>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</si>
  <si>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</si>
  <si>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</si>
  <si>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</si>
  <si>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</si>
  <si>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</si>
  <si>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</si>
  <si>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</si>
  <si>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</si>
  <si>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</si>
  <si>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</si>
  <si>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</si>
  <si>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</si>
  <si>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</si>
  <si>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</si>
  <si>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</si>
  <si>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</si>
  <si>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</si>
  <si>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</si>
  <si>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</si>
  <si>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</si>
  <si>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</si>
  <si>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</si>
  <si>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</si>
  <si>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</si>
  <si>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</si>
  <si>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</si>
  <si>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</si>
  <si>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</si>
  <si>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</si>
  <si>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</si>
  <si>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</si>
  <si>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</si>
  <si>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</si>
  <si>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</si>
  <si>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</si>
  <si>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</si>
  <si>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</si>
  <si>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</si>
  <si>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</si>
  <si>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</si>
  <si>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</si>
  <si>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</si>
  <si>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</si>
  <si>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</si>
  <si>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</si>
  <si>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</si>
  <si>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</si>
  <si>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</si>
  <si>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</si>
  <si>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</si>
  <si>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</si>
  <si>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</si>
  <si>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</si>
  <si>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</si>
  <si>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</si>
  <si>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</si>
  <si>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</si>
  <si>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</si>
  <si>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</si>
  <si>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</si>
  <si>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</si>
  <si>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</si>
  <si>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</si>
  <si>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</si>
  <si>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</si>
  <si>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</si>
  <si>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</si>
  <si>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</si>
  <si>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</si>
  <si>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</si>
  <si>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</si>
  <si>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</si>
  <si>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</si>
  <si>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</si>
  <si>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</si>
  <si>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</si>
  <si>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</si>
  <si>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</si>
  <si>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</si>
  <si>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</si>
  <si>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</si>
  <si>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</si>
  <si>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</si>
  <si>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</si>
  <si>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</si>
  <si>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</si>
  <si>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</si>
  <si>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</si>
  <si>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</si>
  <si>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</si>
  <si>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</si>
  <si>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</si>
  <si>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</si>
  <si>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</si>
  <si>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</si>
  <si>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</si>
  <si>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</si>
  <si>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</si>
  <si>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</si>
  <si>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</si>
  <si>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</si>
  <si>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</si>
  <si>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</si>
  <si>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</si>
  <si>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</si>
  <si>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</si>
  <si>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</si>
  <si>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</si>
  <si>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</si>
  <si>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</si>
  <si>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</si>
  <si>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</si>
  <si>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</si>
  <si>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</si>
  <si>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</si>
  <si>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</si>
  <si>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</si>
  <si>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</si>
  <si>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</si>
  <si>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</si>
  <si>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</si>
  <si>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</si>
  <si>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</si>
  <si>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</si>
  <si>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</si>
  <si>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</si>
  <si>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</si>
  <si>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</si>
  <si>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</si>
  <si>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</si>
  <si>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</si>
  <si>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</si>
  <si>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</si>
  <si>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</si>
  <si>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</si>
  <si>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</si>
  <si>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</si>
  <si>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</si>
  <si>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</si>
  <si>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</si>
  <si>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</si>
  <si>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</si>
  <si>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</si>
  <si>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</si>
  <si>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</si>
  <si>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</si>
  <si>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</si>
  <si>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</si>
  <si>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</si>
  <si>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</si>
  <si>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</si>
  <si>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</si>
  <si>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</si>
  <si>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</si>
  <si>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</si>
  <si>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</si>
  <si>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</si>
  <si>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</si>
  <si>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</si>
  <si>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</si>
  <si>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</si>
  <si>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</si>
  <si>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</si>
  <si>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</si>
  <si>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</si>
  <si>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</si>
  <si>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</si>
  <si>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</si>
  <si>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</si>
  <si>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</si>
  <si>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</si>
  <si>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</si>
  <si>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</si>
  <si>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</si>
  <si>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</si>
  <si>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</si>
  <si>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</si>
  <si>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</si>
  <si>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</si>
  <si>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</si>
  <si>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</si>
  <si>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</si>
  <si>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</si>
  <si>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</si>
  <si>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</si>
  <si>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</si>
  <si>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</si>
  <si>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</si>
  <si>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</si>
  <si>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</si>
  <si>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</si>
  <si>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</si>
  <si>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</si>
  <si>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</si>
  <si>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</si>
  <si>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</si>
  <si>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</si>
  <si>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</si>
  <si>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</si>
  <si>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</si>
  <si>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</si>
  <si>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</si>
  <si>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</si>
  <si>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</si>
  <si>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</si>
  <si>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</si>
  <si>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</si>
  <si>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</si>
  <si>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</si>
  <si>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</si>
  <si>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</si>
  <si>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</si>
  <si>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</si>
  <si>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</si>
  <si>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</si>
  <si>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</si>
  <si>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</si>
  <si>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</si>
  <si>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</si>
  <si>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</si>
  <si>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</si>
  <si>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</si>
  <si>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</si>
  <si>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</si>
  <si>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</si>
  <si>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</si>
  <si>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</si>
  <si>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</si>
  <si>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</si>
  <si>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</si>
  <si>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</si>
  <si>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</si>
  <si>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</si>
  <si>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</si>
  <si>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</si>
  <si>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</si>
  <si>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</si>
  <si>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</si>
  <si>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</si>
  <si>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</si>
  <si>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</si>
  <si>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</si>
  <si>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</si>
  <si>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</si>
  <si>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</si>
  <si>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</si>
  <si>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</si>
  <si>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</si>
  <si>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</si>
  <si>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</si>
  <si>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</si>
  <si>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</si>
  <si>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</si>
  <si>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</si>
  <si>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</si>
  <si>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</si>
  <si>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</si>
  <si>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</si>
  <si>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</si>
  <si>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</si>
  <si>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</si>
  <si>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</si>
  <si>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</si>
  <si>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</si>
  <si>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</si>
  <si>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</si>
  <si>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</si>
  <si>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</si>
  <si>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</si>
  <si>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</si>
  <si>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</si>
  <si>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</si>
  <si>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</si>
  <si>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</si>
  <si>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</si>
  <si>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</si>
  <si>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</si>
  <si>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</si>
  <si>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</si>
  <si>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</si>
  <si>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</si>
  <si>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</si>
  <si>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</si>
  <si>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</si>
  <si>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</si>
  <si>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</si>
  <si>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</si>
  <si>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</si>
  <si>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</si>
  <si>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</si>
  <si>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</si>
  <si>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</si>
  <si>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</si>
  <si>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</si>
  <si>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</si>
  <si>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</si>
  <si>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</si>
  <si>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</si>
  <si>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</si>
  <si>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</si>
  <si>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</si>
  <si>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</si>
  <si>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</si>
  <si>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</si>
  <si>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Keenesburg Re-3(J)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</si>
  <si>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</si>
  <si>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</si>
  <si>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</si>
  <si>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</si>
  <si>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</si>
  <si>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</si>
  <si>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</si>
  <si>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</si>
  <si>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</si>
  <si>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</si>
  <si>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</si>
  <si>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</si>
  <si>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</si>
  <si>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*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</si>
  <si>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</si>
  <si>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</si>
  <si>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</si>
  <si>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</si>
  <si>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</si>
  <si>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</si>
  <si>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</si>
  <si>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</si>
  <si>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</si>
  <si>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</si>
  <si>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</si>
  <si>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</si>
  <si>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</si>
  <si>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</si>
  <si>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9125</t>
  </si>
  <si>
    <t>East Central BOCES</t>
  </si>
  <si>
    <t xml:space="preserve">Centennial BOCES </t>
  </si>
  <si>
    <t>Northeast BOCES</t>
  </si>
  <si>
    <t>Northwest BOCES</t>
  </si>
  <si>
    <t>Rio Blanco BOCES</t>
  </si>
  <si>
    <t>July 2012</t>
  </si>
  <si>
    <t>July 2013</t>
  </si>
  <si>
    <t>August 2012</t>
  </si>
  <si>
    <t>September 2012</t>
  </si>
  <si>
    <t>October 2012</t>
  </si>
  <si>
    <t>November 2012</t>
  </si>
  <si>
    <t>December 2012</t>
  </si>
  <si>
    <t>January 2013</t>
  </si>
  <si>
    <t>March 2013</t>
  </si>
  <si>
    <t>April 2013</t>
  </si>
  <si>
    <t>May 2013</t>
  </si>
  <si>
    <t>June 2013</t>
  </si>
  <si>
    <t>August 2013</t>
  </si>
  <si>
    <t>September 2013</t>
  </si>
  <si>
    <t>GBL/ORG</t>
  </si>
  <si>
    <t>PAYMENTS PROCESSED:</t>
  </si>
  <si>
    <t>1ST OF EACH MONTH</t>
  </si>
  <si>
    <t>Title I-D Delinquent</t>
  </si>
  <si>
    <t xml:space="preserve">7010 for LEA   </t>
  </si>
  <si>
    <t>Title I-C Migrant</t>
  </si>
  <si>
    <t>Signed Over to BOCES</t>
  </si>
  <si>
    <t>Kit Carson R-1*</t>
  </si>
  <si>
    <t>District Declined Funds</t>
  </si>
  <si>
    <t>CBOCES</t>
  </si>
  <si>
    <t xml:space="preserve"> </t>
  </si>
  <si>
    <t>SCBOCES</t>
  </si>
  <si>
    <t>Aspen 1*</t>
  </si>
  <si>
    <t>Declined Funds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</si>
  <si>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</si>
  <si>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</si>
  <si>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</si>
  <si>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</si>
  <si>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</si>
  <si>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</si>
  <si>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</t>
  </si>
  <si>
    <t>Title III-SAI</t>
  </si>
  <si>
    <t>Title VI</t>
  </si>
  <si>
    <t>Branson Reorganized 82*</t>
  </si>
  <si>
    <t>Title VI Rural Low Income Formula</t>
  </si>
  <si>
    <t>Julesburg Re-1*</t>
  </si>
  <si>
    <t>NORTHEAST BOCES</t>
  </si>
  <si>
    <t>CONSORTIUM-SJBOCES</t>
  </si>
  <si>
    <t>San Juan BOCES</t>
  </si>
  <si>
    <t>San Luis Valley BOCES</t>
  </si>
  <si>
    <t>South Central BOCES</t>
  </si>
  <si>
    <t>CONSORTIUM-SEBOCES</t>
  </si>
  <si>
    <t>Southeastern Colorado BOCES</t>
  </si>
  <si>
    <t>Buena Vista R-31*</t>
  </si>
  <si>
    <t>Clear Creek Re-1*</t>
  </si>
  <si>
    <t>Calhan RJ-1*</t>
  </si>
  <si>
    <t>Ellicott 22*</t>
  </si>
  <si>
    <t>Peyton 23 Jt*</t>
  </si>
  <si>
    <t>Hanover 28*</t>
  </si>
  <si>
    <t>Manitou Springs 14*</t>
  </si>
  <si>
    <t>Edison 54 Jt*</t>
  </si>
  <si>
    <t>Gilpin County Re-1*</t>
  </si>
  <si>
    <t>Hinsdale County Re 1*</t>
  </si>
  <si>
    <t>Buffalo Re-4*</t>
  </si>
  <si>
    <t>Plateau Re-5*</t>
  </si>
  <si>
    <t>De Beque 49Jt*</t>
  </si>
  <si>
    <t>Plateau Valley 50*</t>
  </si>
  <si>
    <t>East Otero R-1*</t>
  </si>
  <si>
    <t>Park County Re-2*</t>
  </si>
  <si>
    <t>Mountain Valley Re 1*</t>
  </si>
  <si>
    <t>Cripple Creek-Victor Re-1*</t>
  </si>
  <si>
    <t>Woodland Park Re-2*</t>
  </si>
  <si>
    <t>Signed Over to BOCES/Consortiums</t>
  </si>
  <si>
    <t>BOCES Allocation</t>
  </si>
  <si>
    <t>BOCES/Consortium Allocation</t>
  </si>
  <si>
    <t>February 2013</t>
  </si>
  <si>
    <t>Southeastern BOCES</t>
  </si>
  <si>
    <t>Questions regarding payments:</t>
  </si>
  <si>
    <t>GRANT PERIOD:</t>
  </si>
  <si>
    <t>District Name</t>
  </si>
  <si>
    <t>Moffat County Re-1</t>
  </si>
  <si>
    <t>X010</t>
  </si>
  <si>
    <t>X020</t>
  </si>
  <si>
    <t>Division of Youth Corrections</t>
  </si>
  <si>
    <t>Department of Corrections</t>
  </si>
  <si>
    <t>84.031A</t>
  </si>
  <si>
    <t>2012-13</t>
  </si>
  <si>
    <t>7/1/12 THROUGH 9/30/14-This grant does have carryover restrictions</t>
  </si>
  <si>
    <t>703A-7000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</si>
  <si>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2012-13</t>
    </r>
  </si>
  <si>
    <t>353C/7000</t>
  </si>
  <si>
    <t>7/1/12 THROUGH 9/30/14</t>
  </si>
  <si>
    <t>July 2014</t>
  </si>
  <si>
    <t>August 2014</t>
  </si>
  <si>
    <t>September 2014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</si>
  <si>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</si>
  <si>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</si>
  <si>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</si>
  <si>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</si>
  <si>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</si>
  <si>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</si>
  <si>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</si>
  <si>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</si>
  <si>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</si>
  <si>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323G-7000</t>
  </si>
  <si>
    <t>7/1/1 THROUGH 6/30/13-GRANT DOES NOT ALLOW CARRYOVER</t>
  </si>
  <si>
    <t>703B-7000</t>
  </si>
  <si>
    <t>723D-7000</t>
  </si>
  <si>
    <t>783A/7000</t>
  </si>
  <si>
    <t>313F-7000</t>
  </si>
  <si>
    <t>313G/7000</t>
  </si>
  <si>
    <t xml:space="preserve">     </t>
  </si>
  <si>
    <t>Title I-C Migrant Summer Grant</t>
  </si>
  <si>
    <t>322G-7000</t>
  </si>
  <si>
    <t>6/30/13 THROUGH 9/30/13-This grant does have carryover restrictions</t>
  </si>
  <si>
    <t>Last day to Request Funds 10/15/13</t>
  </si>
  <si>
    <t>Nicole Dake   303-866-6724 or dake_n@cde.state.co.us</t>
  </si>
  <si>
    <t>Jacqueline Mains  303-866-6911 or mains_j@cde.state.co.us</t>
  </si>
  <si>
    <t>Nicole Dake  303-866-6724 or dake_n@cde.state.co.us</t>
  </si>
  <si>
    <t>Ron Mosness  303-866-6905 or mosness_r@cde.state.co.us</t>
  </si>
  <si>
    <t>Marti Rodriguez 303-866-6769 or rodriguez_m@cde.state.co.us</t>
  </si>
  <si>
    <t>Jacqueline Mains 303-866-6911 or mains_j@cde.state.co.us</t>
  </si>
  <si>
    <t>Nicole Dake 303-86666724 or dake_n@cde.state.co.us</t>
  </si>
  <si>
    <t>Nicole Dake 303-866-6724 or dake_n@cde.state.co.us</t>
  </si>
  <si>
    <t>Ron Mosness  303-866-6905 or mosness@cde.state.co.us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</si>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</sst>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000"/>
  </numFmts>
  <fonts count="3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indexed="64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3743705557422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66CCFF"/>
      </right>
      <top/>
      <bottom/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/>
      <right/>
      <top/>
      <bottom style="medium">
        <color rgb="FF66CCFF"/>
      </bottom>
      <diagonal/>
    </border>
    <border>
      <left/>
      <right style="medium">
        <color rgb="FF66CCFF"/>
      </right>
      <top/>
      <bottom style="medium">
        <color rgb="FF66CCFF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Font="1"/>
    <xf numFmtId="0" fontId="0" fillId="0" borderId="0" xfId="0"/>
    <xf numFmtId="0" fontId="6" fillId="0" borderId="0" xfId="0" applyFont="1"/>
    <xf numFmtId="0" fontId="6" fillId="0" borderId="0" xfId="0" applyFont="1" applyBorder="1"/>
    <xf numFmtId="0" fontId="0" fillId="0" borderId="0" xfId="0" applyAlignment="1">
      <alignment vertical="center"/>
    </xf>
    <xf numFmtId="49" fontId="7" fillId="2" borderId="5" xfId="0" applyNumberFormat="1" applyFont="1" applyFill="1" applyBorder="1"/>
    <xf numFmtId="0" fontId="7" fillId="2" borderId="6" xfId="0" applyFont="1" applyFill="1" applyBorder="1"/>
    <xf numFmtId="0" fontId="9" fillId="0" borderId="0" xfId="0" applyFont="1" applyAlignment="1">
      <alignment horizontal="center"/>
    </xf>
    <xf numFmtId="38" fontId="0" fillId="0" borderId="0" xfId="0" applyNumberFormat="1"/>
    <xf numFmtId="37" fontId="7" fillId="3" borderId="0" xfId="0" applyNumberFormat="1" applyFont="1" applyFill="1" applyBorder="1"/>
    <xf numFmtId="37" fontId="6" fillId="3" borderId="0" xfId="0" applyNumberFormat="1" applyFont="1" applyFill="1" applyBorder="1"/>
    <xf numFmtId="0" fontId="0" fillId="0" borderId="0" xfId="0" applyFill="1"/>
    <xf numFmtId="0" fontId="6" fillId="0" borderId="0" xfId="0" applyFont="1" applyFill="1" applyBorder="1"/>
    <xf numFmtId="49" fontId="7" fillId="2" borderId="7" xfId="0" applyNumberFormat="1" applyFont="1" applyFill="1" applyBorder="1"/>
    <xf numFmtId="0" fontId="7" fillId="2" borderId="8" xfId="0" applyFont="1" applyFill="1" applyBorder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0" fillId="2" borderId="0" xfId="0" applyFill="1" applyAlignment="1">
      <alignment wrapText="1"/>
    </xf>
    <xf numFmtId="0" fontId="14" fillId="2" borderId="0" xfId="0" applyFont="1" applyFill="1"/>
    <xf numFmtId="0" fontId="14" fillId="2" borderId="0" xfId="0" quotePrefix="1" applyFont="1" applyFill="1" applyAlignment="1">
      <alignment horizontal="left"/>
    </xf>
    <xf numFmtId="0" fontId="11" fillId="2" borderId="0" xfId="0" applyFont="1" applyFill="1"/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4" fillId="2" borderId="0" xfId="0" quotePrefix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9" fontId="16" fillId="2" borderId="8" xfId="0" applyNumberFormat="1" applyFont="1" applyFill="1" applyBorder="1"/>
    <xf numFmtId="0" fontId="16" fillId="2" borderId="12" xfId="0" applyFont="1" applyFill="1" applyBorder="1"/>
    <xf numFmtId="0" fontId="0" fillId="2" borderId="0" xfId="0" applyFont="1" applyFill="1"/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7" fillId="2" borderId="0" xfId="0" quotePrefix="1" applyFont="1" applyFill="1" applyAlignment="1">
      <alignment horizontal="center"/>
    </xf>
    <xf numFmtId="0" fontId="14" fillId="2" borderId="0" xfId="0" quotePrefix="1" applyFont="1" applyFill="1" applyAlignment="1">
      <alignment horizontal="right"/>
    </xf>
    <xf numFmtId="0" fontId="16" fillId="2" borderId="14" xfId="0" applyFont="1" applyFill="1" applyBorder="1"/>
    <xf numFmtId="49" fontId="16" fillId="2" borderId="16" xfId="0" applyNumberFormat="1" applyFont="1" applyFill="1" applyBorder="1"/>
    <xf numFmtId="0" fontId="16" fillId="2" borderId="17" xfId="0" applyFont="1" applyFill="1" applyBorder="1"/>
    <xf numFmtId="3" fontId="11" fillId="2" borderId="17" xfId="0" applyNumberFormat="1" applyFont="1" applyFill="1" applyBorder="1" applyAlignment="1">
      <alignment horizontal="right"/>
    </xf>
    <xf numFmtId="0" fontId="18" fillId="2" borderId="17" xfId="0" applyFont="1" applyFill="1" applyBorder="1"/>
    <xf numFmtId="3" fontId="16" fillId="2" borderId="17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left"/>
    </xf>
    <xf numFmtId="0" fontId="18" fillId="2" borderId="16" xfId="0" quotePrefix="1" applyFont="1" applyFill="1" applyBorder="1" applyAlignment="1" applyProtection="1">
      <alignment horizontal="left"/>
    </xf>
    <xf numFmtId="0" fontId="18" fillId="2" borderId="17" xfId="0" applyFont="1" applyFill="1" applyBorder="1" applyAlignment="1" applyProtection="1">
      <alignment horizontal="left"/>
    </xf>
    <xf numFmtId="3" fontId="18" fillId="2" borderId="17" xfId="0" applyNumberFormat="1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left"/>
    </xf>
    <xf numFmtId="164" fontId="19" fillId="2" borderId="14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49" fontId="16" fillId="2" borderId="22" xfId="0" applyNumberFormat="1" applyFont="1" applyFill="1" applyBorder="1"/>
    <xf numFmtId="0" fontId="16" fillId="2" borderId="9" xfId="0" applyFont="1" applyFill="1" applyBorder="1"/>
    <xf numFmtId="49" fontId="16" fillId="2" borderId="23" xfId="0" applyNumberFormat="1" applyFont="1" applyFill="1" applyBorder="1"/>
    <xf numFmtId="0" fontId="16" fillId="2" borderId="1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49" fontId="16" fillId="2" borderId="26" xfId="0" applyNumberFormat="1" applyFont="1" applyFill="1" applyBorder="1"/>
    <xf numFmtId="164" fontId="11" fillId="2" borderId="18" xfId="0" applyNumberFormat="1" applyFont="1" applyFill="1" applyBorder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right"/>
    </xf>
    <xf numFmtId="49" fontId="15" fillId="2" borderId="17" xfId="0" applyNumberFormat="1" applyFont="1" applyFill="1" applyBorder="1" applyAlignment="1">
      <alignment horizontal="center"/>
    </xf>
    <xf numFmtId="49" fontId="19" fillId="2" borderId="17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49" fontId="16" fillId="2" borderId="28" xfId="0" applyNumberFormat="1" applyFont="1" applyFill="1" applyBorder="1"/>
    <xf numFmtId="0" fontId="16" fillId="2" borderId="29" xfId="0" applyFont="1" applyFill="1" applyBorder="1"/>
    <xf numFmtId="0" fontId="11" fillId="2" borderId="26" xfId="0" applyFont="1" applyFill="1" applyBorder="1" applyAlignment="1">
      <alignment horizontal="left"/>
    </xf>
    <xf numFmtId="3" fontId="11" fillId="0" borderId="0" xfId="0" applyNumberFormat="1" applyFont="1" applyBorder="1"/>
    <xf numFmtId="0" fontId="21" fillId="0" borderId="0" xfId="0" applyFont="1" applyFill="1" applyBorder="1" applyAlignment="1">
      <alignment horizontal="center"/>
    </xf>
    <xf numFmtId="38" fontId="11" fillId="0" borderId="0" xfId="0" applyNumberFormat="1" applyFont="1" applyBorder="1" applyAlignment="1">
      <alignment horizontal="right"/>
    </xf>
    <xf numFmtId="38" fontId="11" fillId="0" borderId="0" xfId="0" applyNumberFormat="1" applyFont="1" applyAlignment="1">
      <alignment horizontal="right"/>
    </xf>
    <xf numFmtId="38" fontId="11" fillId="0" borderId="0" xfId="0" applyNumberFormat="1" applyFont="1"/>
    <xf numFmtId="38" fontId="16" fillId="0" borderId="0" xfId="0" applyNumberFormat="1" applyFont="1" applyFill="1" applyBorder="1"/>
    <xf numFmtId="165" fontId="11" fillId="2" borderId="30" xfId="1" applyNumberFormat="1" applyFont="1" applyFill="1" applyBorder="1"/>
    <xf numFmtId="3" fontId="11" fillId="2" borderId="30" xfId="0" applyNumberFormat="1" applyFont="1" applyFill="1" applyBorder="1"/>
    <xf numFmtId="164" fontId="11" fillId="2" borderId="31" xfId="0" applyNumberFormat="1" applyFont="1" applyFill="1" applyBorder="1"/>
    <xf numFmtId="165" fontId="11" fillId="2" borderId="17" xfId="1" applyNumberFormat="1" applyFont="1" applyFill="1" applyBorder="1"/>
    <xf numFmtId="3" fontId="11" fillId="2" borderId="17" xfId="0" applyNumberFormat="1" applyFont="1" applyFill="1" applyBorder="1"/>
    <xf numFmtId="165" fontId="16" fillId="2" borderId="17" xfId="1" applyNumberFormat="1" applyFont="1" applyFill="1" applyBorder="1"/>
    <xf numFmtId="3" fontId="11" fillId="2" borderId="14" xfId="0" applyNumberFormat="1" applyFont="1" applyFill="1" applyBorder="1"/>
    <xf numFmtId="3" fontId="11" fillId="2" borderId="32" xfId="0" applyNumberFormat="1" applyFont="1" applyFill="1" applyBorder="1"/>
    <xf numFmtId="3" fontId="11" fillId="2" borderId="34" xfId="0" applyNumberFormat="1" applyFont="1" applyFill="1" applyBorder="1"/>
    <xf numFmtId="3" fontId="11" fillId="2" borderId="36" xfId="0" applyNumberFormat="1" applyFont="1" applyFill="1" applyBorder="1"/>
    <xf numFmtId="3" fontId="11" fillId="2" borderId="38" xfId="0" applyNumberFormat="1" applyFont="1" applyFill="1" applyBorder="1"/>
    <xf numFmtId="3" fontId="11" fillId="2" borderId="40" xfId="0" applyNumberFormat="1" applyFont="1" applyFill="1" applyBorder="1"/>
    <xf numFmtId="165" fontId="5" fillId="4" borderId="2" xfId="1" applyNumberFormat="1" applyFont="1" applyFill="1" applyBorder="1" applyAlignment="1">
      <alignment horizontal="center" vertical="center"/>
    </xf>
    <xf numFmtId="165" fontId="11" fillId="2" borderId="37" xfId="1" applyNumberFormat="1" applyFont="1" applyFill="1" applyBorder="1"/>
    <xf numFmtId="165" fontId="11" fillId="2" borderId="25" xfId="1" applyNumberFormat="1" applyFont="1" applyFill="1" applyBorder="1"/>
    <xf numFmtId="165" fontId="11" fillId="2" borderId="39" xfId="1" applyNumberFormat="1" applyFont="1" applyFill="1" applyBorder="1"/>
    <xf numFmtId="165" fontId="11" fillId="2" borderId="33" xfId="1" applyNumberFormat="1" applyFont="1" applyFill="1" applyBorder="1"/>
    <xf numFmtId="165" fontId="11" fillId="2" borderId="35" xfId="1" applyNumberFormat="1" applyFont="1" applyFill="1" applyBorder="1"/>
    <xf numFmtId="0" fontId="5" fillId="2" borderId="0" xfId="0" applyFont="1" applyFill="1"/>
    <xf numFmtId="0" fontId="20" fillId="2" borderId="0" xfId="0" applyFont="1" applyFill="1" applyAlignment="1" applyProtection="1">
      <alignment horizontal="right"/>
    </xf>
    <xf numFmtId="3" fontId="11" fillId="2" borderId="15" xfId="0" applyNumberFormat="1" applyFont="1" applyFill="1" applyBorder="1"/>
    <xf numFmtId="3" fontId="11" fillId="2" borderId="18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1" fillId="0" borderId="0" xfId="0" applyNumberFormat="1" applyFont="1"/>
    <xf numFmtId="3" fontId="16" fillId="2" borderId="14" xfId="0" applyNumberFormat="1" applyFont="1" applyFill="1" applyBorder="1" applyAlignment="1">
      <alignment horizontal="right"/>
    </xf>
    <xf numFmtId="3" fontId="16" fillId="0" borderId="27" xfId="0" applyNumberFormat="1" applyFont="1" applyFill="1" applyBorder="1"/>
    <xf numFmtId="49" fontId="16" fillId="2" borderId="42" xfId="0" applyNumberFormat="1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8" fillId="2" borderId="17" xfId="0" quotePrefix="1" applyFont="1" applyFill="1" applyBorder="1" applyAlignment="1" applyProtection="1">
      <alignment horizontal="left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6" fillId="2" borderId="30" xfId="0" applyFont="1" applyFill="1" applyBorder="1"/>
    <xf numFmtId="49" fontId="15" fillId="2" borderId="3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57" xfId="0" applyFont="1" applyFill="1" applyBorder="1"/>
    <xf numFmtId="0" fontId="11" fillId="0" borderId="58" xfId="0" applyFont="1" applyFill="1" applyBorder="1"/>
    <xf numFmtId="0" fontId="5" fillId="0" borderId="58" xfId="0" applyFont="1" applyFill="1" applyBorder="1"/>
    <xf numFmtId="0" fontId="0" fillId="0" borderId="58" xfId="0" applyFill="1" applyBorder="1"/>
    <xf numFmtId="0" fontId="0" fillId="0" borderId="59" xfId="0" applyFill="1" applyBorder="1"/>
    <xf numFmtId="49" fontId="16" fillId="2" borderId="32" xfId="0" applyNumberFormat="1" applyFont="1" applyFill="1" applyBorder="1"/>
    <xf numFmtId="0" fontId="16" fillId="2" borderId="32" xfId="0" applyFont="1" applyFill="1" applyBorder="1"/>
    <xf numFmtId="0" fontId="18" fillId="2" borderId="32" xfId="0" applyFont="1" applyFill="1" applyBorder="1"/>
    <xf numFmtId="164" fontId="2" fillId="2" borderId="32" xfId="0" applyNumberFormat="1" applyFont="1" applyFill="1" applyBorder="1" applyAlignment="1"/>
    <xf numFmtId="0" fontId="11" fillId="2" borderId="32" xfId="0" applyFont="1" applyFill="1" applyBorder="1" applyAlignment="1">
      <alignment horizontal="left"/>
    </xf>
    <xf numFmtId="0" fontId="18" fillId="2" borderId="32" xfId="0" applyFont="1" applyFill="1" applyBorder="1" applyAlignment="1" applyProtection="1">
      <alignment horizontal="left"/>
    </xf>
    <xf numFmtId="3" fontId="18" fillId="2" borderId="32" xfId="0" applyNumberFormat="1" applyFont="1" applyFill="1" applyBorder="1" applyAlignment="1" applyProtection="1">
      <alignment horizontal="left"/>
    </xf>
    <xf numFmtId="0" fontId="11" fillId="2" borderId="32" xfId="0" applyFont="1" applyFill="1" applyBorder="1" applyAlignment="1" applyProtection="1">
      <alignment horizontal="left"/>
    </xf>
    <xf numFmtId="0" fontId="18" fillId="2" borderId="32" xfId="0" quotePrefix="1" applyFont="1" applyFill="1" applyBorder="1" applyAlignment="1" applyProtection="1">
      <alignment horizontal="left"/>
    </xf>
    <xf numFmtId="165" fontId="11" fillId="2" borderId="17" xfId="0" applyNumberFormat="1" applyFont="1" applyFill="1" applyBorder="1" applyAlignment="1">
      <alignment horizontal="right"/>
    </xf>
    <xf numFmtId="165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1" fillId="2" borderId="17" xfId="0" applyNumberFormat="1" applyFont="1" applyFill="1" applyBorder="1" applyAlignment="1">
      <alignment horizontal="center"/>
    </xf>
    <xf numFmtId="165" fontId="11" fillId="2" borderId="20" xfId="0" applyNumberFormat="1" applyFont="1" applyFill="1" applyBorder="1"/>
    <xf numFmtId="165" fontId="11" fillId="2" borderId="21" xfId="0" applyNumberFormat="1" applyFont="1" applyFill="1" applyBorder="1"/>
    <xf numFmtId="0" fontId="18" fillId="2" borderId="19" xfId="0" quotePrefix="1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left"/>
    </xf>
    <xf numFmtId="164" fontId="14" fillId="2" borderId="19" xfId="0" applyNumberFormat="1" applyFont="1" applyFill="1" applyBorder="1"/>
    <xf numFmtId="164" fontId="14" fillId="2" borderId="20" xfId="0" applyNumberFormat="1" applyFont="1" applyFill="1" applyBorder="1"/>
    <xf numFmtId="165" fontId="14" fillId="2" borderId="20" xfId="0" applyNumberFormat="1" applyFont="1" applyFill="1" applyBorder="1"/>
    <xf numFmtId="164" fontId="14" fillId="2" borderId="17" xfId="0" applyNumberFormat="1" applyFont="1" applyFill="1" applyBorder="1"/>
    <xf numFmtId="164" fontId="5" fillId="0" borderId="0" xfId="0" applyNumberFormat="1" applyFont="1"/>
    <xf numFmtId="3" fontId="11" fillId="2" borderId="60" xfId="0" applyNumberFormat="1" applyFont="1" applyFill="1" applyBorder="1"/>
    <xf numFmtId="165" fontId="11" fillId="2" borderId="61" xfId="1" applyNumberFormat="1" applyFont="1" applyFill="1" applyBorder="1"/>
    <xf numFmtId="0" fontId="14" fillId="2" borderId="17" xfId="0" applyFont="1" applyFill="1" applyBorder="1"/>
    <xf numFmtId="165" fontId="14" fillId="2" borderId="17" xfId="1" applyNumberFormat="1" applyFont="1" applyFill="1" applyBorder="1"/>
    <xf numFmtId="164" fontId="10" fillId="2" borderId="17" xfId="0" applyNumberFormat="1" applyFont="1" applyFill="1" applyBorder="1"/>
    <xf numFmtId="165" fontId="23" fillId="2" borderId="17" xfId="1" applyNumberFormat="1" applyFont="1" applyFill="1" applyBorder="1"/>
    <xf numFmtId="164" fontId="14" fillId="2" borderId="32" xfId="0" applyNumberFormat="1" applyFont="1" applyFill="1" applyBorder="1"/>
    <xf numFmtId="0" fontId="14" fillId="0" borderId="0" xfId="0" applyFont="1" applyFill="1" applyAlignment="1">
      <alignment horizontal="right"/>
    </xf>
    <xf numFmtId="0" fontId="5" fillId="0" borderId="0" xfId="0" applyFont="1" applyFill="1"/>
    <xf numFmtId="165" fontId="11" fillId="2" borderId="62" xfId="1" applyNumberFormat="1" applyFont="1" applyFill="1" applyBorder="1"/>
    <xf numFmtId="165" fontId="11" fillId="2" borderId="63" xfId="1" applyNumberFormat="1" applyFont="1" applyFill="1" applyBorder="1"/>
    <xf numFmtId="165" fontId="11" fillId="2" borderId="60" xfId="1" applyNumberFormat="1" applyFont="1" applyFill="1" applyBorder="1"/>
    <xf numFmtId="164" fontId="14" fillId="2" borderId="62" xfId="1" applyNumberFormat="1" applyFont="1" applyFill="1" applyBorder="1"/>
    <xf numFmtId="49" fontId="16" fillId="2" borderId="24" xfId="0" applyNumberFormat="1" applyFont="1" applyFill="1" applyBorder="1"/>
    <xf numFmtId="0" fontId="16" fillId="2" borderId="11" xfId="0" applyFont="1" applyFill="1" applyBorder="1"/>
    <xf numFmtId="164" fontId="5" fillId="0" borderId="0" xfId="0" applyNumberFormat="1" applyFont="1" applyBorder="1"/>
    <xf numFmtId="0" fontId="9" fillId="2" borderId="20" xfId="0" applyFont="1" applyFill="1" applyBorder="1" applyAlignment="1">
      <alignment horizontal="center"/>
    </xf>
    <xf numFmtId="164" fontId="14" fillId="2" borderId="20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5" fontId="16" fillId="2" borderId="0" xfId="1" applyNumberFormat="1" applyFont="1" applyFill="1" applyBorder="1"/>
    <xf numFmtId="0" fontId="14" fillId="2" borderId="32" xfId="0" applyFont="1" applyFill="1" applyBorder="1"/>
    <xf numFmtId="164" fontId="14" fillId="2" borderId="56" xfId="0" applyNumberFormat="1" applyFont="1" applyFill="1" applyBorder="1" applyAlignment="1">
      <alignment horizontal="right"/>
    </xf>
    <xf numFmtId="0" fontId="5" fillId="0" borderId="0" xfId="0" applyFont="1"/>
    <xf numFmtId="0" fontId="14" fillId="2" borderId="16" xfId="0" applyFont="1" applyFill="1" applyBorder="1"/>
    <xf numFmtId="38" fontId="11" fillId="0" borderId="0" xfId="0" applyNumberFormat="1" applyFont="1" applyBorder="1"/>
    <xf numFmtId="0" fontId="11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11" fillId="0" borderId="0" xfId="2" applyNumberFormat="1" applyFont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38" fontId="16" fillId="2" borderId="17" xfId="1" applyNumberFormat="1" applyFont="1" applyFill="1" applyBorder="1"/>
    <xf numFmtId="38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0" fontId="27" fillId="0" borderId="0" xfId="0" applyFont="1"/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38" fontId="27" fillId="0" borderId="0" xfId="0" applyNumberFormat="1" applyFont="1"/>
    <xf numFmtId="49" fontId="8" fillId="0" borderId="51" xfId="0" applyNumberFormat="1" applyFont="1" applyFill="1" applyBorder="1"/>
    <xf numFmtId="0" fontId="8" fillId="0" borderId="8" xfId="0" applyFont="1" applyFill="1" applyBorder="1"/>
    <xf numFmtId="38" fontId="8" fillId="0" borderId="0" xfId="0" applyNumberFormat="1" applyFont="1" applyFill="1" applyBorder="1"/>
    <xf numFmtId="38" fontId="8" fillId="0" borderId="46" xfId="0" applyNumberFormat="1" applyFont="1" applyFill="1" applyBorder="1"/>
    <xf numFmtId="49" fontId="8" fillId="0" borderId="45" xfId="0" applyNumberFormat="1" applyFont="1" applyFill="1" applyBorder="1"/>
    <xf numFmtId="0" fontId="8" fillId="0" borderId="6" xfId="0" applyFont="1" applyFill="1" applyBorder="1"/>
    <xf numFmtId="0" fontId="8" fillId="0" borderId="45" xfId="0" applyFont="1" applyFill="1" applyBorder="1" applyAlignment="1">
      <alignment horizontal="left"/>
    </xf>
    <xf numFmtId="0" fontId="8" fillId="0" borderId="47" xfId="0" quotePrefix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8" fillId="0" borderId="48" xfId="0" quotePrefix="1" applyFont="1" applyFill="1" applyBorder="1" applyAlignment="1" applyProtection="1">
      <alignment horizontal="left"/>
    </xf>
    <xf numFmtId="0" fontId="8" fillId="0" borderId="49" xfId="0" applyFont="1" applyFill="1" applyBorder="1" applyAlignment="1" applyProtection="1">
      <alignment horizontal="left"/>
    </xf>
    <xf numFmtId="38" fontId="8" fillId="0" borderId="49" xfId="0" applyNumberFormat="1" applyFont="1" applyFill="1" applyBorder="1"/>
    <xf numFmtId="38" fontId="8" fillId="0" borderId="50" xfId="0" applyNumberFormat="1" applyFont="1" applyFill="1" applyBorder="1"/>
    <xf numFmtId="0" fontId="8" fillId="0" borderId="0" xfId="0" applyFont="1" applyFill="1"/>
    <xf numFmtId="38" fontId="8" fillId="0" borderId="0" xfId="0" applyNumberFormat="1" applyFont="1" applyFill="1"/>
    <xf numFmtId="0" fontId="27" fillId="0" borderId="0" xfId="0" applyFont="1" applyFill="1"/>
    <xf numFmtId="38" fontId="27" fillId="0" borderId="0" xfId="0" applyNumberFormat="1" applyFont="1" applyFill="1"/>
    <xf numFmtId="0" fontId="29" fillId="5" borderId="0" xfId="0" applyFont="1" applyFill="1"/>
    <xf numFmtId="0" fontId="30" fillId="2" borderId="0" xfId="0" applyFont="1" applyFill="1"/>
    <xf numFmtId="0" fontId="29" fillId="2" borderId="0" xfId="0" applyFont="1" applyFill="1"/>
    <xf numFmtId="0" fontId="30" fillId="2" borderId="0" xfId="0" applyFont="1" applyFill="1" applyAlignment="1">
      <alignment horizontal="left"/>
    </xf>
    <xf numFmtId="0" fontId="29" fillId="2" borderId="0" xfId="0" applyFont="1" applyFill="1" applyAlignment="1">
      <alignment wrapText="1"/>
    </xf>
    <xf numFmtId="0" fontId="20" fillId="2" borderId="0" xfId="0" applyFont="1" applyFill="1"/>
    <xf numFmtId="0" fontId="20" fillId="2" borderId="0" xfId="0" quotePrefix="1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 wrapText="1"/>
    </xf>
    <xf numFmtId="38" fontId="6" fillId="0" borderId="0" xfId="0" applyNumberFormat="1" applyFont="1" applyFill="1"/>
    <xf numFmtId="38" fontId="0" fillId="0" borderId="0" xfId="0" applyNumberFormat="1" applyFill="1"/>
    <xf numFmtId="38" fontId="16" fillId="2" borderId="67" xfId="0" applyNumberFormat="1" applyFont="1" applyFill="1" applyBorder="1"/>
    <xf numFmtId="38" fontId="16" fillId="2" borderId="68" xfId="0" applyNumberFormat="1" applyFont="1" applyFill="1" applyBorder="1"/>
    <xf numFmtId="38" fontId="14" fillId="2" borderId="69" xfId="1" applyNumberFormat="1" applyFont="1" applyFill="1" applyBorder="1"/>
    <xf numFmtId="38" fontId="16" fillId="2" borderId="70" xfId="0" applyNumberFormat="1" applyFont="1" applyFill="1" applyBorder="1"/>
    <xf numFmtId="38" fontId="16" fillId="2" borderId="71" xfId="0" applyNumberFormat="1" applyFont="1" applyFill="1" applyBorder="1"/>
    <xf numFmtId="38" fontId="16" fillId="2" borderId="71" xfId="1" applyNumberFormat="1" applyFont="1" applyFill="1" applyBorder="1"/>
    <xf numFmtId="38" fontId="11" fillId="2" borderId="71" xfId="1" applyNumberFormat="1" applyFont="1" applyFill="1" applyBorder="1"/>
    <xf numFmtId="38" fontId="11" fillId="2" borderId="72" xfId="1" applyNumberFormat="1" applyFont="1" applyFill="1" applyBorder="1"/>
    <xf numFmtId="38" fontId="18" fillId="2" borderId="73" xfId="0" applyNumberFormat="1" applyFont="1" applyFill="1" applyBorder="1" applyAlignment="1">
      <alignment horizontal="right"/>
    </xf>
    <xf numFmtId="38" fontId="18" fillId="2" borderId="71" xfId="0" applyNumberFormat="1" applyFont="1" applyFill="1" applyBorder="1" applyAlignment="1">
      <alignment horizontal="right"/>
    </xf>
    <xf numFmtId="38" fontId="16" fillId="2" borderId="74" xfId="1" applyNumberFormat="1" applyFont="1" applyFill="1" applyBorder="1"/>
    <xf numFmtId="38" fontId="23" fillId="2" borderId="17" xfId="1" applyNumberFormat="1" applyFont="1" applyFill="1" applyBorder="1"/>
    <xf numFmtId="164" fontId="32" fillId="2" borderId="73" xfId="0" applyNumberFormat="1" applyFont="1" applyFill="1" applyBorder="1" applyAlignment="1"/>
    <xf numFmtId="164" fontId="32" fillId="2" borderId="71" xfId="0" applyNumberFormat="1" applyFont="1" applyFill="1" applyBorder="1" applyAlignment="1"/>
    <xf numFmtId="164" fontId="32" fillId="2" borderId="74" xfId="0" applyNumberFormat="1" applyFont="1" applyFill="1" applyBorder="1" applyAlignment="1"/>
    <xf numFmtId="165" fontId="16" fillId="2" borderId="76" xfId="1" applyNumberFormat="1" applyFont="1" applyFill="1" applyBorder="1"/>
    <xf numFmtId="165" fontId="23" fillId="2" borderId="77" xfId="1" applyNumberFormat="1" applyFont="1" applyFill="1" applyBorder="1"/>
    <xf numFmtId="164" fontId="18" fillId="2" borderId="75" xfId="0" applyNumberFormat="1" applyFont="1" applyFill="1" applyBorder="1" applyAlignment="1"/>
    <xf numFmtId="164" fontId="18" fillId="2" borderId="76" xfId="0" applyNumberFormat="1" applyFont="1" applyFill="1" applyBorder="1" applyAlignment="1"/>
    <xf numFmtId="165" fontId="0" fillId="0" borderId="0" xfId="0" applyNumberFormat="1" applyFill="1"/>
    <xf numFmtId="164" fontId="0" fillId="0" borderId="0" xfId="0" applyNumberFormat="1" applyBorder="1"/>
    <xf numFmtId="167" fontId="11" fillId="2" borderId="17" xfId="0" applyNumberFormat="1" applyFont="1" applyFill="1" applyBorder="1" applyAlignment="1">
      <alignment horizontal="left"/>
    </xf>
    <xf numFmtId="167" fontId="18" fillId="2" borderId="17" xfId="0" quotePrefix="1" applyNumberFormat="1" applyFont="1" applyFill="1" applyBorder="1" applyAlignment="1" applyProtection="1">
      <alignment horizontal="left"/>
    </xf>
    <xf numFmtId="0" fontId="18" fillId="2" borderId="17" xfId="0" quotePrefix="1" applyNumberFormat="1" applyFont="1" applyFill="1" applyBorder="1" applyAlignment="1" applyProtection="1">
      <alignment horizontal="left"/>
    </xf>
    <xf numFmtId="1" fontId="11" fillId="2" borderId="17" xfId="0" applyNumberFormat="1" applyFont="1" applyFill="1" applyBorder="1" applyAlignment="1">
      <alignment horizontal="left"/>
    </xf>
    <xf numFmtId="167" fontId="16" fillId="2" borderId="30" xfId="0" applyNumberFormat="1" applyFont="1" applyFill="1" applyBorder="1" applyAlignment="1">
      <alignment horizontal="left"/>
    </xf>
    <xf numFmtId="167" fontId="16" fillId="2" borderId="17" xfId="0" applyNumberFormat="1" applyFont="1" applyFill="1" applyBorder="1" applyAlignment="1">
      <alignment horizontal="left"/>
    </xf>
    <xf numFmtId="0" fontId="16" fillId="2" borderId="17" xfId="0" applyNumberFormat="1" applyFont="1" applyFill="1" applyBorder="1" applyAlignment="1">
      <alignment horizontal="left"/>
    </xf>
    <xf numFmtId="167" fontId="11" fillId="2" borderId="16" xfId="0" applyNumberFormat="1" applyFont="1" applyFill="1" applyBorder="1" applyAlignment="1">
      <alignment horizontal="left"/>
    </xf>
    <xf numFmtId="167" fontId="18" fillId="2" borderId="16" xfId="0" quotePrefix="1" applyNumberFormat="1" applyFont="1" applyFill="1" applyBorder="1" applyAlignment="1" applyProtection="1">
      <alignment horizontal="left"/>
    </xf>
    <xf numFmtId="167" fontId="18" fillId="2" borderId="19" xfId="0" quotePrefix="1" applyNumberFormat="1" applyFont="1" applyFill="1" applyBorder="1" applyAlignment="1" applyProtection="1">
      <alignment horizontal="left"/>
    </xf>
    <xf numFmtId="167" fontId="16" fillId="2" borderId="16" xfId="0" applyNumberFormat="1" applyFont="1" applyFill="1" applyBorder="1" applyAlignment="1">
      <alignment horizontal="left"/>
    </xf>
    <xf numFmtId="167" fontId="14" fillId="2" borderId="19" xfId="0" applyNumberFormat="1" applyFont="1" applyFill="1" applyBorder="1" applyAlignment="1">
      <alignment horizontal="left"/>
    </xf>
    <xf numFmtId="167" fontId="16" fillId="2" borderId="13" xfId="0" applyNumberFormat="1" applyFont="1" applyFill="1" applyBorder="1" applyAlignment="1">
      <alignment horizontal="left"/>
    </xf>
    <xf numFmtId="164" fontId="0" fillId="0" borderId="0" xfId="0" applyNumberFormat="1"/>
    <xf numFmtId="0" fontId="12" fillId="2" borderId="0" xfId="0" applyFont="1" applyFill="1"/>
    <xf numFmtId="0" fontId="0" fillId="2" borderId="0" xfId="0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0" fillId="2" borderId="0" xfId="0" applyFill="1" applyAlignment="1">
      <alignment wrapText="1"/>
    </xf>
    <xf numFmtId="0" fontId="14" fillId="2" borderId="0" xfId="0" applyFont="1" applyFill="1"/>
    <xf numFmtId="0" fontId="14" fillId="2" borderId="0" xfId="0" quotePrefix="1" applyFont="1" applyFill="1" applyAlignment="1">
      <alignment horizontal="left"/>
    </xf>
    <xf numFmtId="0" fontId="11" fillId="2" borderId="0" xfId="0" applyFont="1" applyFill="1"/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9" fontId="16" fillId="2" borderId="16" xfId="0" applyNumberFormat="1" applyFont="1" applyFill="1" applyBorder="1"/>
    <xf numFmtId="0" fontId="16" fillId="2" borderId="17" xfId="0" applyFont="1" applyFill="1" applyBorder="1"/>
    <xf numFmtId="0" fontId="18" fillId="2" borderId="16" xfId="0" quotePrefix="1" applyFont="1" applyFill="1" applyBorder="1" applyAlignment="1" applyProtection="1">
      <alignment horizontal="left"/>
    </xf>
    <xf numFmtId="0" fontId="18" fillId="2" borderId="17" xfId="0" applyFont="1" applyFill="1" applyBorder="1" applyAlignment="1" applyProtection="1">
      <alignment horizontal="left"/>
    </xf>
    <xf numFmtId="0" fontId="5" fillId="4" borderId="2" xfId="0" applyFont="1" applyFill="1" applyBorder="1" applyAlignment="1">
      <alignment horizontal="center" vertical="center"/>
    </xf>
    <xf numFmtId="3" fontId="11" fillId="0" borderId="0" xfId="0" applyNumberFormat="1" applyFont="1" applyFill="1"/>
    <xf numFmtId="3" fontId="11" fillId="0" borderId="0" xfId="0" applyNumberFormat="1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right"/>
    </xf>
    <xf numFmtId="165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1" fillId="2" borderId="20" xfId="0" applyNumberFormat="1" applyFont="1" applyFill="1" applyBorder="1"/>
    <xf numFmtId="165" fontId="11" fillId="2" borderId="21" xfId="0" applyNumberFormat="1" applyFont="1" applyFill="1" applyBorder="1"/>
    <xf numFmtId="0" fontId="18" fillId="2" borderId="19" xfId="0" quotePrefix="1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left"/>
    </xf>
    <xf numFmtId="164" fontId="14" fillId="2" borderId="19" xfId="0" applyNumberFormat="1" applyFont="1" applyFill="1" applyBorder="1"/>
    <xf numFmtId="164" fontId="14" fillId="2" borderId="20" xfId="0" applyNumberFormat="1" applyFont="1" applyFill="1" applyBorder="1"/>
    <xf numFmtId="165" fontId="14" fillId="2" borderId="20" xfId="0" applyNumberFormat="1" applyFont="1" applyFill="1" applyBorder="1"/>
    <xf numFmtId="165" fontId="14" fillId="2" borderId="21" xfId="0" applyNumberFormat="1" applyFont="1" applyFill="1" applyBorder="1"/>
    <xf numFmtId="164" fontId="14" fillId="2" borderId="17" xfId="0" applyNumberFormat="1" applyFont="1" applyFill="1" applyBorder="1"/>
    <xf numFmtId="1" fontId="19" fillId="2" borderId="17" xfId="0" applyNumberFormat="1" applyFont="1" applyFill="1" applyBorder="1" applyAlignment="1">
      <alignment horizontal="center"/>
    </xf>
    <xf numFmtId="164" fontId="19" fillId="2" borderId="17" xfId="0" quotePrefix="1" applyNumberFormat="1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">
    <cellStyle name="Comma" xfId="2" builtinId="3"/>
    <cellStyle name="Comma 2" xf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CCFF"/>
      <color rgb="FF00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J225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9.140625" style="220"/>
    <col min="2" max="2" width="30.85546875" style="220" bestFit="1" customWidth="1"/>
    <col min="3" max="3" width="20.42578125" style="220" bestFit="1" customWidth="1"/>
    <col min="4" max="4" width="20.42578125" style="220" customWidth="1"/>
    <col min="5" max="5" width="21.7109375" style="220" bestFit="1" customWidth="1"/>
    <col min="6" max="6" width="17.7109375" style="220" customWidth="1"/>
    <col min="7" max="7" width="15" style="220" customWidth="1"/>
    <col min="8" max="8" width="15.85546875" style="220" customWidth="1"/>
    <col min="9" max="9" width="19.85546875" style="220" customWidth="1"/>
    <col min="10" max="16384" width="9.140625" style="220"/>
  </cols>
  <sheetData>
    <row r="1" spans="1:10" ht="15.75" customHeight="1" x14ac:dyDescent="0.25">
      <c r="A1" s="327" t="s">
        <v>469</v>
      </c>
      <c r="B1" s="328"/>
      <c r="C1" s="328"/>
      <c r="D1" s="328"/>
      <c r="E1" s="328"/>
      <c r="F1" s="328"/>
      <c r="G1" s="328"/>
      <c r="H1" s="328"/>
      <c r="I1" s="329"/>
    </row>
    <row r="2" spans="1:10" ht="15.75" customHeight="1" thickBot="1" x14ac:dyDescent="0.3">
      <c r="A2" s="330"/>
      <c r="B2" s="331"/>
      <c r="C2" s="331"/>
      <c r="D2" s="331"/>
      <c r="E2" s="331"/>
      <c r="F2" s="331"/>
      <c r="G2" s="331"/>
      <c r="H2" s="331"/>
      <c r="I2" s="332"/>
    </row>
    <row r="3" spans="1:10" ht="20.25" thickTop="1" thickBot="1" x14ac:dyDescent="0.35">
      <c r="A3" s="221" t="s">
        <v>371</v>
      </c>
      <c r="B3" s="222" t="s">
        <v>459</v>
      </c>
      <c r="C3" s="223" t="s">
        <v>8</v>
      </c>
      <c r="D3" s="223" t="s">
        <v>405</v>
      </c>
      <c r="E3" s="222" t="s">
        <v>418</v>
      </c>
      <c r="F3" s="222" t="s">
        <v>419</v>
      </c>
      <c r="G3" s="223" t="s">
        <v>420</v>
      </c>
      <c r="H3" s="222" t="s">
        <v>421</v>
      </c>
      <c r="I3" s="224" t="s">
        <v>422</v>
      </c>
    </row>
    <row r="4" spans="1:10" ht="19.5" thickTop="1" x14ac:dyDescent="0.3">
      <c r="A4" s="226" t="s">
        <v>9</v>
      </c>
      <c r="B4" s="227" t="s">
        <v>187</v>
      </c>
      <c r="C4" s="228">
        <f>'NCLB Title I-A Formula'!G14</f>
        <v>0</v>
      </c>
      <c r="D4" s="228">
        <v>0</v>
      </c>
      <c r="E4" s="228">
        <v>0</v>
      </c>
      <c r="F4" s="228">
        <f>'NCLB Title II-A Formula'!G14</f>
        <v>0</v>
      </c>
      <c r="G4" s="228">
        <f>'NCLB Title III-A'!G14</f>
        <v>0</v>
      </c>
      <c r="H4" s="228">
        <f>'NCLB Title III SAI'!G14</f>
        <v>18272</v>
      </c>
      <c r="I4" s="229">
        <v>0</v>
      </c>
      <c r="J4" s="225"/>
    </row>
    <row r="5" spans="1:10" ht="18.75" x14ac:dyDescent="0.3">
      <c r="A5" s="230" t="s">
        <v>10</v>
      </c>
      <c r="B5" s="231" t="s">
        <v>188</v>
      </c>
      <c r="C5" s="228">
        <f>'NCLB Title I-A Formula'!G15</f>
        <v>0</v>
      </c>
      <c r="D5" s="228">
        <v>0</v>
      </c>
      <c r="E5" s="228">
        <v>0</v>
      </c>
      <c r="F5" s="228">
        <f>'NCLB Title II-A Formula'!G15</f>
        <v>0</v>
      </c>
      <c r="G5" s="228">
        <f>'NCLB Title III-A'!G15</f>
        <v>0</v>
      </c>
      <c r="H5" s="228">
        <v>0</v>
      </c>
      <c r="I5" s="229">
        <v>0</v>
      </c>
      <c r="J5" s="225"/>
    </row>
    <row r="6" spans="1:10" ht="18.75" x14ac:dyDescent="0.3">
      <c r="A6" s="230" t="s">
        <v>11</v>
      </c>
      <c r="B6" s="231" t="s">
        <v>189</v>
      </c>
      <c r="C6" s="228">
        <f>'NCLB Title I-A Formula'!G16</f>
        <v>0</v>
      </c>
      <c r="D6" s="228">
        <v>0</v>
      </c>
      <c r="E6" s="228">
        <v>0</v>
      </c>
      <c r="F6" s="228">
        <f>'NCLB Title II-A Formula'!G16</f>
        <v>0</v>
      </c>
      <c r="G6" s="228">
        <f>'NCLB Title III-A'!G16</f>
        <v>0</v>
      </c>
      <c r="H6" s="228">
        <v>0</v>
      </c>
      <c r="I6" s="229">
        <v>0</v>
      </c>
      <c r="J6" s="225"/>
    </row>
    <row r="7" spans="1:10" ht="18.75" x14ac:dyDescent="0.3">
      <c r="A7" s="230" t="s">
        <v>12</v>
      </c>
      <c r="B7" s="231" t="s">
        <v>190</v>
      </c>
      <c r="C7" s="228">
        <f>'NCLB Title I-A Formula'!G17</f>
        <v>0</v>
      </c>
      <c r="D7" s="228">
        <v>0</v>
      </c>
      <c r="E7" s="228">
        <v>0</v>
      </c>
      <c r="F7" s="228">
        <f>'NCLB Title II-A Formula'!G17</f>
        <v>0</v>
      </c>
      <c r="G7" s="228">
        <f>'NCLB Title III-A'!G17</f>
        <v>0</v>
      </c>
      <c r="H7" s="228">
        <v>0</v>
      </c>
      <c r="I7" s="229">
        <v>0</v>
      </c>
      <c r="J7" s="225"/>
    </row>
    <row r="8" spans="1:10" ht="18.75" x14ac:dyDescent="0.3">
      <c r="A8" s="230" t="s">
        <v>13</v>
      </c>
      <c r="B8" s="231" t="s">
        <v>191</v>
      </c>
      <c r="C8" s="228">
        <f>'NCLB Title I-A Formula'!G18</f>
        <v>0</v>
      </c>
      <c r="D8" s="228">
        <v>0</v>
      </c>
      <c r="E8" s="228">
        <v>0</v>
      </c>
      <c r="F8" s="228">
        <f>'NCLB Title II-A Formula'!G18</f>
        <v>0</v>
      </c>
      <c r="G8" s="228">
        <f>'NCLB Title III-A'!G18</f>
        <v>0</v>
      </c>
      <c r="H8" s="228">
        <v>0</v>
      </c>
      <c r="I8" s="229">
        <v>0</v>
      </c>
      <c r="J8" s="225"/>
    </row>
    <row r="9" spans="1:10" ht="18.75" x14ac:dyDescent="0.3">
      <c r="A9" s="230" t="s">
        <v>14</v>
      </c>
      <c r="B9" s="231" t="s">
        <v>192</v>
      </c>
      <c r="C9" s="228">
        <f>'NCLB Title I-A Formula'!G19</f>
        <v>0</v>
      </c>
      <c r="D9" s="228">
        <v>0</v>
      </c>
      <c r="E9" s="228">
        <v>0</v>
      </c>
      <c r="F9" s="228">
        <f>'NCLB Title II-A Formula'!G19</f>
        <v>0</v>
      </c>
      <c r="G9" s="228">
        <v>0</v>
      </c>
      <c r="H9" s="228">
        <v>0</v>
      </c>
      <c r="I9" s="229">
        <v>0</v>
      </c>
      <c r="J9" s="225"/>
    </row>
    <row r="10" spans="1:10" ht="18.75" x14ac:dyDescent="0.3">
      <c r="A10" s="230" t="s">
        <v>15</v>
      </c>
      <c r="B10" s="231" t="s">
        <v>193</v>
      </c>
      <c r="C10" s="228">
        <f>'NCLB Title I-A Formula'!G20</f>
        <v>0</v>
      </c>
      <c r="D10" s="228">
        <v>0</v>
      </c>
      <c r="E10" s="228">
        <v>0</v>
      </c>
      <c r="F10" s="228">
        <f>'NCLB Title II-A Formula'!G20</f>
        <v>0</v>
      </c>
      <c r="G10" s="228">
        <f>'NCLB Title III-A'!G20</f>
        <v>0</v>
      </c>
      <c r="H10" s="228">
        <v>0</v>
      </c>
      <c r="I10" s="229">
        <v>0</v>
      </c>
      <c r="J10" s="225"/>
    </row>
    <row r="11" spans="1:10" ht="18.75" x14ac:dyDescent="0.3">
      <c r="A11" s="230" t="s">
        <v>16</v>
      </c>
      <c r="B11" s="231" t="s">
        <v>194</v>
      </c>
      <c r="C11" s="228">
        <f>'NCLB Title I-A Formula'!G21</f>
        <v>0</v>
      </c>
      <c r="D11" s="228">
        <v>0</v>
      </c>
      <c r="E11" s="228">
        <f>'NCLB Title I-Delinquent'!E19</f>
        <v>0</v>
      </c>
      <c r="F11" s="228">
        <f>'NCLB Title II-A Formula'!G21</f>
        <v>0</v>
      </c>
      <c r="G11" s="228">
        <f>'NCLB Title III-A'!G21</f>
        <v>0</v>
      </c>
      <c r="H11" s="228">
        <f>'NCLB Title III SAI'!$G$21</f>
        <v>17</v>
      </c>
      <c r="I11" s="229">
        <f>'TITLE VI RURAL LI'!$E$20</f>
        <v>0</v>
      </c>
      <c r="J11" s="225"/>
    </row>
    <row r="12" spans="1:10" ht="18.75" x14ac:dyDescent="0.3">
      <c r="A12" s="230" t="s">
        <v>17</v>
      </c>
      <c r="B12" s="231" t="s">
        <v>195</v>
      </c>
      <c r="C12" s="228">
        <f>'NCLB Title I-A Formula'!G22</f>
        <v>0</v>
      </c>
      <c r="D12" s="228">
        <v>0</v>
      </c>
      <c r="E12" s="228">
        <v>0</v>
      </c>
      <c r="F12" s="228">
        <f>'NCLB Title II-A Formula'!G22</f>
        <v>0</v>
      </c>
      <c r="G12" s="228">
        <v>0</v>
      </c>
      <c r="H12" s="228">
        <v>0</v>
      </c>
      <c r="I12" s="229">
        <v>0</v>
      </c>
      <c r="J12" s="225"/>
    </row>
    <row r="13" spans="1:10" ht="18.75" x14ac:dyDescent="0.3">
      <c r="A13" s="230" t="s">
        <v>18</v>
      </c>
      <c r="B13" s="231" t="s">
        <v>196</v>
      </c>
      <c r="C13" s="228">
        <f>'NCLB Title I-A Formula'!G23</f>
        <v>0</v>
      </c>
      <c r="D13" s="228">
        <v>0</v>
      </c>
      <c r="E13" s="228">
        <v>0</v>
      </c>
      <c r="F13" s="228">
        <f>'NCLB Title II-A Formula'!G23</f>
        <v>0</v>
      </c>
      <c r="G13" s="228">
        <f>'NCLB Title III-A'!G23</f>
        <v>0</v>
      </c>
      <c r="H13" s="228">
        <f>'NCLB Title III SAI'!$G$23</f>
        <v>0</v>
      </c>
      <c r="I13" s="229">
        <v>0</v>
      </c>
      <c r="J13" s="225"/>
    </row>
    <row r="14" spans="1:10" ht="18.75" x14ac:dyDescent="0.3">
      <c r="A14" s="230" t="s">
        <v>19</v>
      </c>
      <c r="B14" s="231" t="s">
        <v>197</v>
      </c>
      <c r="C14" s="228">
        <f>'NCLB Title I-A Formula'!G24</f>
        <v>0</v>
      </c>
      <c r="D14" s="228">
        <v>0</v>
      </c>
      <c r="E14" s="228">
        <v>0</v>
      </c>
      <c r="F14" s="228">
        <f>'NCLB Title II-A Formula'!G24</f>
        <v>0</v>
      </c>
      <c r="G14" s="228">
        <f>'NCLB Title III-A'!G24</f>
        <v>0</v>
      </c>
      <c r="H14" s="228">
        <v>0</v>
      </c>
      <c r="I14" s="229">
        <v>0</v>
      </c>
      <c r="J14" s="225"/>
    </row>
    <row r="15" spans="1:10" ht="18.75" x14ac:dyDescent="0.3">
      <c r="A15" s="230" t="s">
        <v>20</v>
      </c>
      <c r="B15" s="231" t="s">
        <v>198</v>
      </c>
      <c r="C15" s="228">
        <f>'NCLB Title I-A Formula'!G25</f>
        <v>0</v>
      </c>
      <c r="D15" s="228">
        <v>0</v>
      </c>
      <c r="E15" s="228">
        <f>'NCLB Title I-Delinquent'!E23</f>
        <v>0</v>
      </c>
      <c r="F15" s="228">
        <f>'NCLB Title II-A Formula'!G25</f>
        <v>0</v>
      </c>
      <c r="G15" s="228">
        <f>'NCLB Title III-A'!G25</f>
        <v>0</v>
      </c>
      <c r="H15" s="228">
        <f>'NCLB Title III SAI'!$G$25</f>
        <v>0</v>
      </c>
      <c r="I15" s="229">
        <v>0</v>
      </c>
      <c r="J15" s="225"/>
    </row>
    <row r="16" spans="1:10" ht="18.75" x14ac:dyDescent="0.3">
      <c r="A16" s="230" t="s">
        <v>21</v>
      </c>
      <c r="B16" s="231" t="s">
        <v>199</v>
      </c>
      <c r="C16" s="228">
        <f>'NCLB Title I-A Formula'!G26</f>
        <v>0</v>
      </c>
      <c r="D16" s="228">
        <v>0</v>
      </c>
      <c r="E16" s="228">
        <v>0</v>
      </c>
      <c r="F16" s="228">
        <f>'NCLB Title II-A Formula'!G26</f>
        <v>0</v>
      </c>
      <c r="G16" s="228">
        <f>'NCLB Title III-A'!G26</f>
        <v>0</v>
      </c>
      <c r="H16" s="228">
        <f>'NCLB Title III SAI'!G26</f>
        <v>16535</v>
      </c>
      <c r="I16" s="229">
        <v>0</v>
      </c>
      <c r="J16" s="225"/>
    </row>
    <row r="17" spans="1:10" ht="18.75" x14ac:dyDescent="0.3">
      <c r="A17" s="230" t="s">
        <v>22</v>
      </c>
      <c r="B17" s="231" t="s">
        <v>200</v>
      </c>
      <c r="C17" s="228">
        <f>'NCLB Title I-A Formula'!G27</f>
        <v>0</v>
      </c>
      <c r="D17" s="228">
        <v>0</v>
      </c>
      <c r="E17" s="228">
        <v>0</v>
      </c>
      <c r="F17" s="228">
        <f>'NCLB Title II-A Formula'!G27</f>
        <v>0</v>
      </c>
      <c r="G17" s="228">
        <f>'NCLB Title III-A'!G27</f>
        <v>0</v>
      </c>
      <c r="H17" s="228">
        <v>0</v>
      </c>
      <c r="I17" s="229">
        <v>0</v>
      </c>
      <c r="J17" s="225"/>
    </row>
    <row r="18" spans="1:10" ht="18.75" x14ac:dyDescent="0.3">
      <c r="A18" s="230" t="s">
        <v>23</v>
      </c>
      <c r="B18" s="231" t="s">
        <v>201</v>
      </c>
      <c r="C18" s="228">
        <f>'NCLB Title I-A Formula'!G28</f>
        <v>0</v>
      </c>
      <c r="D18" s="228">
        <f>'NCLB Title I-C Migrant'!$E$26</f>
        <v>58739</v>
      </c>
      <c r="E18" s="228">
        <f>'NCLB Title I-Delinquent'!E26</f>
        <v>0</v>
      </c>
      <c r="F18" s="228">
        <f>'NCLB Title II-A Formula'!G28</f>
        <v>0</v>
      </c>
      <c r="G18" s="228">
        <f>'NCLB Title III-A'!G28</f>
        <v>0</v>
      </c>
      <c r="H18" s="228">
        <f>'NCLB Title III SAI'!G28</f>
        <v>533</v>
      </c>
      <c r="I18" s="229">
        <v>0</v>
      </c>
      <c r="J18" s="225"/>
    </row>
    <row r="19" spans="1:10" ht="18.75" x14ac:dyDescent="0.3">
      <c r="A19" s="230" t="s">
        <v>24</v>
      </c>
      <c r="B19" s="231" t="s">
        <v>202</v>
      </c>
      <c r="C19" s="228">
        <f>'NCLB Title I-A Formula'!G29</f>
        <v>0</v>
      </c>
      <c r="D19" s="228">
        <v>0</v>
      </c>
      <c r="E19" s="228">
        <v>0</v>
      </c>
      <c r="F19" s="228">
        <f>'NCLB Title II-A Formula'!G29</f>
        <v>0</v>
      </c>
      <c r="G19" s="228">
        <v>0</v>
      </c>
      <c r="H19" s="228">
        <v>0</v>
      </c>
      <c r="I19" s="229">
        <v>0</v>
      </c>
      <c r="J19" s="225"/>
    </row>
    <row r="20" spans="1:10" ht="18.75" x14ac:dyDescent="0.3">
      <c r="A20" s="230" t="s">
        <v>25</v>
      </c>
      <c r="B20" s="231" t="s">
        <v>203</v>
      </c>
      <c r="C20" s="228">
        <f>'NCLB Title I-A Formula'!G30</f>
        <v>0</v>
      </c>
      <c r="D20" s="228">
        <v>0</v>
      </c>
      <c r="E20" s="228">
        <v>0</v>
      </c>
      <c r="F20" s="228">
        <f>'NCLB Title II-A Formula'!G30</f>
        <v>0</v>
      </c>
      <c r="G20" s="228">
        <v>0</v>
      </c>
      <c r="H20" s="228">
        <v>0</v>
      </c>
      <c r="I20" s="229">
        <v>0</v>
      </c>
      <c r="J20" s="225"/>
    </row>
    <row r="21" spans="1:10" ht="18.75" x14ac:dyDescent="0.3">
      <c r="A21" s="230" t="s">
        <v>26</v>
      </c>
      <c r="B21" s="231" t="s">
        <v>204</v>
      </c>
      <c r="C21" s="228">
        <f>'NCLB Title I-A Formula'!G31</f>
        <v>0</v>
      </c>
      <c r="D21" s="228">
        <v>0</v>
      </c>
      <c r="E21" s="228">
        <v>0</v>
      </c>
      <c r="F21" s="228">
        <f>'NCLB Title II-A Formula'!G31</f>
        <v>0</v>
      </c>
      <c r="G21" s="228">
        <f>'NCLB Title III-A'!G31</f>
        <v>0</v>
      </c>
      <c r="H21" s="228">
        <v>0</v>
      </c>
      <c r="I21" s="229">
        <v>0</v>
      </c>
      <c r="J21" s="225"/>
    </row>
    <row r="22" spans="1:10" ht="18.75" x14ac:dyDescent="0.3">
      <c r="A22" s="230" t="s">
        <v>27</v>
      </c>
      <c r="B22" s="231" t="s">
        <v>205</v>
      </c>
      <c r="C22" s="228">
        <f>'NCLB Title I-A Formula'!G32</f>
        <v>371</v>
      </c>
      <c r="D22" s="228">
        <v>0</v>
      </c>
      <c r="E22" s="228">
        <v>0</v>
      </c>
      <c r="F22" s="228">
        <f>'NCLB Title II-A Formula'!G32</f>
        <v>5992</v>
      </c>
      <c r="G22" s="228">
        <f>'NCLB Title III-A'!G32</f>
        <v>0</v>
      </c>
      <c r="H22" s="228">
        <v>0</v>
      </c>
      <c r="I22" s="229">
        <v>0</v>
      </c>
      <c r="J22" s="225"/>
    </row>
    <row r="23" spans="1:10" ht="18.75" x14ac:dyDescent="0.3">
      <c r="A23" s="230" t="s">
        <v>28</v>
      </c>
      <c r="B23" s="231" t="s">
        <v>206</v>
      </c>
      <c r="C23" s="228">
        <f>'NCLB Title I-A Formula'!G33</f>
        <v>0</v>
      </c>
      <c r="D23" s="228">
        <v>0</v>
      </c>
      <c r="E23" s="228">
        <v>0</v>
      </c>
      <c r="F23" s="228">
        <f>'NCLB Title II-A Formula'!G33</f>
        <v>0</v>
      </c>
      <c r="G23" s="228">
        <v>0</v>
      </c>
      <c r="H23" s="228">
        <v>0</v>
      </c>
      <c r="I23" s="229">
        <v>0</v>
      </c>
      <c r="J23" s="225"/>
    </row>
    <row r="24" spans="1:10" ht="18.75" x14ac:dyDescent="0.3">
      <c r="A24" s="230" t="s">
        <v>29</v>
      </c>
      <c r="B24" s="231" t="s">
        <v>207</v>
      </c>
      <c r="C24" s="228">
        <f>'NCLB Title I-A Formula'!G34</f>
        <v>0</v>
      </c>
      <c r="D24" s="228">
        <v>0</v>
      </c>
      <c r="E24" s="228">
        <v>0</v>
      </c>
      <c r="F24" s="228">
        <f>'NCLB Title II-A Formula'!G34</f>
        <v>0</v>
      </c>
      <c r="G24" s="228">
        <f>'NCLB Title III-A'!G34</f>
        <v>0</v>
      </c>
      <c r="H24" s="228">
        <v>0</v>
      </c>
      <c r="I24" s="229">
        <v>0</v>
      </c>
      <c r="J24" s="225"/>
    </row>
    <row r="25" spans="1:10" ht="18.75" x14ac:dyDescent="0.3">
      <c r="A25" s="230" t="s">
        <v>30</v>
      </c>
      <c r="B25" s="231" t="s">
        <v>208</v>
      </c>
      <c r="C25" s="228">
        <f>'NCLB Title I-A Formula'!G35</f>
        <v>0</v>
      </c>
      <c r="D25" s="228">
        <v>0</v>
      </c>
      <c r="E25" s="228">
        <v>0</v>
      </c>
      <c r="F25" s="228">
        <f>'NCLB Title II-A Formula'!G35</f>
        <v>0</v>
      </c>
      <c r="G25" s="228">
        <f>'NCLB Title III-A'!G35</f>
        <v>0</v>
      </c>
      <c r="H25" s="228">
        <v>0</v>
      </c>
      <c r="I25" s="229">
        <v>0</v>
      </c>
      <c r="J25" s="225"/>
    </row>
    <row r="26" spans="1:10" ht="18.75" x14ac:dyDescent="0.3">
      <c r="A26" s="230" t="s">
        <v>31</v>
      </c>
      <c r="B26" s="231" t="s">
        <v>209</v>
      </c>
      <c r="C26" s="228">
        <f>'NCLB Title I-A Formula'!G36</f>
        <v>0</v>
      </c>
      <c r="D26" s="228">
        <v>0</v>
      </c>
      <c r="E26" s="228">
        <v>0</v>
      </c>
      <c r="F26" s="228">
        <f>'NCLB Title II-A Formula'!G36</f>
        <v>0</v>
      </c>
      <c r="G26" s="228">
        <f>'NCLB Title III-A'!G36</f>
        <v>205</v>
      </c>
      <c r="H26" s="228">
        <v>0</v>
      </c>
      <c r="I26" s="229">
        <v>0</v>
      </c>
      <c r="J26" s="225"/>
    </row>
    <row r="27" spans="1:10" ht="18.75" x14ac:dyDescent="0.3">
      <c r="A27" s="230" t="s">
        <v>32</v>
      </c>
      <c r="B27" s="231" t="s">
        <v>210</v>
      </c>
      <c r="C27" s="228">
        <f>'NCLB Title I-A Formula'!G37</f>
        <v>0</v>
      </c>
      <c r="D27" s="228">
        <v>0</v>
      </c>
      <c r="E27" s="228">
        <v>0</v>
      </c>
      <c r="F27" s="228">
        <f>'NCLB Title II-A Formula'!G37</f>
        <v>0</v>
      </c>
      <c r="G27" s="228">
        <v>0</v>
      </c>
      <c r="H27" s="228">
        <v>0</v>
      </c>
      <c r="I27" s="229">
        <v>0</v>
      </c>
      <c r="J27" s="225"/>
    </row>
    <row r="28" spans="1:10" ht="18.75" x14ac:dyDescent="0.3">
      <c r="A28" s="230" t="s">
        <v>33</v>
      </c>
      <c r="B28" s="231" t="s">
        <v>211</v>
      </c>
      <c r="C28" s="228">
        <f>'NCLB Title I-A Formula'!G38</f>
        <v>0</v>
      </c>
      <c r="D28" s="228">
        <v>0</v>
      </c>
      <c r="E28" s="228">
        <v>0</v>
      </c>
      <c r="F28" s="228">
        <f>'NCLB Title II-A Formula'!G38</f>
        <v>0</v>
      </c>
      <c r="G28" s="228">
        <f>'NCLB Title III-A'!G38</f>
        <v>0</v>
      </c>
      <c r="H28" s="228">
        <v>0</v>
      </c>
      <c r="I28" s="229">
        <v>0</v>
      </c>
      <c r="J28" s="225"/>
    </row>
    <row r="29" spans="1:10" ht="18.75" x14ac:dyDescent="0.3">
      <c r="A29" s="230" t="s">
        <v>34</v>
      </c>
      <c r="B29" s="231" t="s">
        <v>212</v>
      </c>
      <c r="C29" s="228">
        <f>'NCLB Title I-A Formula'!G39</f>
        <v>0</v>
      </c>
      <c r="D29" s="228">
        <v>0</v>
      </c>
      <c r="E29" s="228">
        <v>0</v>
      </c>
      <c r="F29" s="228">
        <f>'NCLB Title II-A Formula'!G39</f>
        <v>0</v>
      </c>
      <c r="G29" s="228">
        <f>'NCLB Title III-A'!G39</f>
        <v>0</v>
      </c>
      <c r="H29" s="228">
        <f>'NCLB Title III SAI'!$G$39</f>
        <v>0</v>
      </c>
      <c r="I29" s="229">
        <v>0</v>
      </c>
      <c r="J29" s="225"/>
    </row>
    <row r="30" spans="1:10" ht="18.75" x14ac:dyDescent="0.3">
      <c r="A30" s="230" t="s">
        <v>35</v>
      </c>
      <c r="B30" s="231" t="s">
        <v>213</v>
      </c>
      <c r="C30" s="228">
        <f>'NCLB Title I-A Formula'!G40</f>
        <v>0</v>
      </c>
      <c r="D30" s="228">
        <v>0</v>
      </c>
      <c r="E30" s="228">
        <v>0</v>
      </c>
      <c r="F30" s="228">
        <f>'NCLB Title II-A Formula'!G40</f>
        <v>0</v>
      </c>
      <c r="G30" s="228">
        <f>'NCLB Title III-A'!G40</f>
        <v>0</v>
      </c>
      <c r="H30" s="228">
        <v>0</v>
      </c>
      <c r="I30" s="229">
        <v>0</v>
      </c>
      <c r="J30" s="225"/>
    </row>
    <row r="31" spans="1:10" ht="18.75" x14ac:dyDescent="0.3">
      <c r="A31" s="230" t="s">
        <v>36</v>
      </c>
      <c r="B31" s="231" t="s">
        <v>214</v>
      </c>
      <c r="C31" s="228">
        <f>'NCLB Title I-A Formula'!G41</f>
        <v>0</v>
      </c>
      <c r="D31" s="228">
        <v>0</v>
      </c>
      <c r="E31" s="228">
        <v>0</v>
      </c>
      <c r="F31" s="228">
        <f>'NCLB Title II-A Formula'!G41</f>
        <v>0</v>
      </c>
      <c r="G31" s="228">
        <v>0</v>
      </c>
      <c r="H31" s="228">
        <f>'NCLB Title III SAI'!$G$41</f>
        <v>0</v>
      </c>
      <c r="I31" s="229">
        <v>0</v>
      </c>
      <c r="J31" s="225"/>
    </row>
    <row r="32" spans="1:10" ht="18.75" x14ac:dyDescent="0.3">
      <c r="A32" s="230" t="s">
        <v>37</v>
      </c>
      <c r="B32" s="231" t="s">
        <v>215</v>
      </c>
      <c r="C32" s="228">
        <f>'NCLB Title I-A Formula'!G42</f>
        <v>0</v>
      </c>
      <c r="D32" s="228">
        <v>0</v>
      </c>
      <c r="E32" s="228">
        <v>0</v>
      </c>
      <c r="F32" s="228">
        <f>'NCLB Title II-A Formula'!G42</f>
        <v>0</v>
      </c>
      <c r="G32" s="228">
        <v>0</v>
      </c>
      <c r="H32" s="228">
        <v>0</v>
      </c>
      <c r="I32" s="229">
        <v>0</v>
      </c>
      <c r="J32" s="225"/>
    </row>
    <row r="33" spans="1:10" ht="18.75" x14ac:dyDescent="0.3">
      <c r="A33" s="230" t="s">
        <v>38</v>
      </c>
      <c r="B33" s="231" t="s">
        <v>216</v>
      </c>
      <c r="C33" s="228">
        <f>'NCLB Title I-A Formula'!G43</f>
        <v>0</v>
      </c>
      <c r="D33" s="228">
        <v>0</v>
      </c>
      <c r="E33" s="228">
        <v>0</v>
      </c>
      <c r="F33" s="228">
        <f>'NCLB Title II-A Formula'!G43</f>
        <v>0</v>
      </c>
      <c r="G33" s="228">
        <f>'NCLB Title III-A'!G43</f>
        <v>0</v>
      </c>
      <c r="H33" s="228">
        <v>0</v>
      </c>
      <c r="I33" s="229">
        <v>0</v>
      </c>
      <c r="J33" s="225"/>
    </row>
    <row r="34" spans="1:10" ht="18.75" x14ac:dyDescent="0.3">
      <c r="A34" s="230" t="s">
        <v>39</v>
      </c>
      <c r="B34" s="231" t="s">
        <v>217</v>
      </c>
      <c r="C34" s="228">
        <f>'NCLB Title I-A Formula'!G44</f>
        <v>0</v>
      </c>
      <c r="D34" s="228">
        <v>0</v>
      </c>
      <c r="E34" s="228">
        <v>0</v>
      </c>
      <c r="F34" s="228">
        <f>'NCLB Title II-A Formula'!G44</f>
        <v>0</v>
      </c>
      <c r="G34" s="228">
        <f>'NCLB Title III-A'!G44</f>
        <v>0</v>
      </c>
      <c r="H34" s="228">
        <v>0</v>
      </c>
      <c r="I34" s="229">
        <v>0</v>
      </c>
      <c r="J34" s="225"/>
    </row>
    <row r="35" spans="1:10" ht="18.75" x14ac:dyDescent="0.3">
      <c r="A35" s="230" t="s">
        <v>40</v>
      </c>
      <c r="B35" s="231" t="s">
        <v>218</v>
      </c>
      <c r="C35" s="228">
        <f>'NCLB Title I-A Formula'!G45</f>
        <v>0</v>
      </c>
      <c r="D35" s="228">
        <v>0</v>
      </c>
      <c r="E35" s="228">
        <v>0</v>
      </c>
      <c r="F35" s="228">
        <f>'NCLB Title II-A Formula'!G45</f>
        <v>0</v>
      </c>
      <c r="G35" s="228">
        <f>'NCLB Title III-A'!G45</f>
        <v>0</v>
      </c>
      <c r="H35" s="228">
        <v>0</v>
      </c>
      <c r="I35" s="229">
        <v>0</v>
      </c>
      <c r="J35" s="225"/>
    </row>
    <row r="36" spans="1:10" ht="18.75" x14ac:dyDescent="0.3">
      <c r="A36" s="230" t="s">
        <v>41</v>
      </c>
      <c r="B36" s="231" t="s">
        <v>219</v>
      </c>
      <c r="C36" s="228">
        <f>'NCLB Title I-A Formula'!G46</f>
        <v>0</v>
      </c>
      <c r="D36" s="228">
        <v>0</v>
      </c>
      <c r="E36" s="228">
        <v>0</v>
      </c>
      <c r="F36" s="228">
        <f>'NCLB Title II-A Formula'!G46</f>
        <v>0</v>
      </c>
      <c r="G36" s="228">
        <f>'NCLB Title III-A'!G46</f>
        <v>0</v>
      </c>
      <c r="H36" s="228">
        <v>0</v>
      </c>
      <c r="I36" s="229">
        <v>0</v>
      </c>
      <c r="J36" s="225"/>
    </row>
    <row r="37" spans="1:10" ht="18.75" x14ac:dyDescent="0.3">
      <c r="A37" s="230" t="s">
        <v>42</v>
      </c>
      <c r="B37" s="231" t="s">
        <v>220</v>
      </c>
      <c r="C37" s="228">
        <f>'NCLB Title I-A Formula'!G47</f>
        <v>0</v>
      </c>
      <c r="D37" s="228">
        <v>0</v>
      </c>
      <c r="E37" s="228">
        <v>0</v>
      </c>
      <c r="F37" s="228">
        <f>'NCLB Title II-A Formula'!G47</f>
        <v>1705</v>
      </c>
      <c r="G37" s="228">
        <f>'NCLB Title III-A'!G47</f>
        <v>0</v>
      </c>
      <c r="H37" s="228">
        <v>0</v>
      </c>
      <c r="I37" s="229">
        <v>0</v>
      </c>
      <c r="J37" s="225"/>
    </row>
    <row r="38" spans="1:10" ht="18.75" x14ac:dyDescent="0.3">
      <c r="A38" s="230" t="s">
        <v>43</v>
      </c>
      <c r="B38" s="231" t="s">
        <v>221</v>
      </c>
      <c r="C38" s="228">
        <f>'NCLB Title I-A Formula'!G48</f>
        <v>0</v>
      </c>
      <c r="D38" s="228">
        <v>0</v>
      </c>
      <c r="E38" s="228">
        <v>0</v>
      </c>
      <c r="F38" s="228">
        <f>'NCLB Title II-A Formula'!G48</f>
        <v>0</v>
      </c>
      <c r="G38" s="228">
        <v>0</v>
      </c>
      <c r="H38" s="228">
        <v>0</v>
      </c>
      <c r="I38" s="229">
        <v>0</v>
      </c>
      <c r="J38" s="225"/>
    </row>
    <row r="39" spans="1:10" ht="18.75" x14ac:dyDescent="0.3">
      <c r="A39" s="230" t="s">
        <v>44</v>
      </c>
      <c r="B39" s="231" t="s">
        <v>222</v>
      </c>
      <c r="C39" s="228">
        <f>'NCLB Title I-A Formula'!G49</f>
        <v>0</v>
      </c>
      <c r="D39" s="228">
        <v>0</v>
      </c>
      <c r="E39" s="228">
        <v>0</v>
      </c>
      <c r="F39" s="228">
        <f>'NCLB Title II-A Formula'!G49</f>
        <v>0</v>
      </c>
      <c r="G39" s="228">
        <f>'NCLB Title III-A'!G49</f>
        <v>0</v>
      </c>
      <c r="H39" s="228">
        <v>0</v>
      </c>
      <c r="I39" s="229">
        <v>0</v>
      </c>
      <c r="J39" s="225"/>
    </row>
    <row r="40" spans="1:10" ht="18.75" x14ac:dyDescent="0.3">
      <c r="A40" s="230" t="s">
        <v>45</v>
      </c>
      <c r="B40" s="231" t="s">
        <v>223</v>
      </c>
      <c r="C40" s="228">
        <f>'NCLB Title I-A Formula'!G50</f>
        <v>0</v>
      </c>
      <c r="D40" s="228">
        <v>0</v>
      </c>
      <c r="E40" s="228">
        <v>0</v>
      </c>
      <c r="F40" s="228">
        <f>'NCLB Title II-A Formula'!G50</f>
        <v>0</v>
      </c>
      <c r="G40" s="228">
        <v>0</v>
      </c>
      <c r="H40" s="228">
        <v>0</v>
      </c>
      <c r="I40" s="229">
        <v>0</v>
      </c>
      <c r="J40" s="225"/>
    </row>
    <row r="41" spans="1:10" ht="18.75" x14ac:dyDescent="0.3">
      <c r="A41" s="230" t="s">
        <v>46</v>
      </c>
      <c r="B41" s="231" t="s">
        <v>224</v>
      </c>
      <c r="C41" s="228">
        <f>'NCLB Title I-A Formula'!G51</f>
        <v>0</v>
      </c>
      <c r="D41" s="228">
        <v>0</v>
      </c>
      <c r="E41" s="228">
        <v>0</v>
      </c>
      <c r="F41" s="228">
        <f>'NCLB Title II-A Formula'!G51</f>
        <v>0</v>
      </c>
      <c r="G41" s="228">
        <f>'NCLB Title III-A'!G51</f>
        <v>0</v>
      </c>
      <c r="H41" s="228">
        <v>0</v>
      </c>
      <c r="I41" s="229">
        <v>0</v>
      </c>
      <c r="J41" s="225"/>
    </row>
    <row r="42" spans="1:10" ht="18.75" x14ac:dyDescent="0.3">
      <c r="A42" s="230" t="s">
        <v>47</v>
      </c>
      <c r="B42" s="231" t="s">
        <v>225</v>
      </c>
      <c r="C42" s="228">
        <f>'NCLB Title I-A Formula'!G52</f>
        <v>0</v>
      </c>
      <c r="D42" s="228">
        <v>0</v>
      </c>
      <c r="E42" s="228">
        <v>0</v>
      </c>
      <c r="F42" s="228">
        <f>'NCLB Title II-A Formula'!G52</f>
        <v>0</v>
      </c>
      <c r="G42" s="228">
        <f>'NCLB Title III-A'!G52</f>
        <v>0</v>
      </c>
      <c r="H42" s="228">
        <v>0</v>
      </c>
      <c r="I42" s="229">
        <v>0</v>
      </c>
      <c r="J42" s="225"/>
    </row>
    <row r="43" spans="1:10" ht="18.75" x14ac:dyDescent="0.3">
      <c r="A43" s="230" t="s">
        <v>48</v>
      </c>
      <c r="B43" s="231" t="s">
        <v>226</v>
      </c>
      <c r="C43" s="228">
        <f>'NCLB Title I-A Formula'!G53</f>
        <v>0</v>
      </c>
      <c r="D43" s="228">
        <v>0</v>
      </c>
      <c r="E43" s="228">
        <f>'NCLB Title I-Delinquent'!E51</f>
        <v>0</v>
      </c>
      <c r="F43" s="228">
        <f>'NCLB Title II-A Formula'!G53</f>
        <v>0</v>
      </c>
      <c r="G43" s="228">
        <f>'NCLB Title III-A'!G53</f>
        <v>0</v>
      </c>
      <c r="H43" s="228">
        <f>'NCLB Title III SAI'!$G$53</f>
        <v>0</v>
      </c>
      <c r="I43" s="229">
        <v>0</v>
      </c>
      <c r="J43" s="225"/>
    </row>
    <row r="44" spans="1:10" ht="18.75" x14ac:dyDescent="0.3">
      <c r="A44" s="230" t="s">
        <v>49</v>
      </c>
      <c r="B44" s="231" t="s">
        <v>227</v>
      </c>
      <c r="C44" s="228">
        <f>'NCLB Title I-A Formula'!G54</f>
        <v>0</v>
      </c>
      <c r="D44" s="228">
        <v>0</v>
      </c>
      <c r="E44" s="228">
        <v>0</v>
      </c>
      <c r="F44" s="228">
        <f>'NCLB Title II-A Formula'!G54</f>
        <v>0</v>
      </c>
      <c r="G44" s="228">
        <f>'NCLB Title III-A'!G54</f>
        <v>0</v>
      </c>
      <c r="H44" s="228">
        <v>0</v>
      </c>
      <c r="I44" s="229">
        <v>0</v>
      </c>
      <c r="J44" s="225"/>
    </row>
    <row r="45" spans="1:10" ht="18.75" x14ac:dyDescent="0.3">
      <c r="A45" s="230" t="s">
        <v>50</v>
      </c>
      <c r="B45" s="231" t="s">
        <v>228</v>
      </c>
      <c r="C45" s="228">
        <f>'NCLB Title I-A Formula'!G55</f>
        <v>0</v>
      </c>
      <c r="D45" s="228">
        <v>0</v>
      </c>
      <c r="E45" s="228">
        <v>0</v>
      </c>
      <c r="F45" s="228">
        <f>'NCLB Title II-A Formula'!G55</f>
        <v>0</v>
      </c>
      <c r="G45" s="228">
        <f>'NCLB Title III-A'!G55</f>
        <v>0</v>
      </c>
      <c r="H45" s="228">
        <v>0</v>
      </c>
      <c r="I45" s="229">
        <v>0</v>
      </c>
      <c r="J45" s="225"/>
    </row>
    <row r="46" spans="1:10" ht="18.75" x14ac:dyDescent="0.3">
      <c r="A46" s="230" t="s">
        <v>51</v>
      </c>
      <c r="B46" s="231" t="s">
        <v>229</v>
      </c>
      <c r="C46" s="228">
        <f>'NCLB Title I-A Formula'!G56</f>
        <v>0</v>
      </c>
      <c r="D46" s="228">
        <f>'NCLB Title I-C Migrant'!$E$54</f>
        <v>46390</v>
      </c>
      <c r="E46" s="228">
        <v>0</v>
      </c>
      <c r="F46" s="228">
        <f>'NCLB Title II-A Formula'!G56</f>
        <v>0</v>
      </c>
      <c r="G46" s="228">
        <f>'NCLB Title III-A'!G56</f>
        <v>0</v>
      </c>
      <c r="H46" s="228">
        <v>0</v>
      </c>
      <c r="I46" s="229">
        <v>0</v>
      </c>
      <c r="J46" s="225"/>
    </row>
    <row r="47" spans="1:10" ht="18.75" x14ac:dyDescent="0.3">
      <c r="A47" s="230" t="s">
        <v>52</v>
      </c>
      <c r="B47" s="231" t="s">
        <v>230</v>
      </c>
      <c r="C47" s="228">
        <f>'NCLB Title I-A Formula'!G57</f>
        <v>0</v>
      </c>
      <c r="D47" s="228">
        <v>0</v>
      </c>
      <c r="E47" s="228">
        <v>0</v>
      </c>
      <c r="F47" s="228">
        <f>'NCLB Title II-A Formula'!G57</f>
        <v>0</v>
      </c>
      <c r="G47" s="228">
        <f>'NCLB Title III-A'!G57</f>
        <v>0</v>
      </c>
      <c r="H47" s="228">
        <v>0</v>
      </c>
      <c r="I47" s="229">
        <v>0</v>
      </c>
      <c r="J47" s="225"/>
    </row>
    <row r="48" spans="1:10" ht="18.75" x14ac:dyDescent="0.3">
      <c r="A48" s="230" t="s">
        <v>53</v>
      </c>
      <c r="B48" s="231" t="s">
        <v>231</v>
      </c>
      <c r="C48" s="228">
        <f>'NCLB Title I-A Formula'!G58</f>
        <v>0</v>
      </c>
      <c r="D48" s="228">
        <v>0</v>
      </c>
      <c r="E48" s="228">
        <v>0</v>
      </c>
      <c r="F48" s="228">
        <f>'NCLB Title II-A Formula'!G58</f>
        <v>0</v>
      </c>
      <c r="G48" s="228">
        <f>'NCLB Title III-A'!G58</f>
        <v>0</v>
      </c>
      <c r="H48" s="228">
        <v>0</v>
      </c>
      <c r="I48" s="229">
        <v>0</v>
      </c>
      <c r="J48" s="225"/>
    </row>
    <row r="49" spans="1:10" ht="18.75" x14ac:dyDescent="0.3">
      <c r="A49" s="230" t="s">
        <v>54</v>
      </c>
      <c r="B49" s="231" t="s">
        <v>232</v>
      </c>
      <c r="C49" s="228">
        <f>'NCLB Title I-A Formula'!G59</f>
        <v>0</v>
      </c>
      <c r="D49" s="228">
        <v>0</v>
      </c>
      <c r="E49" s="228">
        <v>0</v>
      </c>
      <c r="F49" s="228">
        <f>'NCLB Title II-A Formula'!G59</f>
        <v>0</v>
      </c>
      <c r="G49" s="228">
        <v>0</v>
      </c>
      <c r="H49" s="228">
        <v>0</v>
      </c>
      <c r="I49" s="229">
        <v>0</v>
      </c>
      <c r="J49" s="225"/>
    </row>
    <row r="50" spans="1:10" ht="18.75" x14ac:dyDescent="0.3">
      <c r="A50" s="230" t="s">
        <v>55</v>
      </c>
      <c r="B50" s="231" t="s">
        <v>233</v>
      </c>
      <c r="C50" s="228">
        <f>'NCLB Title I-A Formula'!G60</f>
        <v>0</v>
      </c>
      <c r="D50" s="228">
        <v>0</v>
      </c>
      <c r="E50" s="228">
        <v>0</v>
      </c>
      <c r="F50" s="228">
        <f>'NCLB Title II-A Formula'!G60</f>
        <v>0</v>
      </c>
      <c r="G50" s="228">
        <f>'NCLB Title III-A'!G60</f>
        <v>0</v>
      </c>
      <c r="H50" s="228">
        <v>0</v>
      </c>
      <c r="I50" s="229">
        <v>0</v>
      </c>
      <c r="J50" s="225"/>
    </row>
    <row r="51" spans="1:10" ht="18.75" x14ac:dyDescent="0.3">
      <c r="A51" s="230" t="s">
        <v>56</v>
      </c>
      <c r="B51" s="231" t="s">
        <v>234</v>
      </c>
      <c r="C51" s="228">
        <f>'NCLB Title I-A Formula'!G61</f>
        <v>0</v>
      </c>
      <c r="D51" s="228">
        <v>0</v>
      </c>
      <c r="E51" s="228">
        <v>0</v>
      </c>
      <c r="F51" s="228">
        <f>'NCLB Title II-A Formula'!G61</f>
        <v>0</v>
      </c>
      <c r="G51" s="228">
        <f>'NCLB Title III-A'!G61</f>
        <v>0</v>
      </c>
      <c r="H51" s="228">
        <v>0</v>
      </c>
      <c r="I51" s="229">
        <v>0</v>
      </c>
      <c r="J51" s="225"/>
    </row>
    <row r="52" spans="1:10" ht="18.75" x14ac:dyDescent="0.3">
      <c r="A52" s="230" t="s">
        <v>57</v>
      </c>
      <c r="B52" s="231" t="s">
        <v>235</v>
      </c>
      <c r="C52" s="228">
        <f>'NCLB Title I-A Formula'!G62</f>
        <v>0</v>
      </c>
      <c r="D52" s="228">
        <v>0</v>
      </c>
      <c r="E52" s="228">
        <v>0</v>
      </c>
      <c r="F52" s="228">
        <f>'NCLB Title II-A Formula'!G62</f>
        <v>0</v>
      </c>
      <c r="G52" s="228">
        <f>'NCLB Title III-A'!G62</f>
        <v>0</v>
      </c>
      <c r="H52" s="228">
        <v>0</v>
      </c>
      <c r="I52" s="229">
        <v>0</v>
      </c>
      <c r="J52" s="225"/>
    </row>
    <row r="53" spans="1:10" ht="18.75" x14ac:dyDescent="0.3">
      <c r="A53" s="230" t="s">
        <v>58</v>
      </c>
      <c r="B53" s="231" t="s">
        <v>236</v>
      </c>
      <c r="C53" s="228">
        <f>'NCLB Title I-A Formula'!G63</f>
        <v>0</v>
      </c>
      <c r="D53" s="228">
        <v>0</v>
      </c>
      <c r="E53" s="228">
        <v>0</v>
      </c>
      <c r="F53" s="228">
        <f>'NCLB Title II-A Formula'!G63</f>
        <v>0</v>
      </c>
      <c r="G53" s="228">
        <f>'NCLB Title III-A'!G63</f>
        <v>0</v>
      </c>
      <c r="H53" s="228">
        <f>'NCLB Title III SAI'!$G$63</f>
        <v>0</v>
      </c>
      <c r="I53" s="229">
        <v>0</v>
      </c>
      <c r="J53" s="225"/>
    </row>
    <row r="54" spans="1:10" ht="18.75" x14ac:dyDescent="0.3">
      <c r="A54" s="230" t="s">
        <v>59</v>
      </c>
      <c r="B54" s="231" t="s">
        <v>237</v>
      </c>
      <c r="C54" s="228">
        <f>'NCLB Title I-A Formula'!G64</f>
        <v>0</v>
      </c>
      <c r="D54" s="228">
        <v>0</v>
      </c>
      <c r="E54" s="228">
        <v>0</v>
      </c>
      <c r="F54" s="228">
        <f>'NCLB Title II-A Formula'!G64</f>
        <v>0</v>
      </c>
      <c r="G54" s="228">
        <f>'NCLB Title III-A'!G64</f>
        <v>0</v>
      </c>
      <c r="H54" s="228">
        <f>'NCLB Title III SAI'!$G$64</f>
        <v>0</v>
      </c>
      <c r="I54" s="229">
        <v>0</v>
      </c>
      <c r="J54" s="225"/>
    </row>
    <row r="55" spans="1:10" ht="18.75" x14ac:dyDescent="0.3">
      <c r="A55" s="230" t="s">
        <v>60</v>
      </c>
      <c r="B55" s="231" t="s">
        <v>238</v>
      </c>
      <c r="C55" s="228">
        <f>'NCLB Title I-A Formula'!G65</f>
        <v>0</v>
      </c>
      <c r="D55" s="228">
        <v>0</v>
      </c>
      <c r="E55" s="228">
        <v>0</v>
      </c>
      <c r="F55" s="228">
        <f>'NCLB Title II-A Formula'!G65</f>
        <v>0</v>
      </c>
      <c r="G55" s="228">
        <f>'NCLB Title III-A'!G65</f>
        <v>0</v>
      </c>
      <c r="H55" s="228">
        <v>0</v>
      </c>
      <c r="I55" s="229">
        <v>0</v>
      </c>
      <c r="J55" s="225"/>
    </row>
    <row r="56" spans="1:10" ht="18.75" x14ac:dyDescent="0.3">
      <c r="A56" s="230" t="s">
        <v>61</v>
      </c>
      <c r="B56" s="231" t="s">
        <v>239</v>
      </c>
      <c r="C56" s="228">
        <f>'NCLB Title I-A Formula'!G66</f>
        <v>0</v>
      </c>
      <c r="D56" s="228">
        <v>0</v>
      </c>
      <c r="E56" s="228">
        <f>'NCLB Title I-Delinquent'!E64</f>
        <v>0</v>
      </c>
      <c r="F56" s="228">
        <f>'NCLB Title II-A Formula'!G66</f>
        <v>0</v>
      </c>
      <c r="G56" s="228">
        <f>'NCLB Title III-A'!G66</f>
        <v>0</v>
      </c>
      <c r="H56" s="228">
        <f>'NCLB Title III SAI'!$G$66</f>
        <v>0</v>
      </c>
      <c r="I56" s="229">
        <v>0</v>
      </c>
      <c r="J56" s="225"/>
    </row>
    <row r="57" spans="1:10" ht="18.75" x14ac:dyDescent="0.3">
      <c r="A57" s="230" t="s">
        <v>62</v>
      </c>
      <c r="B57" s="231" t="s">
        <v>240</v>
      </c>
      <c r="C57" s="228">
        <f>'NCLB Title I-A Formula'!G67</f>
        <v>0</v>
      </c>
      <c r="D57" s="228">
        <v>0</v>
      </c>
      <c r="E57" s="228">
        <v>0</v>
      </c>
      <c r="F57" s="228">
        <f>'NCLB Title II-A Formula'!G67</f>
        <v>0</v>
      </c>
      <c r="G57" s="228">
        <f>'NCLB Title III-A'!G67</f>
        <v>0</v>
      </c>
      <c r="H57" s="228">
        <f>'NCLB Title III SAI'!$G$67</f>
        <v>0</v>
      </c>
      <c r="I57" s="229">
        <v>0</v>
      </c>
      <c r="J57" s="225"/>
    </row>
    <row r="58" spans="1:10" ht="18.75" x14ac:dyDescent="0.3">
      <c r="A58" s="230" t="s">
        <v>63</v>
      </c>
      <c r="B58" s="231" t="s">
        <v>241</v>
      </c>
      <c r="C58" s="228">
        <f>'NCLB Title I-A Formula'!G68</f>
        <v>0</v>
      </c>
      <c r="D58" s="228">
        <v>0</v>
      </c>
      <c r="E58" s="228">
        <v>0</v>
      </c>
      <c r="F58" s="228">
        <f>'NCLB Title II-A Formula'!G68</f>
        <v>0</v>
      </c>
      <c r="G58" s="228">
        <f>'NCLB Title III-A'!G68</f>
        <v>0</v>
      </c>
      <c r="H58" s="228">
        <f>'NCLB Title III SAI'!$G$68</f>
        <v>0</v>
      </c>
      <c r="I58" s="229">
        <v>0</v>
      </c>
      <c r="J58" s="225"/>
    </row>
    <row r="59" spans="1:10" ht="18.75" x14ac:dyDescent="0.3">
      <c r="A59" s="230" t="s">
        <v>64</v>
      </c>
      <c r="B59" s="231" t="s">
        <v>242</v>
      </c>
      <c r="C59" s="228">
        <f>'NCLB Title I-A Formula'!G69</f>
        <v>0</v>
      </c>
      <c r="D59" s="228">
        <v>0</v>
      </c>
      <c r="E59" s="228">
        <v>0</v>
      </c>
      <c r="F59" s="228">
        <f>'NCLB Title II-A Formula'!G69</f>
        <v>0</v>
      </c>
      <c r="G59" s="228">
        <f>'NCLB Title III-A'!G69</f>
        <v>0</v>
      </c>
      <c r="H59" s="228">
        <v>0</v>
      </c>
      <c r="I59" s="229">
        <v>0</v>
      </c>
      <c r="J59" s="225"/>
    </row>
    <row r="60" spans="1:10" ht="18.75" x14ac:dyDescent="0.3">
      <c r="A60" s="230" t="s">
        <v>65</v>
      </c>
      <c r="B60" s="231" t="s">
        <v>243</v>
      </c>
      <c r="C60" s="228">
        <f>'NCLB Title I-A Formula'!G70</f>
        <v>0</v>
      </c>
      <c r="D60" s="228">
        <v>0</v>
      </c>
      <c r="E60" s="228">
        <v>0</v>
      </c>
      <c r="F60" s="228">
        <f>'NCLB Title II-A Formula'!G70</f>
        <v>0</v>
      </c>
      <c r="G60" s="228">
        <f>'NCLB Title III-A'!G70</f>
        <v>0</v>
      </c>
      <c r="H60" s="228">
        <v>0</v>
      </c>
      <c r="I60" s="229">
        <v>0</v>
      </c>
      <c r="J60" s="225"/>
    </row>
    <row r="61" spans="1:10" ht="18.75" x14ac:dyDescent="0.3">
      <c r="A61" s="230" t="s">
        <v>66</v>
      </c>
      <c r="B61" s="231" t="s">
        <v>244</v>
      </c>
      <c r="C61" s="228">
        <f>'NCLB Title I-A Formula'!G71</f>
        <v>0</v>
      </c>
      <c r="D61" s="228">
        <v>0</v>
      </c>
      <c r="E61" s="228">
        <v>0</v>
      </c>
      <c r="F61" s="228">
        <f>'NCLB Title II-A Formula'!G71</f>
        <v>0</v>
      </c>
      <c r="G61" s="228">
        <f>'NCLB Title III-A'!G71</f>
        <v>411</v>
      </c>
      <c r="H61" s="228">
        <v>0</v>
      </c>
      <c r="I61" s="229">
        <v>0</v>
      </c>
      <c r="J61" s="225"/>
    </row>
    <row r="62" spans="1:10" ht="18.75" x14ac:dyDescent="0.3">
      <c r="A62" s="230" t="s">
        <v>67</v>
      </c>
      <c r="B62" s="231" t="s">
        <v>245</v>
      </c>
      <c r="C62" s="228">
        <f>'NCLB Title I-A Formula'!G72</f>
        <v>0</v>
      </c>
      <c r="D62" s="228">
        <v>0</v>
      </c>
      <c r="E62" s="228">
        <v>0</v>
      </c>
      <c r="F62" s="228">
        <f>'NCLB Title II-A Formula'!G72</f>
        <v>0</v>
      </c>
      <c r="G62" s="228">
        <f>'NCLB Title III-A'!G72</f>
        <v>1849</v>
      </c>
      <c r="H62" s="228">
        <v>0</v>
      </c>
      <c r="I62" s="229">
        <v>0</v>
      </c>
      <c r="J62" s="225"/>
    </row>
    <row r="63" spans="1:10" ht="18.75" x14ac:dyDescent="0.3">
      <c r="A63" s="230" t="s">
        <v>68</v>
      </c>
      <c r="B63" s="231" t="s">
        <v>246</v>
      </c>
      <c r="C63" s="228">
        <f>'NCLB Title I-A Formula'!G73</f>
        <v>0</v>
      </c>
      <c r="D63" s="228">
        <v>0</v>
      </c>
      <c r="E63" s="228">
        <v>0</v>
      </c>
      <c r="F63" s="228">
        <f>'NCLB Title II-A Formula'!G73</f>
        <v>0</v>
      </c>
      <c r="G63" s="228">
        <f>'NCLB Title III-A'!G73</f>
        <v>0</v>
      </c>
      <c r="H63" s="228">
        <f>'NCLB Title III SAI'!$G$73</f>
        <v>1829</v>
      </c>
      <c r="I63" s="229">
        <v>0</v>
      </c>
      <c r="J63" s="225"/>
    </row>
    <row r="64" spans="1:10" ht="18.75" x14ac:dyDescent="0.3">
      <c r="A64" s="230" t="s">
        <v>69</v>
      </c>
      <c r="B64" s="231" t="s">
        <v>247</v>
      </c>
      <c r="C64" s="228">
        <f>'NCLB Title I-A Formula'!G74</f>
        <v>0</v>
      </c>
      <c r="D64" s="228">
        <v>0</v>
      </c>
      <c r="E64" s="228">
        <v>0</v>
      </c>
      <c r="F64" s="228">
        <f>'NCLB Title II-A Formula'!G74</f>
        <v>0</v>
      </c>
      <c r="G64" s="228">
        <f>'NCLB Title III-A'!G74</f>
        <v>0</v>
      </c>
      <c r="H64" s="228">
        <f>'NCLB Title III SAI'!$G$74</f>
        <v>0</v>
      </c>
      <c r="I64" s="229">
        <v>0</v>
      </c>
      <c r="J64" s="225"/>
    </row>
    <row r="65" spans="1:10" ht="18.75" x14ac:dyDescent="0.3">
      <c r="A65" s="230" t="s">
        <v>70</v>
      </c>
      <c r="B65" s="231" t="s">
        <v>248</v>
      </c>
      <c r="C65" s="228">
        <f>'NCLB Title I-A Formula'!G75</f>
        <v>0</v>
      </c>
      <c r="D65" s="228">
        <v>0</v>
      </c>
      <c r="E65" s="228">
        <v>0</v>
      </c>
      <c r="F65" s="228">
        <f>'NCLB Title II-A Formula'!G75</f>
        <v>0</v>
      </c>
      <c r="G65" s="228">
        <f>'NCLB Title III-A'!G75</f>
        <v>0</v>
      </c>
      <c r="H65" s="228">
        <v>0</v>
      </c>
      <c r="I65" s="229">
        <v>0</v>
      </c>
      <c r="J65" s="225"/>
    </row>
    <row r="66" spans="1:10" ht="18.75" x14ac:dyDescent="0.3">
      <c r="A66" s="230" t="s">
        <v>71</v>
      </c>
      <c r="B66" s="231" t="s">
        <v>249</v>
      </c>
      <c r="C66" s="228">
        <f>'NCLB Title I-A Formula'!G76</f>
        <v>0</v>
      </c>
      <c r="D66" s="228">
        <v>0</v>
      </c>
      <c r="E66" s="228">
        <v>0</v>
      </c>
      <c r="F66" s="228">
        <f>'NCLB Title II-A Formula'!G76</f>
        <v>0</v>
      </c>
      <c r="G66" s="228">
        <f>'NCLB Title III-A'!G76</f>
        <v>0</v>
      </c>
      <c r="H66" s="228">
        <f>'NCLB Title III SAI'!G76</f>
        <v>0</v>
      </c>
      <c r="I66" s="229">
        <v>0</v>
      </c>
      <c r="J66" s="225"/>
    </row>
    <row r="67" spans="1:10" ht="18.75" x14ac:dyDescent="0.3">
      <c r="A67" s="230" t="s">
        <v>72</v>
      </c>
      <c r="B67" s="231" t="s">
        <v>250</v>
      </c>
      <c r="C67" s="228">
        <f>'NCLB Title I-A Formula'!G77</f>
        <v>0</v>
      </c>
      <c r="D67" s="228">
        <v>0</v>
      </c>
      <c r="E67" s="228">
        <f>'NCLB Title I-Delinquent'!E75</f>
        <v>0</v>
      </c>
      <c r="F67" s="228">
        <f>'NCLB Title II-A Formula'!G77</f>
        <v>0</v>
      </c>
      <c r="G67" s="228">
        <v>0</v>
      </c>
      <c r="H67" s="228">
        <v>0</v>
      </c>
      <c r="I67" s="229">
        <f>'TITLE VI RURAL LI'!$E$76</f>
        <v>0</v>
      </c>
      <c r="J67" s="225"/>
    </row>
    <row r="68" spans="1:10" ht="18.75" x14ac:dyDescent="0.3">
      <c r="A68" s="230" t="s">
        <v>73</v>
      </c>
      <c r="B68" s="231" t="s">
        <v>251</v>
      </c>
      <c r="C68" s="228">
        <f>'NCLB Title I-A Formula'!G78</f>
        <v>0</v>
      </c>
      <c r="D68" s="228">
        <v>0</v>
      </c>
      <c r="E68" s="228">
        <v>0</v>
      </c>
      <c r="F68" s="228">
        <f>'NCLB Title II-A Formula'!G78</f>
        <v>0</v>
      </c>
      <c r="G68" s="228">
        <v>0</v>
      </c>
      <c r="H68" s="228">
        <v>0</v>
      </c>
      <c r="I68" s="229">
        <f>'TITLE VI RURAL LI'!$E$77</f>
        <v>0</v>
      </c>
      <c r="J68" s="225"/>
    </row>
    <row r="69" spans="1:10" ht="18.75" x14ac:dyDescent="0.3">
      <c r="A69" s="230" t="s">
        <v>74</v>
      </c>
      <c r="B69" s="231" t="s">
        <v>252</v>
      </c>
      <c r="C69" s="228">
        <f>'NCLB Title I-A Formula'!G79</f>
        <v>0</v>
      </c>
      <c r="D69" s="228">
        <v>0</v>
      </c>
      <c r="E69" s="228">
        <v>0</v>
      </c>
      <c r="F69" s="228">
        <f>'NCLB Title II-A Formula'!G79</f>
        <v>0</v>
      </c>
      <c r="G69" s="228">
        <f>'NCLB Title III-A'!G79</f>
        <v>0</v>
      </c>
      <c r="H69" s="228">
        <v>0</v>
      </c>
      <c r="I69" s="229">
        <v>0</v>
      </c>
      <c r="J69" s="225"/>
    </row>
    <row r="70" spans="1:10" ht="18.75" x14ac:dyDescent="0.3">
      <c r="A70" s="230" t="s">
        <v>75</v>
      </c>
      <c r="B70" s="231" t="s">
        <v>253</v>
      </c>
      <c r="C70" s="228">
        <f>'NCLB Title I-A Formula'!G80</f>
        <v>0</v>
      </c>
      <c r="D70" s="228">
        <v>0</v>
      </c>
      <c r="E70" s="228">
        <v>0</v>
      </c>
      <c r="F70" s="228">
        <f>'NCLB Title II-A Formula'!G80</f>
        <v>0</v>
      </c>
      <c r="G70" s="228">
        <f>'NCLB Title III-A'!G80</f>
        <v>0</v>
      </c>
      <c r="H70" s="228">
        <v>0</v>
      </c>
      <c r="I70" s="229">
        <v>0</v>
      </c>
      <c r="J70" s="225"/>
    </row>
    <row r="71" spans="1:10" ht="18.75" x14ac:dyDescent="0.3">
      <c r="A71" s="230" t="s">
        <v>76</v>
      </c>
      <c r="B71" s="231" t="s">
        <v>254</v>
      </c>
      <c r="C71" s="228">
        <f>'NCLB Title I-A Formula'!G81</f>
        <v>0</v>
      </c>
      <c r="D71" s="228">
        <v>0</v>
      </c>
      <c r="E71" s="228">
        <v>0</v>
      </c>
      <c r="F71" s="228">
        <f>'NCLB Title II-A Formula'!G81</f>
        <v>0</v>
      </c>
      <c r="G71" s="228">
        <f>'NCLB Title III-A'!G81</f>
        <v>0</v>
      </c>
      <c r="H71" s="228">
        <v>0</v>
      </c>
      <c r="I71" s="229">
        <v>0</v>
      </c>
      <c r="J71" s="225"/>
    </row>
    <row r="72" spans="1:10" ht="18.75" x14ac:dyDescent="0.3">
      <c r="A72" s="230" t="s">
        <v>77</v>
      </c>
      <c r="B72" s="231" t="s">
        <v>255</v>
      </c>
      <c r="C72" s="228">
        <f>'NCLB Title I-A Formula'!G82</f>
        <v>0</v>
      </c>
      <c r="D72" s="228">
        <v>0</v>
      </c>
      <c r="E72" s="228">
        <v>0</v>
      </c>
      <c r="F72" s="228">
        <f>'NCLB Title II-A Formula'!G82</f>
        <v>0</v>
      </c>
      <c r="G72" s="228">
        <f>'NCLB Title III-A'!G82</f>
        <v>0</v>
      </c>
      <c r="H72" s="228">
        <v>0</v>
      </c>
      <c r="I72" s="229">
        <v>0</v>
      </c>
      <c r="J72" s="225"/>
    </row>
    <row r="73" spans="1:10" ht="18.75" x14ac:dyDescent="0.3">
      <c r="A73" s="230" t="s">
        <v>78</v>
      </c>
      <c r="B73" s="231" t="s">
        <v>256</v>
      </c>
      <c r="C73" s="228">
        <f>'NCLB Title I-A Formula'!G83</f>
        <v>0</v>
      </c>
      <c r="D73" s="228">
        <v>0</v>
      </c>
      <c r="E73" s="228">
        <v>0</v>
      </c>
      <c r="F73" s="228">
        <f>'NCLB Title II-A Formula'!G83</f>
        <v>0</v>
      </c>
      <c r="G73" s="228">
        <f>'NCLB Title III-A'!G83</f>
        <v>0</v>
      </c>
      <c r="H73" s="228">
        <v>0</v>
      </c>
      <c r="I73" s="229">
        <v>0</v>
      </c>
      <c r="J73" s="225"/>
    </row>
    <row r="74" spans="1:10" ht="18.75" x14ac:dyDescent="0.3">
      <c r="A74" s="230" t="s">
        <v>79</v>
      </c>
      <c r="B74" s="231" t="s">
        <v>257</v>
      </c>
      <c r="C74" s="228">
        <f>'NCLB Title I-A Formula'!G84</f>
        <v>0</v>
      </c>
      <c r="D74" s="228">
        <v>0</v>
      </c>
      <c r="E74" s="228">
        <v>0</v>
      </c>
      <c r="F74" s="228">
        <f>'NCLB Title II-A Formula'!G84</f>
        <v>0</v>
      </c>
      <c r="G74" s="228">
        <f>'NCLB Title III-A'!G84</f>
        <v>0</v>
      </c>
      <c r="H74" s="228">
        <v>0</v>
      </c>
      <c r="I74" s="229">
        <v>0</v>
      </c>
      <c r="J74" s="225"/>
    </row>
    <row r="75" spans="1:10" ht="18.75" x14ac:dyDescent="0.3">
      <c r="A75" s="230" t="s">
        <v>80</v>
      </c>
      <c r="B75" s="231" t="s">
        <v>258</v>
      </c>
      <c r="C75" s="228">
        <f>'NCLB Title I-A Formula'!G85</f>
        <v>0</v>
      </c>
      <c r="D75" s="228">
        <v>0</v>
      </c>
      <c r="E75" s="228">
        <v>0</v>
      </c>
      <c r="F75" s="228">
        <f>'NCLB Title II-A Formula'!G85</f>
        <v>0</v>
      </c>
      <c r="G75" s="228">
        <f>'NCLB Title III-A'!G85</f>
        <v>0</v>
      </c>
      <c r="H75" s="228">
        <v>0</v>
      </c>
      <c r="I75" s="229">
        <v>0</v>
      </c>
      <c r="J75" s="225"/>
    </row>
    <row r="76" spans="1:10" ht="18.75" x14ac:dyDescent="0.3">
      <c r="A76" s="230" t="s">
        <v>81</v>
      </c>
      <c r="B76" s="231" t="s">
        <v>259</v>
      </c>
      <c r="C76" s="228">
        <f>'NCLB Title I-A Formula'!G86</f>
        <v>0</v>
      </c>
      <c r="D76" s="228">
        <v>0</v>
      </c>
      <c r="E76" s="228">
        <v>0</v>
      </c>
      <c r="F76" s="228">
        <f>'NCLB Title II-A Formula'!G86</f>
        <v>0</v>
      </c>
      <c r="G76" s="228">
        <f>'NCLB Title III-A'!G86</f>
        <v>0</v>
      </c>
      <c r="H76" s="228">
        <f>'NCLB Title III SAI'!$G$86</f>
        <v>0</v>
      </c>
      <c r="I76" s="229">
        <v>0</v>
      </c>
      <c r="J76" s="225"/>
    </row>
    <row r="77" spans="1:10" ht="18.75" x14ac:dyDescent="0.3">
      <c r="A77" s="230" t="s">
        <v>82</v>
      </c>
      <c r="B77" s="231" t="s">
        <v>260</v>
      </c>
      <c r="C77" s="228">
        <f>'NCLB Title I-A Formula'!G87</f>
        <v>0</v>
      </c>
      <c r="D77" s="228">
        <v>0</v>
      </c>
      <c r="E77" s="228">
        <v>0</v>
      </c>
      <c r="F77" s="228">
        <f>'NCLB Title II-A Formula'!G87</f>
        <v>0</v>
      </c>
      <c r="G77" s="228">
        <f>'NCLB Title III-A'!G87</f>
        <v>0</v>
      </c>
      <c r="H77" s="228">
        <v>0</v>
      </c>
      <c r="I77" s="229">
        <v>0</v>
      </c>
      <c r="J77" s="225"/>
    </row>
    <row r="78" spans="1:10" ht="18.75" x14ac:dyDescent="0.3">
      <c r="A78" s="230" t="s">
        <v>83</v>
      </c>
      <c r="B78" s="231" t="s">
        <v>261</v>
      </c>
      <c r="C78" s="228">
        <f>'NCLB Title I-A Formula'!G88</f>
        <v>0</v>
      </c>
      <c r="D78" s="228">
        <v>0</v>
      </c>
      <c r="E78" s="228">
        <v>0</v>
      </c>
      <c r="F78" s="228">
        <f>'NCLB Title II-A Formula'!G88</f>
        <v>0</v>
      </c>
      <c r="G78" s="228">
        <f>'NCLB Title III-A'!G88</f>
        <v>0</v>
      </c>
      <c r="H78" s="228">
        <v>0</v>
      </c>
      <c r="I78" s="229">
        <f>'TITLE VI RURAL LI'!$E$87</f>
        <v>0</v>
      </c>
      <c r="J78" s="225"/>
    </row>
    <row r="79" spans="1:10" ht="18.75" x14ac:dyDescent="0.3">
      <c r="A79" s="230" t="s">
        <v>84</v>
      </c>
      <c r="B79" s="231" t="s">
        <v>262</v>
      </c>
      <c r="C79" s="228">
        <f>'NCLB Title I-A Formula'!G89</f>
        <v>0</v>
      </c>
      <c r="D79" s="228">
        <v>0</v>
      </c>
      <c r="E79" s="228">
        <v>0</v>
      </c>
      <c r="F79" s="228">
        <f>'NCLB Title II-A Formula'!G89</f>
        <v>0</v>
      </c>
      <c r="G79" s="228">
        <f>'NCLB Title III-A'!G89</f>
        <v>274</v>
      </c>
      <c r="H79" s="228">
        <v>0</v>
      </c>
      <c r="I79" s="229">
        <v>0</v>
      </c>
      <c r="J79" s="225"/>
    </row>
    <row r="80" spans="1:10" ht="18.75" x14ac:dyDescent="0.3">
      <c r="A80" s="230" t="s">
        <v>85</v>
      </c>
      <c r="B80" s="231" t="s">
        <v>263</v>
      </c>
      <c r="C80" s="228">
        <f>'NCLB Title I-A Formula'!G90</f>
        <v>0</v>
      </c>
      <c r="D80" s="228">
        <v>0</v>
      </c>
      <c r="E80" s="228">
        <v>0</v>
      </c>
      <c r="F80" s="228">
        <f>'NCLB Title II-A Formula'!G90</f>
        <v>0</v>
      </c>
      <c r="G80" s="228">
        <v>0</v>
      </c>
      <c r="H80" s="228">
        <v>0</v>
      </c>
      <c r="I80" s="229">
        <v>0</v>
      </c>
      <c r="J80" s="225"/>
    </row>
    <row r="81" spans="1:10" ht="18.75" x14ac:dyDescent="0.3">
      <c r="A81" s="230" t="s">
        <v>86</v>
      </c>
      <c r="B81" s="231" t="s">
        <v>264</v>
      </c>
      <c r="C81" s="228">
        <f>'NCLB Title I-A Formula'!G91</f>
        <v>0</v>
      </c>
      <c r="D81" s="228"/>
      <c r="E81" s="228">
        <v>0</v>
      </c>
      <c r="F81" s="228">
        <f>'NCLB Title II-A Formula'!G91</f>
        <v>0</v>
      </c>
      <c r="G81" s="228">
        <f>'NCLB Title III-A'!G91</f>
        <v>0</v>
      </c>
      <c r="H81" s="228">
        <v>0</v>
      </c>
      <c r="I81" s="229">
        <v>0</v>
      </c>
      <c r="J81" s="225"/>
    </row>
    <row r="82" spans="1:10" ht="18.75" x14ac:dyDescent="0.3">
      <c r="A82" s="230" t="s">
        <v>87</v>
      </c>
      <c r="B82" s="231" t="s">
        <v>265</v>
      </c>
      <c r="C82" s="228">
        <f>'NCLB Title I-A Formula'!G92</f>
        <v>0</v>
      </c>
      <c r="D82" s="228">
        <v>0</v>
      </c>
      <c r="E82" s="228">
        <v>0</v>
      </c>
      <c r="F82" s="228">
        <f>'NCLB Title II-A Formula'!G92</f>
        <v>0</v>
      </c>
      <c r="G82" s="228">
        <v>0</v>
      </c>
      <c r="H82" s="228">
        <f>'NCLB Title III SAI'!G92</f>
        <v>1281</v>
      </c>
      <c r="I82" s="229">
        <v>0</v>
      </c>
      <c r="J82" s="225"/>
    </row>
    <row r="83" spans="1:10" ht="18.75" x14ac:dyDescent="0.3">
      <c r="A83" s="230" t="s">
        <v>88</v>
      </c>
      <c r="B83" s="231" t="s">
        <v>266</v>
      </c>
      <c r="C83" s="228">
        <f>'NCLB Title I-A Formula'!G93</f>
        <v>2821</v>
      </c>
      <c r="D83" s="228">
        <v>0</v>
      </c>
      <c r="E83" s="228">
        <v>0</v>
      </c>
      <c r="F83" s="228">
        <f>'NCLB Title II-A Formula'!G93</f>
        <v>0</v>
      </c>
      <c r="G83" s="228">
        <f>'NCLB Title III-A'!G93</f>
        <v>0</v>
      </c>
      <c r="H83" s="228">
        <v>0</v>
      </c>
      <c r="I83" s="229">
        <v>0</v>
      </c>
      <c r="J83" s="225"/>
    </row>
    <row r="84" spans="1:10" ht="18.75" x14ac:dyDescent="0.3">
      <c r="A84" s="230" t="s">
        <v>89</v>
      </c>
      <c r="B84" s="231" t="s">
        <v>267</v>
      </c>
      <c r="C84" s="228">
        <f>'NCLB Title I-A Formula'!G94</f>
        <v>0</v>
      </c>
      <c r="D84" s="228">
        <v>0</v>
      </c>
      <c r="E84" s="228">
        <v>0</v>
      </c>
      <c r="F84" s="228">
        <f>'NCLB Title II-A Formula'!G94</f>
        <v>0</v>
      </c>
      <c r="G84" s="228">
        <f>'NCLB Title III-A'!G94</f>
        <v>0</v>
      </c>
      <c r="H84" s="228">
        <v>0</v>
      </c>
      <c r="I84" s="229">
        <v>0</v>
      </c>
      <c r="J84" s="225"/>
    </row>
    <row r="85" spans="1:10" ht="18.75" x14ac:dyDescent="0.3">
      <c r="A85" s="230" t="s">
        <v>90</v>
      </c>
      <c r="B85" s="231" t="s">
        <v>268</v>
      </c>
      <c r="C85" s="228">
        <f>'NCLB Title I-A Formula'!G95</f>
        <v>0</v>
      </c>
      <c r="D85" s="228">
        <v>0</v>
      </c>
      <c r="E85" s="228">
        <v>0</v>
      </c>
      <c r="F85" s="228">
        <f>'NCLB Title II-A Formula'!G95</f>
        <v>0</v>
      </c>
      <c r="G85" s="228">
        <f>'NCLB Title III-A'!G95</f>
        <v>0</v>
      </c>
      <c r="H85" s="228">
        <v>0</v>
      </c>
      <c r="I85" s="229">
        <v>0</v>
      </c>
      <c r="J85" s="225"/>
    </row>
    <row r="86" spans="1:10" ht="18.75" x14ac:dyDescent="0.3">
      <c r="A86" s="230" t="s">
        <v>91</v>
      </c>
      <c r="B86" s="231" t="s">
        <v>269</v>
      </c>
      <c r="C86" s="228">
        <f>'NCLB Title I-A Formula'!G96</f>
        <v>0</v>
      </c>
      <c r="D86" s="228">
        <v>0</v>
      </c>
      <c r="E86" s="228">
        <v>0</v>
      </c>
      <c r="F86" s="228">
        <f>'NCLB Title II-A Formula'!G96</f>
        <v>0</v>
      </c>
      <c r="G86" s="228">
        <v>0</v>
      </c>
      <c r="H86" s="228">
        <v>0</v>
      </c>
      <c r="I86" s="229">
        <v>0</v>
      </c>
      <c r="J86" s="225"/>
    </row>
    <row r="87" spans="1:10" ht="18.75" x14ac:dyDescent="0.3">
      <c r="A87" s="230" t="s">
        <v>92</v>
      </c>
      <c r="B87" s="231" t="s">
        <v>270</v>
      </c>
      <c r="C87" s="228">
        <f>'NCLB Title I-A Formula'!G97</f>
        <v>0</v>
      </c>
      <c r="D87" s="228">
        <v>0</v>
      </c>
      <c r="E87" s="228">
        <v>0</v>
      </c>
      <c r="F87" s="228">
        <f>'NCLB Title II-A Formula'!G97</f>
        <v>0</v>
      </c>
      <c r="G87" s="228">
        <f>'NCLB Title III-A'!G97</f>
        <v>0</v>
      </c>
      <c r="H87" s="228">
        <v>0</v>
      </c>
      <c r="I87" s="229">
        <v>0</v>
      </c>
      <c r="J87" s="225"/>
    </row>
    <row r="88" spans="1:10" ht="18.75" x14ac:dyDescent="0.3">
      <c r="A88" s="230" t="s">
        <v>93</v>
      </c>
      <c r="B88" s="231" t="s">
        <v>271</v>
      </c>
      <c r="C88" s="228">
        <f>'NCLB Title I-A Formula'!G98</f>
        <v>0</v>
      </c>
      <c r="D88" s="228">
        <v>0</v>
      </c>
      <c r="E88" s="228">
        <v>0</v>
      </c>
      <c r="F88" s="228">
        <f>'NCLB Title II-A Formula'!G98</f>
        <v>0</v>
      </c>
      <c r="G88" s="228">
        <v>0</v>
      </c>
      <c r="H88" s="228">
        <v>0</v>
      </c>
      <c r="I88" s="229">
        <v>0</v>
      </c>
      <c r="J88" s="225"/>
    </row>
    <row r="89" spans="1:10" ht="18.75" x14ac:dyDescent="0.3">
      <c r="A89" s="230" t="s">
        <v>94</v>
      </c>
      <c r="B89" s="231" t="s">
        <v>272</v>
      </c>
      <c r="C89" s="228">
        <f>'NCLB Title I-A Formula'!G99</f>
        <v>0</v>
      </c>
      <c r="D89" s="228">
        <v>0</v>
      </c>
      <c r="E89" s="228">
        <v>0</v>
      </c>
      <c r="F89" s="228">
        <f>'NCLB Title II-A Formula'!G99</f>
        <v>0</v>
      </c>
      <c r="G89" s="228">
        <f>'NCLB Title III-A'!G99</f>
        <v>0</v>
      </c>
      <c r="H89" s="228">
        <v>0</v>
      </c>
      <c r="I89" s="229">
        <f>'TITLE VI RURAL LI'!$E$98</f>
        <v>0</v>
      </c>
      <c r="J89" s="225"/>
    </row>
    <row r="90" spans="1:10" ht="18.75" x14ac:dyDescent="0.3">
      <c r="A90" s="230" t="s">
        <v>95</v>
      </c>
      <c r="B90" s="231" t="s">
        <v>273</v>
      </c>
      <c r="C90" s="228">
        <f>'NCLB Title I-A Formula'!G100</f>
        <v>0</v>
      </c>
      <c r="D90" s="228">
        <v>0</v>
      </c>
      <c r="E90" s="228">
        <f>'NCLB Title I-Delinquent'!E98</f>
        <v>-1</v>
      </c>
      <c r="F90" s="228">
        <f>'NCLB Title II-A Formula'!G100</f>
        <v>0</v>
      </c>
      <c r="G90" s="228">
        <f>'NCLB Title III-A'!G100</f>
        <v>0</v>
      </c>
      <c r="H90" s="228">
        <v>0</v>
      </c>
      <c r="I90" s="229">
        <v>0</v>
      </c>
      <c r="J90" s="225"/>
    </row>
    <row r="91" spans="1:10" ht="18.75" x14ac:dyDescent="0.3">
      <c r="A91" s="230" t="s">
        <v>96</v>
      </c>
      <c r="B91" s="231" t="s">
        <v>274</v>
      </c>
      <c r="C91" s="228">
        <f>'NCLB Title I-A Formula'!G101</f>
        <v>0</v>
      </c>
      <c r="D91" s="228">
        <v>0</v>
      </c>
      <c r="E91" s="228">
        <v>0</v>
      </c>
      <c r="F91" s="228">
        <f>'NCLB Title II-A Formula'!G101</f>
        <v>0</v>
      </c>
      <c r="G91" s="228">
        <v>0</v>
      </c>
      <c r="H91" s="228">
        <v>0</v>
      </c>
      <c r="I91" s="229">
        <v>0</v>
      </c>
      <c r="J91" s="225"/>
    </row>
    <row r="92" spans="1:10" ht="18.75" x14ac:dyDescent="0.3">
      <c r="A92" s="230" t="s">
        <v>97</v>
      </c>
      <c r="B92" s="231" t="s">
        <v>275</v>
      </c>
      <c r="C92" s="228">
        <f>'NCLB Title I-A Formula'!G102</f>
        <v>0</v>
      </c>
      <c r="D92" s="228">
        <v>0</v>
      </c>
      <c r="E92" s="228">
        <v>0</v>
      </c>
      <c r="F92" s="228">
        <f>'NCLB Title II-A Formula'!G102</f>
        <v>0</v>
      </c>
      <c r="G92" s="228">
        <v>0</v>
      </c>
      <c r="H92" s="228">
        <v>0</v>
      </c>
      <c r="I92" s="229">
        <v>0</v>
      </c>
      <c r="J92" s="225"/>
    </row>
    <row r="93" spans="1:10" ht="18.75" x14ac:dyDescent="0.3">
      <c r="A93" s="230" t="s">
        <v>98</v>
      </c>
      <c r="B93" s="231" t="s">
        <v>276</v>
      </c>
      <c r="C93" s="228">
        <f>'NCLB Title I-A Formula'!G103</f>
        <v>0</v>
      </c>
      <c r="D93" s="228">
        <v>0</v>
      </c>
      <c r="E93" s="228">
        <f>'NCLB Title I-Delinquent'!E101</f>
        <v>0</v>
      </c>
      <c r="F93" s="228">
        <f>'NCLB Title II-A Formula'!G103</f>
        <v>0</v>
      </c>
      <c r="G93" s="228">
        <f>'NCLB Title III-A'!G103</f>
        <v>0</v>
      </c>
      <c r="H93" s="228">
        <f>'NCLB Title III SAI'!$G$103</f>
        <v>44091</v>
      </c>
      <c r="I93" s="229">
        <v>0</v>
      </c>
      <c r="J93" s="225"/>
    </row>
    <row r="94" spans="1:10" ht="18.75" x14ac:dyDescent="0.3">
      <c r="A94" s="230" t="s">
        <v>99</v>
      </c>
      <c r="B94" s="231" t="s">
        <v>277</v>
      </c>
      <c r="C94" s="228">
        <f>'NCLB Title I-A Formula'!G104</f>
        <v>0</v>
      </c>
      <c r="D94" s="228">
        <v>0</v>
      </c>
      <c r="E94" s="228">
        <v>0</v>
      </c>
      <c r="F94" s="228">
        <f>'NCLB Title II-A Formula'!G104</f>
        <v>0</v>
      </c>
      <c r="G94" s="228">
        <f>'NCLB Title III-A'!G104</f>
        <v>0</v>
      </c>
      <c r="H94" s="228">
        <v>0</v>
      </c>
      <c r="I94" s="229">
        <v>0</v>
      </c>
      <c r="J94" s="225"/>
    </row>
    <row r="95" spans="1:10" ht="18.75" x14ac:dyDescent="0.3">
      <c r="A95" s="230" t="s">
        <v>100</v>
      </c>
      <c r="B95" s="231" t="s">
        <v>278</v>
      </c>
      <c r="C95" s="228">
        <f>'NCLB Title I-A Formula'!G105</f>
        <v>0</v>
      </c>
      <c r="D95" s="228">
        <v>0</v>
      </c>
      <c r="E95" s="228">
        <v>0</v>
      </c>
      <c r="F95" s="228">
        <f>'NCLB Title II-A Formula'!G105</f>
        <v>0</v>
      </c>
      <c r="G95" s="228">
        <f>'NCLB Title III-A'!G105</f>
        <v>0</v>
      </c>
      <c r="H95" s="228">
        <v>0</v>
      </c>
      <c r="I95" s="229">
        <v>0</v>
      </c>
      <c r="J95" s="225"/>
    </row>
    <row r="96" spans="1:10" ht="18.75" x14ac:dyDescent="0.3">
      <c r="A96" s="230" t="s">
        <v>101</v>
      </c>
      <c r="B96" s="231" t="s">
        <v>279</v>
      </c>
      <c r="C96" s="228">
        <f>'NCLB Title I-A Formula'!G106</f>
        <v>0</v>
      </c>
      <c r="D96" s="228">
        <v>0</v>
      </c>
      <c r="E96" s="228">
        <v>0</v>
      </c>
      <c r="F96" s="228">
        <f>'NCLB Title II-A Formula'!G106</f>
        <v>0</v>
      </c>
      <c r="G96" s="228">
        <v>0</v>
      </c>
      <c r="H96" s="228">
        <v>0</v>
      </c>
      <c r="I96" s="229">
        <f>'TITLE VI RURAL LI'!$E$105</f>
        <v>5149</v>
      </c>
      <c r="J96" s="225"/>
    </row>
    <row r="97" spans="1:10" ht="18.75" x14ac:dyDescent="0.3">
      <c r="A97" s="230" t="s">
        <v>102</v>
      </c>
      <c r="B97" s="231" t="s">
        <v>280</v>
      </c>
      <c r="C97" s="228">
        <f>'NCLB Title I-A Formula'!G107</f>
        <v>0</v>
      </c>
      <c r="D97" s="228">
        <v>0</v>
      </c>
      <c r="E97" s="228">
        <v>0</v>
      </c>
      <c r="F97" s="228">
        <f>'NCLB Title II-A Formula'!G107</f>
        <v>0</v>
      </c>
      <c r="G97" s="228">
        <f>'NCLB Title III-A'!G107</f>
        <v>0</v>
      </c>
      <c r="H97" s="228">
        <v>0</v>
      </c>
      <c r="I97" s="229">
        <v>0</v>
      </c>
      <c r="J97" s="225"/>
    </row>
    <row r="98" spans="1:10" ht="18.75" x14ac:dyDescent="0.3">
      <c r="A98" s="230" t="s">
        <v>103</v>
      </c>
      <c r="B98" s="231" t="s">
        <v>281</v>
      </c>
      <c r="C98" s="228">
        <f>'NCLB Title I-A Formula'!G108</f>
        <v>0</v>
      </c>
      <c r="D98" s="228">
        <v>0</v>
      </c>
      <c r="E98" s="228">
        <v>0</v>
      </c>
      <c r="F98" s="228">
        <f>'NCLB Title II-A Formula'!G108</f>
        <v>0</v>
      </c>
      <c r="G98" s="228">
        <v>0</v>
      </c>
      <c r="H98" s="228">
        <v>0</v>
      </c>
      <c r="I98" s="229">
        <v>0</v>
      </c>
      <c r="J98" s="225"/>
    </row>
    <row r="99" spans="1:10" ht="18.75" x14ac:dyDescent="0.3">
      <c r="A99" s="230" t="s">
        <v>104</v>
      </c>
      <c r="B99" s="231" t="s">
        <v>282</v>
      </c>
      <c r="C99" s="228">
        <f>'NCLB Title I-A Formula'!G109</f>
        <v>0</v>
      </c>
      <c r="D99" s="228">
        <v>0</v>
      </c>
      <c r="E99" s="228">
        <v>0</v>
      </c>
      <c r="F99" s="228">
        <f>'NCLB Title II-A Formula'!G109</f>
        <v>0</v>
      </c>
      <c r="G99" s="228">
        <v>0</v>
      </c>
      <c r="H99" s="228">
        <v>0</v>
      </c>
      <c r="I99" s="229">
        <v>0</v>
      </c>
      <c r="J99" s="225"/>
    </row>
    <row r="100" spans="1:10" ht="18.75" x14ac:dyDescent="0.3">
      <c r="A100" s="230" t="s">
        <v>105</v>
      </c>
      <c r="B100" s="231" t="s">
        <v>283</v>
      </c>
      <c r="C100" s="228">
        <f>'NCLB Title I-A Formula'!G110</f>
        <v>0</v>
      </c>
      <c r="D100" s="228">
        <v>0</v>
      </c>
      <c r="E100" s="228">
        <v>0</v>
      </c>
      <c r="F100" s="228">
        <f>'NCLB Title II-A Formula'!G110</f>
        <v>0</v>
      </c>
      <c r="G100" s="228">
        <f>'NCLB Title III-A'!G110</f>
        <v>0</v>
      </c>
      <c r="H100" s="228">
        <v>0</v>
      </c>
      <c r="I100" s="229">
        <v>0</v>
      </c>
      <c r="J100" s="225"/>
    </row>
    <row r="101" spans="1:10" ht="18.75" x14ac:dyDescent="0.3">
      <c r="A101" s="230" t="s">
        <v>106</v>
      </c>
      <c r="B101" s="231" t="s">
        <v>284</v>
      </c>
      <c r="C101" s="228">
        <f>'NCLB Title I-A Formula'!G111</f>
        <v>0</v>
      </c>
      <c r="D101" s="228">
        <v>0</v>
      </c>
      <c r="E101" s="228">
        <v>0</v>
      </c>
      <c r="F101" s="228">
        <f>'NCLB Title II-A Formula'!G111</f>
        <v>0</v>
      </c>
      <c r="G101" s="228">
        <f>'NCLB Title III-A'!G111</f>
        <v>0</v>
      </c>
      <c r="H101" s="228">
        <v>0</v>
      </c>
      <c r="I101" s="229">
        <v>0</v>
      </c>
      <c r="J101" s="225"/>
    </row>
    <row r="102" spans="1:10" ht="18.75" x14ac:dyDescent="0.3">
      <c r="A102" s="230" t="s">
        <v>107</v>
      </c>
      <c r="B102" s="231" t="s">
        <v>285</v>
      </c>
      <c r="C102" s="228">
        <f>'NCLB Title I-A Formula'!G112</f>
        <v>0</v>
      </c>
      <c r="D102" s="228">
        <v>0</v>
      </c>
      <c r="E102" s="228">
        <v>0</v>
      </c>
      <c r="F102" s="228">
        <f>'NCLB Title II-A Formula'!G112</f>
        <v>0</v>
      </c>
      <c r="G102" s="228">
        <f>'NCLB Title III-A'!G112</f>
        <v>0</v>
      </c>
      <c r="H102" s="228">
        <v>0</v>
      </c>
      <c r="I102" s="229">
        <v>0</v>
      </c>
      <c r="J102" s="225"/>
    </row>
    <row r="103" spans="1:10" ht="18.75" x14ac:dyDescent="0.3">
      <c r="A103" s="230" t="s">
        <v>108</v>
      </c>
      <c r="B103" s="231" t="s">
        <v>286</v>
      </c>
      <c r="C103" s="228">
        <f>'NCLB Title I-A Formula'!G113</f>
        <v>0</v>
      </c>
      <c r="D103" s="228">
        <v>0</v>
      </c>
      <c r="E103" s="228">
        <v>0</v>
      </c>
      <c r="F103" s="228">
        <f>'NCLB Title II-A Formula'!G113</f>
        <v>0</v>
      </c>
      <c r="G103" s="228">
        <v>0</v>
      </c>
      <c r="H103" s="228">
        <v>0</v>
      </c>
      <c r="I103" s="229">
        <v>0</v>
      </c>
      <c r="J103" s="225"/>
    </row>
    <row r="104" spans="1:10" ht="18.75" x14ac:dyDescent="0.3">
      <c r="A104" s="230" t="s">
        <v>109</v>
      </c>
      <c r="B104" s="231" t="s">
        <v>287</v>
      </c>
      <c r="C104" s="228">
        <f>'NCLB Title I-A Formula'!G114</f>
        <v>0</v>
      </c>
      <c r="D104" s="228">
        <v>0</v>
      </c>
      <c r="E104" s="228">
        <v>0</v>
      </c>
      <c r="F104" s="228">
        <f>'NCLB Title II-A Formula'!G114</f>
        <v>0</v>
      </c>
      <c r="G104" s="228">
        <f>'NCLB Title III-A'!G114</f>
        <v>0</v>
      </c>
      <c r="H104" s="228">
        <v>0</v>
      </c>
      <c r="I104" s="229">
        <v>0</v>
      </c>
      <c r="J104" s="225"/>
    </row>
    <row r="105" spans="1:10" ht="18.75" x14ac:dyDescent="0.3">
      <c r="A105" s="230" t="s">
        <v>110</v>
      </c>
      <c r="B105" s="231" t="s">
        <v>288</v>
      </c>
      <c r="C105" s="228">
        <f>'NCLB Title I-A Formula'!G115</f>
        <v>0</v>
      </c>
      <c r="D105" s="228">
        <v>0</v>
      </c>
      <c r="E105" s="228">
        <v>0</v>
      </c>
      <c r="F105" s="228">
        <f>'NCLB Title II-A Formula'!G115</f>
        <v>0</v>
      </c>
      <c r="G105" s="228">
        <f>'NCLB Title III-A'!G115</f>
        <v>0</v>
      </c>
      <c r="H105" s="228">
        <v>0</v>
      </c>
      <c r="I105" s="229">
        <v>0</v>
      </c>
      <c r="J105" s="225"/>
    </row>
    <row r="106" spans="1:10" ht="18.75" x14ac:dyDescent="0.3">
      <c r="A106" s="230" t="s">
        <v>111</v>
      </c>
      <c r="B106" s="231" t="s">
        <v>289</v>
      </c>
      <c r="C106" s="228">
        <f>'NCLB Title I-A Formula'!G116</f>
        <v>0</v>
      </c>
      <c r="D106" s="228">
        <v>0</v>
      </c>
      <c r="E106" s="228">
        <v>0</v>
      </c>
      <c r="F106" s="228">
        <f>'NCLB Title II-A Formula'!G116</f>
        <v>0</v>
      </c>
      <c r="G106" s="228">
        <f>'NCLB Title III-A'!G116</f>
        <v>0</v>
      </c>
      <c r="H106" s="228">
        <v>0</v>
      </c>
      <c r="I106" s="229">
        <v>0</v>
      </c>
      <c r="J106" s="225"/>
    </row>
    <row r="107" spans="1:10" ht="18.75" x14ac:dyDescent="0.3">
      <c r="A107" s="230" t="s">
        <v>112</v>
      </c>
      <c r="B107" s="231" t="s">
        <v>290</v>
      </c>
      <c r="C107" s="228">
        <f>'NCLB Title I-A Formula'!G117</f>
        <v>0</v>
      </c>
      <c r="D107" s="228">
        <v>0</v>
      </c>
      <c r="E107" s="228">
        <v>0</v>
      </c>
      <c r="F107" s="228">
        <f>'NCLB Title II-A Formula'!G117</f>
        <v>0</v>
      </c>
      <c r="G107" s="228">
        <f>'NCLB Title III-A'!G117</f>
        <v>0</v>
      </c>
      <c r="H107" s="228">
        <v>0</v>
      </c>
      <c r="I107" s="229">
        <v>0</v>
      </c>
      <c r="J107" s="225"/>
    </row>
    <row r="108" spans="1:10" ht="18.75" x14ac:dyDescent="0.3">
      <c r="A108" s="230" t="s">
        <v>113</v>
      </c>
      <c r="B108" s="231" t="s">
        <v>291</v>
      </c>
      <c r="C108" s="228">
        <f>'NCLB Title I-A Formula'!G118</f>
        <v>0</v>
      </c>
      <c r="D108" s="228">
        <v>0</v>
      </c>
      <c r="E108" s="228">
        <v>0</v>
      </c>
      <c r="F108" s="228">
        <f>'NCLB Title II-A Formula'!G118</f>
        <v>0</v>
      </c>
      <c r="G108" s="228">
        <f>'NCLB Title III-A'!G118</f>
        <v>0</v>
      </c>
      <c r="H108" s="228">
        <v>0</v>
      </c>
      <c r="I108" s="229">
        <v>0</v>
      </c>
      <c r="J108" s="225"/>
    </row>
    <row r="109" spans="1:10" ht="18.75" x14ac:dyDescent="0.3">
      <c r="A109" s="230" t="s">
        <v>114</v>
      </c>
      <c r="B109" s="231" t="s">
        <v>292</v>
      </c>
      <c r="C109" s="228">
        <f>'NCLB Title I-A Formula'!G119</f>
        <v>0</v>
      </c>
      <c r="D109" s="228">
        <v>0</v>
      </c>
      <c r="E109" s="228">
        <v>0</v>
      </c>
      <c r="F109" s="228">
        <f>'NCLB Title II-A Formula'!G119</f>
        <v>0</v>
      </c>
      <c r="G109" s="228">
        <f>'NCLB Title III-A'!G119</f>
        <v>0</v>
      </c>
      <c r="H109" s="228">
        <v>0</v>
      </c>
      <c r="I109" s="229">
        <v>0</v>
      </c>
      <c r="J109" s="225"/>
    </row>
    <row r="110" spans="1:10" ht="18.75" x14ac:dyDescent="0.3">
      <c r="A110" s="230" t="s">
        <v>115</v>
      </c>
      <c r="B110" s="231" t="s">
        <v>293</v>
      </c>
      <c r="C110" s="228">
        <f>'NCLB Title I-A Formula'!G120</f>
        <v>0</v>
      </c>
      <c r="D110" s="228">
        <v>0</v>
      </c>
      <c r="E110" s="228">
        <v>0</v>
      </c>
      <c r="F110" s="228">
        <f>'NCLB Title II-A Formula'!G120</f>
        <v>0</v>
      </c>
      <c r="G110" s="228">
        <f>'NCLB Title III-A'!G120</f>
        <v>0</v>
      </c>
      <c r="H110" s="228">
        <v>0</v>
      </c>
      <c r="I110" s="229">
        <v>0</v>
      </c>
      <c r="J110" s="225"/>
    </row>
    <row r="111" spans="1:10" ht="18.75" x14ac:dyDescent="0.3">
      <c r="A111" s="230" t="s">
        <v>116</v>
      </c>
      <c r="B111" s="231" t="s">
        <v>294</v>
      </c>
      <c r="C111" s="228">
        <f>'NCLB Title I-A Formula'!G121</f>
        <v>0</v>
      </c>
      <c r="D111" s="228">
        <f>'NCLB Title I-C Migrant'!$E$119</f>
        <v>-19890</v>
      </c>
      <c r="E111" s="228">
        <f>'NCLB Title I-Delinquent'!E119</f>
        <v>0</v>
      </c>
      <c r="F111" s="228">
        <f>'NCLB Title II-A Formula'!G121</f>
        <v>0</v>
      </c>
      <c r="G111" s="228">
        <f>'NCLB Title III-A'!G121</f>
        <v>0</v>
      </c>
      <c r="H111" s="228">
        <f>'NCLB Title III SAI'!$G$121</f>
        <v>0</v>
      </c>
      <c r="I111" s="229">
        <v>0</v>
      </c>
      <c r="J111" s="225"/>
    </row>
    <row r="112" spans="1:10" ht="18.75" x14ac:dyDescent="0.3">
      <c r="A112" s="230" t="s">
        <v>117</v>
      </c>
      <c r="B112" s="231" t="s">
        <v>295</v>
      </c>
      <c r="C112" s="228">
        <f>'NCLB Title I-A Formula'!G122</f>
        <v>0</v>
      </c>
      <c r="D112" s="228">
        <v>0</v>
      </c>
      <c r="E112" s="228">
        <v>0</v>
      </c>
      <c r="F112" s="228">
        <f>'NCLB Title II-A Formula'!G122</f>
        <v>0</v>
      </c>
      <c r="G112" s="228">
        <f>'NCLB Title III-A'!G122</f>
        <v>0</v>
      </c>
      <c r="H112" s="228">
        <v>0</v>
      </c>
      <c r="I112" s="229">
        <v>0</v>
      </c>
      <c r="J112" s="225"/>
    </row>
    <row r="113" spans="1:10" ht="18.75" x14ac:dyDescent="0.3">
      <c r="A113" s="230" t="s">
        <v>118</v>
      </c>
      <c r="B113" s="231" t="s">
        <v>296</v>
      </c>
      <c r="C113" s="228">
        <f>'NCLB Title I-A Formula'!G123</f>
        <v>0</v>
      </c>
      <c r="D113" s="228">
        <v>0</v>
      </c>
      <c r="E113" s="228">
        <v>0</v>
      </c>
      <c r="F113" s="228">
        <f>'NCLB Title II-A Formula'!G123</f>
        <v>0</v>
      </c>
      <c r="G113" s="228">
        <f>'NCLB Title III-A'!G123</f>
        <v>0</v>
      </c>
      <c r="H113" s="228">
        <v>0</v>
      </c>
      <c r="I113" s="229">
        <v>0</v>
      </c>
      <c r="J113" s="225"/>
    </row>
    <row r="114" spans="1:10" ht="18.75" x14ac:dyDescent="0.3">
      <c r="A114" s="230" t="s">
        <v>119</v>
      </c>
      <c r="B114" s="231" t="s">
        <v>297</v>
      </c>
      <c r="C114" s="228">
        <f>'NCLB Title I-A Formula'!G124</f>
        <v>0</v>
      </c>
      <c r="D114" s="228">
        <v>0</v>
      </c>
      <c r="E114" s="228">
        <v>0</v>
      </c>
      <c r="F114" s="228">
        <f>'NCLB Title II-A Formula'!G124</f>
        <v>0</v>
      </c>
      <c r="G114" s="228">
        <f>'NCLB Title III-A'!G124</f>
        <v>0</v>
      </c>
      <c r="H114" s="228">
        <f>'NCLB Title III SAI'!$G$124</f>
        <v>0</v>
      </c>
      <c r="I114" s="229">
        <v>0</v>
      </c>
      <c r="J114" s="225"/>
    </row>
    <row r="115" spans="1:10" ht="18.75" x14ac:dyDescent="0.3">
      <c r="A115" s="230" t="s">
        <v>120</v>
      </c>
      <c r="B115" s="231" t="s">
        <v>298</v>
      </c>
      <c r="C115" s="228">
        <f>'NCLB Title I-A Formula'!G125</f>
        <v>0</v>
      </c>
      <c r="D115" s="228">
        <v>0</v>
      </c>
      <c r="E115" s="228">
        <v>0</v>
      </c>
      <c r="F115" s="228">
        <f>'NCLB Title II-A Formula'!G125</f>
        <v>1610</v>
      </c>
      <c r="G115" s="228">
        <v>0</v>
      </c>
      <c r="H115" s="228">
        <v>0</v>
      </c>
      <c r="I115" s="229">
        <v>0</v>
      </c>
      <c r="J115" s="225"/>
    </row>
    <row r="116" spans="1:10" ht="18.75" x14ac:dyDescent="0.3">
      <c r="A116" s="230" t="s">
        <v>121</v>
      </c>
      <c r="B116" s="231" t="s">
        <v>299</v>
      </c>
      <c r="C116" s="228">
        <f>'NCLB Title I-A Formula'!G126</f>
        <v>0</v>
      </c>
      <c r="D116" s="228">
        <v>0</v>
      </c>
      <c r="E116" s="228">
        <v>0</v>
      </c>
      <c r="F116" s="228">
        <f>'NCLB Title II-A Formula'!G126</f>
        <v>0</v>
      </c>
      <c r="G116" s="228">
        <v>0</v>
      </c>
      <c r="H116" s="228">
        <v>0</v>
      </c>
      <c r="I116" s="229">
        <v>0</v>
      </c>
      <c r="J116" s="225"/>
    </row>
    <row r="117" spans="1:10" ht="18.75" x14ac:dyDescent="0.3">
      <c r="A117" s="230" t="s">
        <v>122</v>
      </c>
      <c r="B117" s="231" t="s">
        <v>300</v>
      </c>
      <c r="C117" s="228">
        <f>'NCLB Title I-A Formula'!G127</f>
        <v>0</v>
      </c>
      <c r="D117" s="228">
        <v>0</v>
      </c>
      <c r="E117" s="228">
        <v>0</v>
      </c>
      <c r="F117" s="228">
        <f>'NCLB Title II-A Formula'!G127</f>
        <v>0</v>
      </c>
      <c r="G117" s="228">
        <f>'NCLB Title III-A'!G127</f>
        <v>0</v>
      </c>
      <c r="H117" s="228">
        <v>0</v>
      </c>
      <c r="I117" s="229">
        <v>0</v>
      </c>
      <c r="J117" s="225"/>
    </row>
    <row r="118" spans="1:10" ht="18.75" x14ac:dyDescent="0.3">
      <c r="A118" s="230" t="s">
        <v>123</v>
      </c>
      <c r="B118" s="231" t="s">
        <v>301</v>
      </c>
      <c r="C118" s="228">
        <f>'NCLB Title I-A Formula'!G128</f>
        <v>0</v>
      </c>
      <c r="D118" s="228">
        <v>0</v>
      </c>
      <c r="E118" s="228">
        <v>0</v>
      </c>
      <c r="F118" s="228">
        <f>'NCLB Title II-A Formula'!G128</f>
        <v>7764</v>
      </c>
      <c r="G118" s="228">
        <v>0</v>
      </c>
      <c r="H118" s="228">
        <v>0</v>
      </c>
      <c r="I118" s="229">
        <v>0</v>
      </c>
      <c r="J118" s="225"/>
    </row>
    <row r="119" spans="1:10" ht="18.75" x14ac:dyDescent="0.3">
      <c r="A119" s="230" t="s">
        <v>124</v>
      </c>
      <c r="B119" s="231" t="s">
        <v>302</v>
      </c>
      <c r="C119" s="228">
        <f>'NCLB Title I-A Formula'!G129</f>
        <v>0</v>
      </c>
      <c r="D119" s="228">
        <v>0</v>
      </c>
      <c r="E119" s="228">
        <v>0</v>
      </c>
      <c r="F119" s="228">
        <f>'NCLB Title II-A Formula'!G129</f>
        <v>0</v>
      </c>
      <c r="G119" s="228">
        <v>0</v>
      </c>
      <c r="H119" s="228">
        <v>0</v>
      </c>
      <c r="I119" s="229">
        <v>0</v>
      </c>
      <c r="J119" s="225"/>
    </row>
    <row r="120" spans="1:10" ht="18.75" x14ac:dyDescent="0.3">
      <c r="A120" s="230" t="s">
        <v>125</v>
      </c>
      <c r="B120" s="231" t="s">
        <v>303</v>
      </c>
      <c r="C120" s="228">
        <f>'NCLB Title I-A Formula'!G130</f>
        <v>0</v>
      </c>
      <c r="D120" s="228">
        <v>0</v>
      </c>
      <c r="E120" s="228">
        <v>0</v>
      </c>
      <c r="F120" s="228">
        <f>'NCLB Title II-A Formula'!G130</f>
        <v>0</v>
      </c>
      <c r="G120" s="228">
        <f>'NCLB Title III-A'!G130</f>
        <v>0</v>
      </c>
      <c r="H120" s="228">
        <v>0</v>
      </c>
      <c r="I120" s="229">
        <v>0</v>
      </c>
      <c r="J120" s="225"/>
    </row>
    <row r="121" spans="1:10" ht="18.75" x14ac:dyDescent="0.3">
      <c r="A121" s="230" t="s">
        <v>126</v>
      </c>
      <c r="B121" s="231" t="s">
        <v>304</v>
      </c>
      <c r="C121" s="228">
        <f>'NCLB Title I-A Formula'!G131</f>
        <v>0</v>
      </c>
      <c r="D121" s="228">
        <v>0</v>
      </c>
      <c r="E121" s="228">
        <v>0</v>
      </c>
      <c r="F121" s="228">
        <f>'NCLB Title II-A Formula'!G131</f>
        <v>0</v>
      </c>
      <c r="G121" s="228">
        <v>0</v>
      </c>
      <c r="H121" s="228">
        <v>0</v>
      </c>
      <c r="I121" s="229">
        <v>0</v>
      </c>
      <c r="J121" s="225"/>
    </row>
    <row r="122" spans="1:10" ht="18.75" x14ac:dyDescent="0.3">
      <c r="A122" s="230" t="s">
        <v>127</v>
      </c>
      <c r="B122" s="231" t="s">
        <v>305</v>
      </c>
      <c r="C122" s="228">
        <f>'NCLB Title I-A Formula'!G132</f>
        <v>0</v>
      </c>
      <c r="D122" s="228">
        <v>0</v>
      </c>
      <c r="E122" s="228">
        <v>0</v>
      </c>
      <c r="F122" s="228">
        <f>'NCLB Title II-A Formula'!G132</f>
        <v>0</v>
      </c>
      <c r="G122" s="228">
        <v>0</v>
      </c>
      <c r="H122" s="228">
        <v>0</v>
      </c>
      <c r="I122" s="229">
        <v>0</v>
      </c>
      <c r="J122" s="225"/>
    </row>
    <row r="123" spans="1:10" ht="18.75" x14ac:dyDescent="0.3">
      <c r="A123" s="230" t="s">
        <v>128</v>
      </c>
      <c r="B123" s="231" t="s">
        <v>306</v>
      </c>
      <c r="C123" s="228">
        <f>'NCLB Title I-A Formula'!G133</f>
        <v>0</v>
      </c>
      <c r="D123" s="228">
        <v>0</v>
      </c>
      <c r="E123" s="228">
        <f>'NCLB Title I-Delinquent'!E131</f>
        <v>48876</v>
      </c>
      <c r="F123" s="228">
        <f>'NCLB Title II-A Formula'!G133</f>
        <v>0</v>
      </c>
      <c r="G123" s="228">
        <f>'NCLB Title III-A'!G133</f>
        <v>2534</v>
      </c>
      <c r="H123" s="228">
        <v>0</v>
      </c>
      <c r="I123" s="229">
        <f>'TITLE VI RURAL LI'!$E$132</f>
        <v>0</v>
      </c>
      <c r="J123" s="225"/>
    </row>
    <row r="124" spans="1:10" ht="18.75" x14ac:dyDescent="0.3">
      <c r="A124" s="230" t="s">
        <v>129</v>
      </c>
      <c r="B124" s="231" t="s">
        <v>307</v>
      </c>
      <c r="C124" s="228">
        <f>'NCLB Title I-A Formula'!G134</f>
        <v>0</v>
      </c>
      <c r="D124" s="228">
        <v>0</v>
      </c>
      <c r="E124" s="228">
        <v>0</v>
      </c>
      <c r="F124" s="228">
        <f>'NCLB Title II-A Formula'!G134</f>
        <v>0</v>
      </c>
      <c r="G124" s="228">
        <f>'NCLB Title III-A'!G134</f>
        <v>3828</v>
      </c>
      <c r="H124" s="228">
        <f>'NCLB Title III SAI'!G134</f>
        <v>1664</v>
      </c>
      <c r="I124" s="229">
        <f>'TITLE VI RURAL LI'!$E$133</f>
        <v>0</v>
      </c>
      <c r="J124" s="225"/>
    </row>
    <row r="125" spans="1:10" ht="18.75" x14ac:dyDescent="0.3">
      <c r="A125" s="230" t="s">
        <v>130</v>
      </c>
      <c r="B125" s="231" t="s">
        <v>308</v>
      </c>
      <c r="C125" s="228">
        <f>'NCLB Title I-A Formula'!G135</f>
        <v>0</v>
      </c>
      <c r="D125" s="228">
        <v>0</v>
      </c>
      <c r="E125" s="228">
        <v>0</v>
      </c>
      <c r="F125" s="228">
        <f>'NCLB Title II-A Formula'!G135</f>
        <v>0</v>
      </c>
      <c r="G125" s="228">
        <v>0</v>
      </c>
      <c r="H125" s="228">
        <v>0</v>
      </c>
      <c r="I125" s="229">
        <v>0</v>
      </c>
      <c r="J125" s="225"/>
    </row>
    <row r="126" spans="1:10" ht="18.75" x14ac:dyDescent="0.3">
      <c r="A126" s="230" t="s">
        <v>131</v>
      </c>
      <c r="B126" s="231" t="s">
        <v>309</v>
      </c>
      <c r="C126" s="228">
        <f>'NCLB Title I-A Formula'!G136</f>
        <v>0</v>
      </c>
      <c r="D126" s="228">
        <v>0</v>
      </c>
      <c r="E126" s="228">
        <v>0</v>
      </c>
      <c r="F126" s="228">
        <f>'NCLB Title II-A Formula'!G136</f>
        <v>0</v>
      </c>
      <c r="G126" s="228">
        <v>0</v>
      </c>
      <c r="H126" s="228">
        <v>0</v>
      </c>
      <c r="I126" s="229">
        <v>0</v>
      </c>
      <c r="J126" s="225"/>
    </row>
    <row r="127" spans="1:10" ht="18.75" x14ac:dyDescent="0.3">
      <c r="A127" s="230" t="s">
        <v>132</v>
      </c>
      <c r="B127" s="231" t="s">
        <v>310</v>
      </c>
      <c r="C127" s="228">
        <f>'NCLB Title I-A Formula'!G137</f>
        <v>0</v>
      </c>
      <c r="D127" s="228">
        <v>0</v>
      </c>
      <c r="E127" s="228">
        <v>0</v>
      </c>
      <c r="F127" s="228">
        <f>'NCLB Title II-A Formula'!G137</f>
        <v>0</v>
      </c>
      <c r="G127" s="228">
        <f>'NCLB Title III-A'!G137</f>
        <v>0</v>
      </c>
      <c r="H127" s="228">
        <v>0</v>
      </c>
      <c r="I127" s="229">
        <v>0</v>
      </c>
      <c r="J127" s="225"/>
    </row>
    <row r="128" spans="1:10" ht="18.75" x14ac:dyDescent="0.3">
      <c r="A128" s="230" t="s">
        <v>133</v>
      </c>
      <c r="B128" s="231" t="s">
        <v>311</v>
      </c>
      <c r="C128" s="228">
        <f>'NCLB Title I-A Formula'!G138</f>
        <v>0</v>
      </c>
      <c r="D128" s="228">
        <v>0</v>
      </c>
      <c r="E128" s="228">
        <v>0</v>
      </c>
      <c r="F128" s="228">
        <f>'NCLB Title II-A Formula'!G138</f>
        <v>0</v>
      </c>
      <c r="G128" s="228">
        <f>'NCLB Title III-A'!G138</f>
        <v>0</v>
      </c>
      <c r="H128" s="228">
        <v>0</v>
      </c>
      <c r="I128" s="229">
        <v>0</v>
      </c>
      <c r="J128" s="225"/>
    </row>
    <row r="129" spans="1:10" ht="18.75" x14ac:dyDescent="0.3">
      <c r="A129" s="230" t="s">
        <v>134</v>
      </c>
      <c r="B129" s="231" t="s">
        <v>312</v>
      </c>
      <c r="C129" s="228">
        <f>'NCLB Title I-A Formula'!G139</f>
        <v>0</v>
      </c>
      <c r="D129" s="228">
        <v>0</v>
      </c>
      <c r="E129" s="228">
        <v>0</v>
      </c>
      <c r="F129" s="228">
        <f>'NCLB Title II-A Formula'!G139</f>
        <v>0</v>
      </c>
      <c r="G129" s="228">
        <f>'NCLB Title III-A'!G139</f>
        <v>0</v>
      </c>
      <c r="H129" s="228">
        <v>0</v>
      </c>
      <c r="I129" s="229">
        <v>0</v>
      </c>
      <c r="J129" s="225"/>
    </row>
    <row r="130" spans="1:10" ht="18.75" x14ac:dyDescent="0.3">
      <c r="A130" s="230" t="s">
        <v>135</v>
      </c>
      <c r="B130" s="231" t="s">
        <v>313</v>
      </c>
      <c r="C130" s="228">
        <f>'NCLB Title I-A Formula'!G140</f>
        <v>0</v>
      </c>
      <c r="D130" s="228">
        <v>0</v>
      </c>
      <c r="E130" s="228">
        <v>0</v>
      </c>
      <c r="F130" s="228">
        <f>'NCLB Title II-A Formula'!G140</f>
        <v>0</v>
      </c>
      <c r="G130" s="228">
        <v>0</v>
      </c>
      <c r="H130" s="228">
        <f>'NCLB Title III SAI'!$G$140</f>
        <v>0</v>
      </c>
      <c r="I130" s="229">
        <v>0</v>
      </c>
      <c r="J130" s="225"/>
    </row>
    <row r="131" spans="1:10" ht="18.75" x14ac:dyDescent="0.3">
      <c r="A131" s="230" t="s">
        <v>136</v>
      </c>
      <c r="B131" s="231" t="s">
        <v>314</v>
      </c>
      <c r="C131" s="228">
        <f>'NCLB Title I-A Formula'!G141</f>
        <v>0</v>
      </c>
      <c r="D131" s="228">
        <v>0</v>
      </c>
      <c r="E131" s="228">
        <v>0</v>
      </c>
      <c r="F131" s="228">
        <f>'NCLB Title II-A Formula'!G141</f>
        <v>0</v>
      </c>
      <c r="G131" s="228">
        <f>'NCLB Title III-A'!G141</f>
        <v>0</v>
      </c>
      <c r="H131" s="228">
        <v>0</v>
      </c>
      <c r="I131" s="229">
        <v>0</v>
      </c>
      <c r="J131" s="225"/>
    </row>
    <row r="132" spans="1:10" ht="18.75" x14ac:dyDescent="0.3">
      <c r="A132" s="230" t="s">
        <v>137</v>
      </c>
      <c r="B132" s="231" t="s">
        <v>315</v>
      </c>
      <c r="C132" s="228">
        <f>'NCLB Title I-A Formula'!G142</f>
        <v>0</v>
      </c>
      <c r="D132" s="228">
        <v>0</v>
      </c>
      <c r="E132" s="228">
        <v>0</v>
      </c>
      <c r="F132" s="228">
        <f>'NCLB Title II-A Formula'!G142</f>
        <v>0</v>
      </c>
      <c r="G132" s="228">
        <f>'NCLB Title III-A'!G142</f>
        <v>0</v>
      </c>
      <c r="H132" s="228">
        <v>0</v>
      </c>
      <c r="I132" s="229">
        <v>0</v>
      </c>
      <c r="J132" s="225"/>
    </row>
    <row r="133" spans="1:10" ht="18.75" x14ac:dyDescent="0.3">
      <c r="A133" s="230" t="s">
        <v>138</v>
      </c>
      <c r="B133" s="231" t="s">
        <v>316</v>
      </c>
      <c r="C133" s="228">
        <f>'NCLB Title I-A Formula'!G143</f>
        <v>0</v>
      </c>
      <c r="D133" s="228">
        <v>0</v>
      </c>
      <c r="E133" s="228">
        <v>0</v>
      </c>
      <c r="F133" s="228">
        <f>'NCLB Title II-A Formula'!G143</f>
        <v>0</v>
      </c>
      <c r="G133" s="228">
        <f>'NCLB Title III-A'!G143</f>
        <v>0</v>
      </c>
      <c r="H133" s="228">
        <v>0</v>
      </c>
      <c r="I133" s="229">
        <v>0</v>
      </c>
      <c r="J133" s="225"/>
    </row>
    <row r="134" spans="1:10" ht="18.75" x14ac:dyDescent="0.3">
      <c r="A134" s="230" t="s">
        <v>139</v>
      </c>
      <c r="B134" s="231" t="s">
        <v>317</v>
      </c>
      <c r="C134" s="228">
        <f>'NCLB Title I-A Formula'!G144</f>
        <v>0</v>
      </c>
      <c r="D134" s="228">
        <v>0</v>
      </c>
      <c r="E134" s="228">
        <v>0</v>
      </c>
      <c r="F134" s="228">
        <f>'NCLB Title II-A Formula'!G144</f>
        <v>0</v>
      </c>
      <c r="G134" s="228">
        <f>'NCLB Title III-A'!G144</f>
        <v>0</v>
      </c>
      <c r="H134" s="228">
        <v>0</v>
      </c>
      <c r="I134" s="229">
        <v>0</v>
      </c>
      <c r="J134" s="225"/>
    </row>
    <row r="135" spans="1:10" ht="18.75" x14ac:dyDescent="0.3">
      <c r="A135" s="230" t="s">
        <v>140</v>
      </c>
      <c r="B135" s="231" t="s">
        <v>318</v>
      </c>
      <c r="C135" s="228">
        <f>'NCLB Title I-A Formula'!G145</f>
        <v>0</v>
      </c>
      <c r="D135" s="228">
        <v>0</v>
      </c>
      <c r="E135" s="228">
        <v>0</v>
      </c>
      <c r="F135" s="228">
        <f>'NCLB Title II-A Formula'!G145</f>
        <v>0</v>
      </c>
      <c r="G135" s="228">
        <f>'NCLB Title III-A'!G145</f>
        <v>0</v>
      </c>
      <c r="H135" s="228">
        <v>0</v>
      </c>
      <c r="I135" s="229">
        <v>0</v>
      </c>
      <c r="J135" s="225"/>
    </row>
    <row r="136" spans="1:10" ht="18.75" x14ac:dyDescent="0.3">
      <c r="A136" s="230" t="s">
        <v>141</v>
      </c>
      <c r="B136" s="231" t="s">
        <v>319</v>
      </c>
      <c r="C136" s="228">
        <f>'NCLB Title I-A Formula'!G146</f>
        <v>0</v>
      </c>
      <c r="D136" s="228">
        <v>0</v>
      </c>
      <c r="E136" s="228">
        <v>0</v>
      </c>
      <c r="F136" s="228">
        <f>'NCLB Title II-A Formula'!G146</f>
        <v>0</v>
      </c>
      <c r="G136" s="228">
        <v>0</v>
      </c>
      <c r="H136" s="228">
        <v>0</v>
      </c>
      <c r="I136" s="229">
        <v>0</v>
      </c>
      <c r="J136" s="225"/>
    </row>
    <row r="137" spans="1:10" ht="18.75" x14ac:dyDescent="0.3">
      <c r="A137" s="230" t="s">
        <v>142</v>
      </c>
      <c r="B137" s="231" t="s">
        <v>320</v>
      </c>
      <c r="C137" s="228">
        <f>'NCLB Title I-A Formula'!G147</f>
        <v>0</v>
      </c>
      <c r="D137" s="228">
        <v>0</v>
      </c>
      <c r="E137" s="228">
        <v>0</v>
      </c>
      <c r="F137" s="228">
        <f>'NCLB Title II-A Formula'!G147</f>
        <v>0</v>
      </c>
      <c r="G137" s="228">
        <v>0</v>
      </c>
      <c r="H137" s="228">
        <v>0</v>
      </c>
      <c r="I137" s="229">
        <f>'TITLE VI RURAL LI'!$E$146</f>
        <v>0</v>
      </c>
      <c r="J137" s="225"/>
    </row>
    <row r="138" spans="1:10" ht="18.75" x14ac:dyDescent="0.3">
      <c r="A138" s="230" t="s">
        <v>143</v>
      </c>
      <c r="B138" s="231" t="s">
        <v>321</v>
      </c>
      <c r="C138" s="228">
        <f>'NCLB Title I-A Formula'!G148</f>
        <v>0</v>
      </c>
      <c r="D138" s="228">
        <v>0</v>
      </c>
      <c r="E138" s="228">
        <v>0</v>
      </c>
      <c r="F138" s="228">
        <f>'NCLB Title II-A Formula'!G148</f>
        <v>14</v>
      </c>
      <c r="G138" s="228">
        <f>'NCLB Title III-A'!G148</f>
        <v>0</v>
      </c>
      <c r="H138" s="228">
        <v>0</v>
      </c>
      <c r="I138" s="229">
        <v>0</v>
      </c>
      <c r="J138" s="225"/>
    </row>
    <row r="139" spans="1:10" ht="18.75" x14ac:dyDescent="0.3">
      <c r="A139" s="230" t="s">
        <v>144</v>
      </c>
      <c r="B139" s="231" t="s">
        <v>322</v>
      </c>
      <c r="C139" s="228">
        <f>'NCLB Title I-A Formula'!G149</f>
        <v>0</v>
      </c>
      <c r="D139" s="228">
        <v>0</v>
      </c>
      <c r="E139" s="228">
        <v>0</v>
      </c>
      <c r="F139" s="228">
        <f>'NCLB Title II-A Formula'!G149</f>
        <v>0</v>
      </c>
      <c r="G139" s="228">
        <f>'NCLB Title III-A'!G149</f>
        <v>411</v>
      </c>
      <c r="H139" s="228">
        <v>0</v>
      </c>
      <c r="I139" s="229">
        <v>0</v>
      </c>
      <c r="J139" s="225"/>
    </row>
    <row r="140" spans="1:10" ht="18.75" x14ac:dyDescent="0.3">
      <c r="A140" s="230" t="s">
        <v>145</v>
      </c>
      <c r="B140" s="231" t="s">
        <v>323</v>
      </c>
      <c r="C140" s="228">
        <f>'NCLB Title I-A Formula'!G150</f>
        <v>0</v>
      </c>
      <c r="D140" s="228">
        <v>0</v>
      </c>
      <c r="E140" s="228">
        <f>'NCLB Title I-Delinquent'!E148</f>
        <v>0</v>
      </c>
      <c r="F140" s="228">
        <f>'NCLB Title II-A Formula'!G150</f>
        <v>0</v>
      </c>
      <c r="G140" s="228">
        <f>'NCLB Title III-A'!G150</f>
        <v>7775</v>
      </c>
      <c r="H140" s="228">
        <v>0</v>
      </c>
      <c r="I140" s="229">
        <v>0</v>
      </c>
      <c r="J140" s="225"/>
    </row>
    <row r="141" spans="1:10" ht="18.75" x14ac:dyDescent="0.3">
      <c r="A141" s="230" t="s">
        <v>146</v>
      </c>
      <c r="B141" s="231" t="s">
        <v>324</v>
      </c>
      <c r="C141" s="228">
        <f>'NCLB Title I-A Formula'!G151</f>
        <v>0</v>
      </c>
      <c r="D141" s="228">
        <v>0</v>
      </c>
      <c r="E141" s="228">
        <v>0</v>
      </c>
      <c r="F141" s="228">
        <f>'NCLB Title II-A Formula'!G151</f>
        <v>0</v>
      </c>
      <c r="G141" s="228">
        <f>'NCLB Title III-A'!G151</f>
        <v>0</v>
      </c>
      <c r="H141" s="228">
        <v>0</v>
      </c>
      <c r="I141" s="229">
        <v>0</v>
      </c>
      <c r="J141" s="225"/>
    </row>
    <row r="142" spans="1:10" ht="18.75" x14ac:dyDescent="0.3">
      <c r="A142" s="230" t="s">
        <v>147</v>
      </c>
      <c r="B142" s="231" t="s">
        <v>325</v>
      </c>
      <c r="C142" s="228">
        <f>'NCLB Title I-A Formula'!G152</f>
        <v>0</v>
      </c>
      <c r="D142" s="228">
        <v>0</v>
      </c>
      <c r="E142" s="228">
        <v>0</v>
      </c>
      <c r="F142" s="228">
        <f>'NCLB Title II-A Formula'!G152</f>
        <v>0</v>
      </c>
      <c r="G142" s="228">
        <f>'NCLB Title III-A'!G152</f>
        <v>0</v>
      </c>
      <c r="H142" s="228">
        <v>0</v>
      </c>
      <c r="I142" s="229">
        <v>0</v>
      </c>
      <c r="J142" s="225"/>
    </row>
    <row r="143" spans="1:10" ht="18.75" x14ac:dyDescent="0.3">
      <c r="A143" s="230" t="s">
        <v>148</v>
      </c>
      <c r="B143" s="231" t="s">
        <v>326</v>
      </c>
      <c r="C143" s="228">
        <f>'NCLB Title I-A Formula'!G153</f>
        <v>0</v>
      </c>
      <c r="D143" s="228">
        <v>0</v>
      </c>
      <c r="E143" s="228">
        <v>0</v>
      </c>
      <c r="F143" s="228">
        <f>'NCLB Title II-A Formula'!G153</f>
        <v>0</v>
      </c>
      <c r="G143" s="228">
        <f>'NCLB Title III-A'!G153</f>
        <v>0</v>
      </c>
      <c r="H143" s="228">
        <v>0</v>
      </c>
      <c r="I143" s="229">
        <v>0</v>
      </c>
      <c r="J143" s="225"/>
    </row>
    <row r="144" spans="1:10" ht="18.75" x14ac:dyDescent="0.3">
      <c r="A144" s="230" t="s">
        <v>149</v>
      </c>
      <c r="B144" s="231" t="s">
        <v>327</v>
      </c>
      <c r="C144" s="228">
        <f>'NCLB Title I-A Formula'!G154</f>
        <v>0</v>
      </c>
      <c r="D144" s="228">
        <v>0</v>
      </c>
      <c r="E144" s="228">
        <v>0</v>
      </c>
      <c r="F144" s="228">
        <f>'NCLB Title II-A Formula'!G154</f>
        <v>0</v>
      </c>
      <c r="G144" s="228">
        <v>0</v>
      </c>
      <c r="H144" s="228">
        <v>0</v>
      </c>
      <c r="I144" s="229">
        <v>0</v>
      </c>
      <c r="J144" s="225"/>
    </row>
    <row r="145" spans="1:10" ht="18.75" x14ac:dyDescent="0.3">
      <c r="A145" s="230" t="s">
        <v>150</v>
      </c>
      <c r="B145" s="231" t="s">
        <v>328</v>
      </c>
      <c r="C145" s="228">
        <f>'NCLB Title I-A Formula'!G155</f>
        <v>0</v>
      </c>
      <c r="D145" s="228">
        <v>0</v>
      </c>
      <c r="E145" s="228">
        <v>0</v>
      </c>
      <c r="F145" s="228">
        <f>'NCLB Title II-A Formula'!G155</f>
        <v>0</v>
      </c>
      <c r="G145" s="228">
        <f>'NCLB Title III-A'!G155</f>
        <v>4153</v>
      </c>
      <c r="H145" s="228">
        <v>0</v>
      </c>
      <c r="I145" s="229">
        <f>'TITLE VI RURAL LI'!$E$154</f>
        <v>0</v>
      </c>
      <c r="J145" s="225"/>
    </row>
    <row r="146" spans="1:10" ht="18.75" x14ac:dyDescent="0.3">
      <c r="A146" s="230" t="s">
        <v>151</v>
      </c>
      <c r="B146" s="231" t="s">
        <v>329</v>
      </c>
      <c r="C146" s="228">
        <f>'NCLB Title I-A Formula'!G156</f>
        <v>0</v>
      </c>
      <c r="D146" s="228">
        <v>0</v>
      </c>
      <c r="E146" s="228">
        <v>0</v>
      </c>
      <c r="F146" s="228">
        <f>'NCLB Title II-A Formula'!G156</f>
        <v>0</v>
      </c>
      <c r="G146" s="228">
        <f>'NCLB Title III-A'!G156</f>
        <v>0</v>
      </c>
      <c r="H146" s="228">
        <f>'NCLB Title III SAI'!$G$156</f>
        <v>0</v>
      </c>
      <c r="I146" s="229">
        <v>0</v>
      </c>
      <c r="J146" s="225"/>
    </row>
    <row r="147" spans="1:10" ht="18.75" x14ac:dyDescent="0.3">
      <c r="A147" s="230" t="s">
        <v>152</v>
      </c>
      <c r="B147" s="231" t="s">
        <v>330</v>
      </c>
      <c r="C147" s="228">
        <f>'NCLB Title I-A Formula'!G157</f>
        <v>0</v>
      </c>
      <c r="D147" s="228">
        <v>0</v>
      </c>
      <c r="E147" s="228">
        <v>0</v>
      </c>
      <c r="F147" s="228">
        <f>'NCLB Title II-A Formula'!G157</f>
        <v>0</v>
      </c>
      <c r="G147" s="228">
        <f>'NCLB Title III-A'!G157</f>
        <v>0</v>
      </c>
      <c r="H147" s="228">
        <v>0</v>
      </c>
      <c r="I147" s="229">
        <v>0</v>
      </c>
      <c r="J147" s="225"/>
    </row>
    <row r="148" spans="1:10" ht="18.75" x14ac:dyDescent="0.3">
      <c r="A148" s="230" t="s">
        <v>153</v>
      </c>
      <c r="B148" s="231" t="s">
        <v>331</v>
      </c>
      <c r="C148" s="228">
        <f>'NCLB Title I-A Formula'!G158</f>
        <v>0</v>
      </c>
      <c r="D148" s="228">
        <v>0</v>
      </c>
      <c r="E148" s="228">
        <v>0</v>
      </c>
      <c r="F148" s="228">
        <f>'NCLB Title II-A Formula'!G158</f>
        <v>0</v>
      </c>
      <c r="G148" s="228">
        <f>'NCLB Title III-A'!G158</f>
        <v>0</v>
      </c>
      <c r="H148" s="228">
        <f>'NCLB Title III SAI'!$G$158</f>
        <v>0</v>
      </c>
      <c r="I148" s="229">
        <v>0</v>
      </c>
      <c r="J148" s="225"/>
    </row>
    <row r="149" spans="1:10" ht="18.75" x14ac:dyDescent="0.3">
      <c r="A149" s="230" t="s">
        <v>154</v>
      </c>
      <c r="B149" s="231" t="s">
        <v>332</v>
      </c>
      <c r="C149" s="228">
        <f>'NCLB Title I-A Formula'!G159</f>
        <v>0</v>
      </c>
      <c r="D149" s="228">
        <v>0</v>
      </c>
      <c r="E149" s="228">
        <v>0</v>
      </c>
      <c r="F149" s="228">
        <f>'NCLB Title II-A Formula'!G159</f>
        <v>0</v>
      </c>
      <c r="G149" s="228">
        <v>0</v>
      </c>
      <c r="H149" s="228">
        <v>0</v>
      </c>
      <c r="I149" s="229">
        <v>0</v>
      </c>
      <c r="J149" s="225"/>
    </row>
    <row r="150" spans="1:10" ht="18.75" x14ac:dyDescent="0.3">
      <c r="A150" s="230" t="s">
        <v>155</v>
      </c>
      <c r="B150" s="231" t="s">
        <v>333</v>
      </c>
      <c r="C150" s="228">
        <f>'NCLB Title I-A Formula'!G160</f>
        <v>0</v>
      </c>
      <c r="D150" s="228">
        <v>0</v>
      </c>
      <c r="E150" s="228">
        <v>0</v>
      </c>
      <c r="F150" s="228">
        <f>'NCLB Title II-A Formula'!G160</f>
        <v>0</v>
      </c>
      <c r="G150" s="228">
        <f>'NCLB Title III-A'!G160</f>
        <v>0</v>
      </c>
      <c r="H150" s="228">
        <v>0</v>
      </c>
      <c r="I150" s="229">
        <v>0</v>
      </c>
      <c r="J150" s="225"/>
    </row>
    <row r="151" spans="1:10" ht="18.75" x14ac:dyDescent="0.3">
      <c r="A151" s="230" t="s">
        <v>156</v>
      </c>
      <c r="B151" s="231" t="s">
        <v>334</v>
      </c>
      <c r="C151" s="228">
        <f>'NCLB Title I-A Formula'!G161</f>
        <v>0</v>
      </c>
      <c r="D151" s="228">
        <v>0</v>
      </c>
      <c r="E151" s="228">
        <v>0</v>
      </c>
      <c r="F151" s="228">
        <f>'NCLB Title II-A Formula'!G161</f>
        <v>0</v>
      </c>
      <c r="G151" s="228">
        <v>0</v>
      </c>
      <c r="H151" s="228">
        <v>0</v>
      </c>
      <c r="I151" s="229">
        <v>0</v>
      </c>
      <c r="J151" s="225"/>
    </row>
    <row r="152" spans="1:10" ht="18.75" x14ac:dyDescent="0.3">
      <c r="A152" s="230" t="s">
        <v>157</v>
      </c>
      <c r="B152" s="231" t="s">
        <v>335</v>
      </c>
      <c r="C152" s="228">
        <f>'NCLB Title I-A Formula'!G162</f>
        <v>0</v>
      </c>
      <c r="D152" s="228">
        <v>0</v>
      </c>
      <c r="E152" s="228">
        <v>0</v>
      </c>
      <c r="F152" s="228">
        <f>'NCLB Title II-A Formula'!G162</f>
        <v>0</v>
      </c>
      <c r="G152" s="228">
        <f>'NCLB Title III-A'!G162</f>
        <v>0</v>
      </c>
      <c r="H152" s="228">
        <f>'NCLB Title III SAI'!G162</f>
        <v>0</v>
      </c>
      <c r="I152" s="229">
        <v>0</v>
      </c>
      <c r="J152" s="225"/>
    </row>
    <row r="153" spans="1:10" ht="18.75" x14ac:dyDescent="0.3">
      <c r="A153" s="230" t="s">
        <v>158</v>
      </c>
      <c r="B153" s="231" t="s">
        <v>336</v>
      </c>
      <c r="C153" s="228">
        <f>'NCLB Title I-A Formula'!G163</f>
        <v>0</v>
      </c>
      <c r="D153" s="228">
        <v>0</v>
      </c>
      <c r="E153" s="228">
        <v>0</v>
      </c>
      <c r="F153" s="228">
        <f>'NCLB Title II-A Formula'!G163</f>
        <v>0</v>
      </c>
      <c r="G153" s="228">
        <f>'NCLB Title III-A'!G163</f>
        <v>0</v>
      </c>
      <c r="H153" s="228">
        <f>'NCLB Title III SAI'!$G$163</f>
        <v>58</v>
      </c>
      <c r="I153" s="229">
        <v>0</v>
      </c>
      <c r="J153" s="225"/>
    </row>
    <row r="154" spans="1:10" ht="18.75" x14ac:dyDescent="0.3">
      <c r="A154" s="230" t="s">
        <v>159</v>
      </c>
      <c r="B154" s="231" t="s">
        <v>337</v>
      </c>
      <c r="C154" s="228">
        <f>'NCLB Title I-A Formula'!G164</f>
        <v>0</v>
      </c>
      <c r="D154" s="228">
        <v>0</v>
      </c>
      <c r="E154" s="228">
        <v>0</v>
      </c>
      <c r="F154" s="228">
        <f>'NCLB Title II-A Formula'!G164</f>
        <v>0</v>
      </c>
      <c r="G154" s="228">
        <f>'NCLB Title III-A'!G164</f>
        <v>0</v>
      </c>
      <c r="H154" s="228">
        <v>0</v>
      </c>
      <c r="I154" s="229">
        <v>0</v>
      </c>
      <c r="J154" s="225"/>
    </row>
    <row r="155" spans="1:10" ht="18.75" x14ac:dyDescent="0.3">
      <c r="A155" s="230" t="s">
        <v>160</v>
      </c>
      <c r="B155" s="231" t="s">
        <v>338</v>
      </c>
      <c r="C155" s="228">
        <f>'NCLB Title I-A Formula'!G165</f>
        <v>0</v>
      </c>
      <c r="D155" s="228">
        <v>0</v>
      </c>
      <c r="E155" s="228">
        <v>0</v>
      </c>
      <c r="F155" s="228">
        <f>'NCLB Title II-A Formula'!G165</f>
        <v>0</v>
      </c>
      <c r="G155" s="228">
        <f>'NCLB Title III-A'!G165</f>
        <v>0</v>
      </c>
      <c r="H155" s="228">
        <v>0</v>
      </c>
      <c r="I155" s="229">
        <v>0</v>
      </c>
      <c r="J155" s="225"/>
    </row>
    <row r="156" spans="1:10" ht="18.75" x14ac:dyDescent="0.3">
      <c r="A156" s="230" t="s">
        <v>161</v>
      </c>
      <c r="B156" s="231" t="s">
        <v>339</v>
      </c>
      <c r="C156" s="228">
        <f>'NCLB Title I-A Formula'!G166</f>
        <v>0</v>
      </c>
      <c r="D156" s="228">
        <v>0</v>
      </c>
      <c r="E156" s="228">
        <v>0</v>
      </c>
      <c r="F156" s="228">
        <f>'NCLB Title II-A Formula'!G166</f>
        <v>0</v>
      </c>
      <c r="G156" s="228">
        <f>'NCLB Title III-A'!G166</f>
        <v>0</v>
      </c>
      <c r="H156" s="228">
        <v>0</v>
      </c>
      <c r="I156" s="229">
        <v>0</v>
      </c>
      <c r="J156" s="225"/>
    </row>
    <row r="157" spans="1:10" ht="18.75" x14ac:dyDescent="0.3">
      <c r="A157" s="230" t="s">
        <v>162</v>
      </c>
      <c r="B157" s="231" t="s">
        <v>340</v>
      </c>
      <c r="C157" s="228">
        <f>'NCLB Title I-A Formula'!G167</f>
        <v>0</v>
      </c>
      <c r="D157" s="228">
        <v>0</v>
      </c>
      <c r="E157" s="228">
        <v>0</v>
      </c>
      <c r="F157" s="228">
        <f>'NCLB Title II-A Formula'!G167</f>
        <v>0</v>
      </c>
      <c r="G157" s="228">
        <f>'NCLB Title III-A'!G167</f>
        <v>0</v>
      </c>
      <c r="H157" s="228">
        <v>0</v>
      </c>
      <c r="I157" s="229">
        <v>0</v>
      </c>
      <c r="J157" s="225"/>
    </row>
    <row r="158" spans="1:10" ht="18.75" x14ac:dyDescent="0.3">
      <c r="A158" s="230" t="s">
        <v>163</v>
      </c>
      <c r="B158" s="231" t="s">
        <v>341</v>
      </c>
      <c r="C158" s="228">
        <f>'NCLB Title I-A Formula'!G168</f>
        <v>0</v>
      </c>
      <c r="D158" s="228">
        <v>0</v>
      </c>
      <c r="E158" s="228">
        <v>0</v>
      </c>
      <c r="F158" s="228">
        <f>'NCLB Title II-A Formula'!G168</f>
        <v>0</v>
      </c>
      <c r="G158" s="228">
        <f>'NCLB Title III-A'!G168</f>
        <v>0</v>
      </c>
      <c r="H158" s="228">
        <v>0</v>
      </c>
      <c r="I158" s="229">
        <v>0</v>
      </c>
      <c r="J158" s="225"/>
    </row>
    <row r="159" spans="1:10" ht="18.75" x14ac:dyDescent="0.3">
      <c r="A159" s="230" t="s">
        <v>164</v>
      </c>
      <c r="B159" s="231" t="s">
        <v>342</v>
      </c>
      <c r="C159" s="228">
        <f>'NCLB Title I-A Formula'!G169</f>
        <v>0</v>
      </c>
      <c r="D159" s="228">
        <v>0</v>
      </c>
      <c r="E159" s="228">
        <v>0</v>
      </c>
      <c r="F159" s="228">
        <f>'NCLB Title II-A Formula'!G169</f>
        <v>0</v>
      </c>
      <c r="G159" s="228">
        <f>'NCLB Title III-A'!G169</f>
        <v>0</v>
      </c>
      <c r="H159" s="228">
        <v>0</v>
      </c>
      <c r="I159" s="229">
        <v>0</v>
      </c>
      <c r="J159" s="225"/>
    </row>
    <row r="160" spans="1:10" ht="18.75" x14ac:dyDescent="0.3">
      <c r="A160" s="230" t="s">
        <v>165</v>
      </c>
      <c r="B160" s="231" t="s">
        <v>343</v>
      </c>
      <c r="C160" s="228">
        <f>'NCLB Title I-A Formula'!G170</f>
        <v>0</v>
      </c>
      <c r="D160" s="228">
        <v>0</v>
      </c>
      <c r="E160" s="228">
        <v>0</v>
      </c>
      <c r="F160" s="228">
        <f>'NCLB Title II-A Formula'!G170</f>
        <v>0</v>
      </c>
      <c r="G160" s="228">
        <f>'NCLB Title III-A'!G170</f>
        <v>0</v>
      </c>
      <c r="H160" s="228">
        <v>0</v>
      </c>
      <c r="I160" s="229">
        <v>0</v>
      </c>
      <c r="J160" s="225"/>
    </row>
    <row r="161" spans="1:10" ht="18.75" x14ac:dyDescent="0.3">
      <c r="A161" s="230" t="s">
        <v>166</v>
      </c>
      <c r="B161" s="231" t="s">
        <v>344</v>
      </c>
      <c r="C161" s="228">
        <f>'NCLB Title I-A Formula'!G171</f>
        <v>0</v>
      </c>
      <c r="D161" s="228">
        <v>0</v>
      </c>
      <c r="E161" s="228">
        <v>0</v>
      </c>
      <c r="F161" s="228">
        <f>'NCLB Title II-A Formula'!G171</f>
        <v>0</v>
      </c>
      <c r="G161" s="228">
        <v>0</v>
      </c>
      <c r="H161" s="228">
        <v>0</v>
      </c>
      <c r="I161" s="229">
        <v>0</v>
      </c>
      <c r="J161" s="225"/>
    </row>
    <row r="162" spans="1:10" ht="18.75" x14ac:dyDescent="0.3">
      <c r="A162" s="230" t="s">
        <v>167</v>
      </c>
      <c r="B162" s="231" t="s">
        <v>345</v>
      </c>
      <c r="C162" s="228">
        <f>'NCLB Title I-A Formula'!G172</f>
        <v>0</v>
      </c>
      <c r="D162" s="228">
        <v>0</v>
      </c>
      <c r="E162" s="228">
        <v>0</v>
      </c>
      <c r="F162" s="228">
        <f>'NCLB Title II-A Formula'!G172</f>
        <v>0</v>
      </c>
      <c r="G162" s="228">
        <f>'NCLB Title III-A'!G172</f>
        <v>0</v>
      </c>
      <c r="H162" s="228">
        <v>0</v>
      </c>
      <c r="I162" s="229">
        <v>0</v>
      </c>
      <c r="J162" s="225"/>
    </row>
    <row r="163" spans="1:10" ht="18.75" x14ac:dyDescent="0.3">
      <c r="A163" s="230" t="s">
        <v>168</v>
      </c>
      <c r="B163" s="231" t="s">
        <v>346</v>
      </c>
      <c r="C163" s="228">
        <f>'NCLB Title I-A Formula'!G173</f>
        <v>0</v>
      </c>
      <c r="D163" s="228">
        <v>0</v>
      </c>
      <c r="E163" s="228">
        <v>0</v>
      </c>
      <c r="F163" s="228">
        <f>'NCLB Title II-A Formula'!G173</f>
        <v>0</v>
      </c>
      <c r="G163" s="228">
        <f>'NCLB Title III-A'!G173</f>
        <v>0</v>
      </c>
      <c r="H163" s="228">
        <v>0</v>
      </c>
      <c r="I163" s="229">
        <v>0</v>
      </c>
      <c r="J163" s="225"/>
    </row>
    <row r="164" spans="1:10" ht="18.75" x14ac:dyDescent="0.3">
      <c r="A164" s="230" t="s">
        <v>169</v>
      </c>
      <c r="B164" s="231" t="s">
        <v>347</v>
      </c>
      <c r="C164" s="228">
        <f>'NCLB Title I-A Formula'!G174</f>
        <v>0</v>
      </c>
      <c r="D164" s="228">
        <v>0</v>
      </c>
      <c r="E164" s="228">
        <v>0</v>
      </c>
      <c r="F164" s="228">
        <f>'NCLB Title II-A Formula'!G174</f>
        <v>0</v>
      </c>
      <c r="G164" s="228">
        <f>'NCLB Title III-A'!G174</f>
        <v>0</v>
      </c>
      <c r="H164" s="228">
        <v>0</v>
      </c>
      <c r="I164" s="229">
        <v>0</v>
      </c>
      <c r="J164" s="225"/>
    </row>
    <row r="165" spans="1:10" ht="18.75" x14ac:dyDescent="0.3">
      <c r="A165" s="230" t="s">
        <v>170</v>
      </c>
      <c r="B165" s="231" t="s">
        <v>348</v>
      </c>
      <c r="C165" s="228">
        <f>'NCLB Title I-A Formula'!G175</f>
        <v>0</v>
      </c>
      <c r="D165" s="228">
        <v>0</v>
      </c>
      <c r="E165" s="228">
        <v>0</v>
      </c>
      <c r="F165" s="228">
        <f>'NCLB Title II-A Formula'!G175</f>
        <v>0</v>
      </c>
      <c r="G165" s="228">
        <f>'NCLB Title III-A'!G175</f>
        <v>0</v>
      </c>
      <c r="H165" s="228">
        <v>0</v>
      </c>
      <c r="I165" s="229">
        <v>0</v>
      </c>
      <c r="J165" s="225"/>
    </row>
    <row r="166" spans="1:10" ht="18.75" x14ac:dyDescent="0.3">
      <c r="A166" s="230" t="s">
        <v>171</v>
      </c>
      <c r="B166" s="231" t="s">
        <v>349</v>
      </c>
      <c r="C166" s="228">
        <f>'NCLB Title I-A Formula'!G176</f>
        <v>0</v>
      </c>
      <c r="D166" s="228">
        <v>0</v>
      </c>
      <c r="E166" s="228">
        <v>0</v>
      </c>
      <c r="F166" s="228">
        <f>'NCLB Title II-A Formula'!G176</f>
        <v>0</v>
      </c>
      <c r="G166" s="228">
        <f>'NCLB Title III-A'!G176</f>
        <v>0</v>
      </c>
      <c r="H166" s="228">
        <v>0</v>
      </c>
      <c r="I166" s="229">
        <v>0</v>
      </c>
      <c r="J166" s="225"/>
    </row>
    <row r="167" spans="1:10" ht="18.75" x14ac:dyDescent="0.3">
      <c r="A167" s="230" t="s">
        <v>172</v>
      </c>
      <c r="B167" s="231" t="s">
        <v>350</v>
      </c>
      <c r="C167" s="228">
        <f>'NCLB Title I-A Formula'!G177</f>
        <v>0</v>
      </c>
      <c r="D167" s="228">
        <v>0</v>
      </c>
      <c r="E167" s="228">
        <v>0</v>
      </c>
      <c r="F167" s="228">
        <f>'NCLB Title II-A Formula'!G177</f>
        <v>0</v>
      </c>
      <c r="G167" s="228">
        <v>0</v>
      </c>
      <c r="H167" s="228">
        <v>0</v>
      </c>
      <c r="I167" s="229">
        <v>0</v>
      </c>
      <c r="J167" s="225"/>
    </row>
    <row r="168" spans="1:10" ht="18.75" x14ac:dyDescent="0.3">
      <c r="A168" s="230" t="s">
        <v>173</v>
      </c>
      <c r="B168" s="231" t="s">
        <v>351</v>
      </c>
      <c r="C168" s="228">
        <f>'NCLB Title I-A Formula'!G178</f>
        <v>0</v>
      </c>
      <c r="D168" s="228">
        <v>0</v>
      </c>
      <c r="E168" s="228">
        <v>0</v>
      </c>
      <c r="F168" s="228">
        <f>'NCLB Title II-A Formula'!G178</f>
        <v>0</v>
      </c>
      <c r="G168" s="228">
        <f>'NCLB Title III-A'!G178</f>
        <v>0</v>
      </c>
      <c r="H168" s="228">
        <v>0</v>
      </c>
      <c r="I168" s="229">
        <v>0</v>
      </c>
      <c r="J168" s="225"/>
    </row>
    <row r="169" spans="1:10" ht="18.75" x14ac:dyDescent="0.3">
      <c r="A169" s="230" t="s">
        <v>174</v>
      </c>
      <c r="B169" s="231" t="s">
        <v>352</v>
      </c>
      <c r="C169" s="228">
        <f>'NCLB Title I-A Formula'!G179</f>
        <v>0</v>
      </c>
      <c r="D169" s="228">
        <v>0</v>
      </c>
      <c r="E169" s="228">
        <v>0</v>
      </c>
      <c r="F169" s="228">
        <f>'NCLB Title II-A Formula'!G179</f>
        <v>0</v>
      </c>
      <c r="G169" s="228">
        <f>'NCLB Title III-A'!G179</f>
        <v>0</v>
      </c>
      <c r="H169" s="228">
        <v>0</v>
      </c>
      <c r="I169" s="229">
        <v>0</v>
      </c>
      <c r="J169" s="225"/>
    </row>
    <row r="170" spans="1:10" ht="18.75" x14ac:dyDescent="0.3">
      <c r="A170" s="230" t="s">
        <v>175</v>
      </c>
      <c r="B170" s="231" t="s">
        <v>353</v>
      </c>
      <c r="C170" s="228">
        <f>'NCLB Title I-A Formula'!G180</f>
        <v>0</v>
      </c>
      <c r="D170" s="228">
        <v>0</v>
      </c>
      <c r="E170" s="228">
        <v>0</v>
      </c>
      <c r="F170" s="228">
        <f>'NCLB Title II-A Formula'!G180</f>
        <v>0</v>
      </c>
      <c r="G170" s="228">
        <f>'NCLB Title III-A'!G180</f>
        <v>0</v>
      </c>
      <c r="H170" s="228">
        <v>0</v>
      </c>
      <c r="I170" s="229">
        <v>0</v>
      </c>
      <c r="J170" s="225"/>
    </row>
    <row r="171" spans="1:10" ht="18.75" x14ac:dyDescent="0.3">
      <c r="A171" s="230" t="s">
        <v>176</v>
      </c>
      <c r="B171" s="231" t="s">
        <v>354</v>
      </c>
      <c r="C171" s="228">
        <f>'NCLB Title I-A Formula'!G181</f>
        <v>0</v>
      </c>
      <c r="D171" s="228">
        <v>0</v>
      </c>
      <c r="E171" s="228">
        <f>'NCLB Title I-Delinquent'!E179</f>
        <v>5256</v>
      </c>
      <c r="F171" s="228">
        <f>'NCLB Title II-A Formula'!G181</f>
        <v>0</v>
      </c>
      <c r="G171" s="228">
        <f>'NCLB Title III-A'!G181</f>
        <v>0</v>
      </c>
      <c r="H171" s="228">
        <v>0</v>
      </c>
      <c r="I171" s="229">
        <v>0</v>
      </c>
      <c r="J171" s="225"/>
    </row>
    <row r="172" spans="1:10" ht="18.75" x14ac:dyDescent="0.3">
      <c r="A172" s="230" t="s">
        <v>177</v>
      </c>
      <c r="B172" s="231" t="s">
        <v>355</v>
      </c>
      <c r="C172" s="228">
        <f>'NCLB Title I-A Formula'!G182</f>
        <v>0</v>
      </c>
      <c r="D172" s="228">
        <v>0</v>
      </c>
      <c r="E172" s="228">
        <v>0</v>
      </c>
      <c r="F172" s="228">
        <f>'NCLB Title II-A Formula'!G182</f>
        <v>0</v>
      </c>
      <c r="G172" s="228">
        <f>'NCLB Title III-A'!G182</f>
        <v>0</v>
      </c>
      <c r="H172" s="228">
        <v>0</v>
      </c>
      <c r="I172" s="229">
        <v>0</v>
      </c>
      <c r="J172" s="225"/>
    </row>
    <row r="173" spans="1:10" ht="18.75" x14ac:dyDescent="0.3">
      <c r="A173" s="230" t="s">
        <v>178</v>
      </c>
      <c r="B173" s="231" t="s">
        <v>356</v>
      </c>
      <c r="C173" s="228">
        <f>'NCLB Title I-A Formula'!G183</f>
        <v>0</v>
      </c>
      <c r="D173" s="228">
        <v>0</v>
      </c>
      <c r="E173" s="228">
        <v>0</v>
      </c>
      <c r="F173" s="228">
        <f>'NCLB Title II-A Formula'!G183</f>
        <v>0</v>
      </c>
      <c r="G173" s="228">
        <f>'NCLB Title III-A'!G183</f>
        <v>0</v>
      </c>
      <c r="H173" s="228">
        <f>'NCLB Title III SAI'!$G$183</f>
        <v>0</v>
      </c>
      <c r="I173" s="229">
        <v>0</v>
      </c>
      <c r="J173" s="225"/>
    </row>
    <row r="174" spans="1:10" ht="18.75" x14ac:dyDescent="0.3">
      <c r="A174" s="230" t="s">
        <v>179</v>
      </c>
      <c r="B174" s="231" t="s">
        <v>357</v>
      </c>
      <c r="C174" s="228">
        <f>'NCLB Title I-A Formula'!G184</f>
        <v>0</v>
      </c>
      <c r="D174" s="228">
        <v>0</v>
      </c>
      <c r="E174" s="228">
        <v>0</v>
      </c>
      <c r="F174" s="228">
        <f>'NCLB Title II-A Formula'!G184</f>
        <v>0</v>
      </c>
      <c r="G174" s="228">
        <f>'NCLB Title III-A'!G184</f>
        <v>0</v>
      </c>
      <c r="H174" s="228">
        <f>'NCLB Title III SAI'!G184</f>
        <v>0</v>
      </c>
      <c r="I174" s="229">
        <v>0</v>
      </c>
      <c r="J174" s="225"/>
    </row>
    <row r="175" spans="1:10" ht="18.75" x14ac:dyDescent="0.3">
      <c r="A175" s="230" t="s">
        <v>180</v>
      </c>
      <c r="B175" s="231" t="s">
        <v>358</v>
      </c>
      <c r="C175" s="228">
        <f>'NCLB Title I-A Formula'!G185</f>
        <v>0</v>
      </c>
      <c r="D175" s="228">
        <v>0</v>
      </c>
      <c r="E175" s="228">
        <v>0</v>
      </c>
      <c r="F175" s="228">
        <f>'NCLB Title II-A Formula'!G185</f>
        <v>0</v>
      </c>
      <c r="G175" s="228">
        <f>'NCLB Title III-A'!G185</f>
        <v>0</v>
      </c>
      <c r="H175" s="228">
        <v>0</v>
      </c>
      <c r="I175" s="229">
        <v>0</v>
      </c>
      <c r="J175" s="225"/>
    </row>
    <row r="176" spans="1:10" ht="18.75" x14ac:dyDescent="0.3">
      <c r="A176" s="230" t="s">
        <v>181</v>
      </c>
      <c r="B176" s="231" t="s">
        <v>359</v>
      </c>
      <c r="C176" s="228">
        <f>'NCLB Title I-A Formula'!G186</f>
        <v>0</v>
      </c>
      <c r="D176" s="228">
        <v>0</v>
      </c>
      <c r="E176" s="228">
        <v>0</v>
      </c>
      <c r="F176" s="228">
        <f>'NCLB Title II-A Formula'!G186</f>
        <v>0</v>
      </c>
      <c r="G176" s="228">
        <f>'NCLB Title III-A'!G186</f>
        <v>0</v>
      </c>
      <c r="H176" s="228">
        <v>0</v>
      </c>
      <c r="I176" s="229">
        <v>0</v>
      </c>
      <c r="J176" s="225"/>
    </row>
    <row r="177" spans="1:10" ht="18.75" x14ac:dyDescent="0.3">
      <c r="A177" s="230" t="s">
        <v>182</v>
      </c>
      <c r="B177" s="231" t="s">
        <v>360</v>
      </c>
      <c r="C177" s="228">
        <f>'NCLB Title I-A Formula'!G187</f>
        <v>0</v>
      </c>
      <c r="D177" s="228">
        <v>0</v>
      </c>
      <c r="E177" s="228">
        <v>0</v>
      </c>
      <c r="F177" s="228">
        <f>'NCLB Title II-A Formula'!G187</f>
        <v>0</v>
      </c>
      <c r="G177" s="228">
        <f>'NCLB Title III-A'!G187</f>
        <v>0</v>
      </c>
      <c r="H177" s="228">
        <v>0</v>
      </c>
      <c r="I177" s="229">
        <v>0</v>
      </c>
      <c r="J177" s="225"/>
    </row>
    <row r="178" spans="1:10" ht="18.75" x14ac:dyDescent="0.3">
      <c r="A178" s="230" t="s">
        <v>183</v>
      </c>
      <c r="B178" s="231" t="s">
        <v>361</v>
      </c>
      <c r="C178" s="228">
        <f>'NCLB Title I-A Formula'!G188</f>
        <v>0</v>
      </c>
      <c r="D178" s="228">
        <v>0</v>
      </c>
      <c r="E178" s="228">
        <v>0</v>
      </c>
      <c r="F178" s="228">
        <f>'NCLB Title II-A Formula'!G188</f>
        <v>0</v>
      </c>
      <c r="G178" s="228">
        <f>'NCLB Title III-A'!G188</f>
        <v>0</v>
      </c>
      <c r="H178" s="228">
        <f>'NCLB Title III SAI'!$G$188</f>
        <v>0</v>
      </c>
      <c r="I178" s="229">
        <v>0</v>
      </c>
      <c r="J178" s="225"/>
    </row>
    <row r="179" spans="1:10" ht="18.75" x14ac:dyDescent="0.3">
      <c r="A179" s="230" t="s">
        <v>184</v>
      </c>
      <c r="B179" s="231" t="s">
        <v>362</v>
      </c>
      <c r="C179" s="228">
        <f>'NCLB Title I-A Formula'!G189</f>
        <v>0</v>
      </c>
      <c r="D179" s="228">
        <v>0</v>
      </c>
      <c r="E179" s="228">
        <v>0</v>
      </c>
      <c r="F179" s="228">
        <f>'NCLB Title II-A Formula'!G189</f>
        <v>0</v>
      </c>
      <c r="G179" s="228">
        <f>'NCLB Title III-A'!G189</f>
        <v>0</v>
      </c>
      <c r="H179" s="228">
        <v>0</v>
      </c>
      <c r="I179" s="229">
        <v>0</v>
      </c>
      <c r="J179" s="225"/>
    </row>
    <row r="180" spans="1:10" ht="18.75" x14ac:dyDescent="0.3">
      <c r="A180" s="230" t="s">
        <v>185</v>
      </c>
      <c r="B180" s="231" t="s">
        <v>363</v>
      </c>
      <c r="C180" s="228">
        <f>'NCLB Title I-A Formula'!G190</f>
        <v>0</v>
      </c>
      <c r="D180" s="228">
        <v>0</v>
      </c>
      <c r="E180" s="228">
        <v>0</v>
      </c>
      <c r="F180" s="228">
        <f>'NCLB Title II-A Formula'!G190</f>
        <v>0</v>
      </c>
      <c r="G180" s="228">
        <f>'NCLB Title III-A'!G190</f>
        <v>0</v>
      </c>
      <c r="H180" s="228">
        <v>0</v>
      </c>
      <c r="I180" s="229">
        <v>0</v>
      </c>
      <c r="J180" s="225"/>
    </row>
    <row r="181" spans="1:10" ht="18.75" x14ac:dyDescent="0.3">
      <c r="A181" s="230" t="s">
        <v>186</v>
      </c>
      <c r="B181" s="231" t="s">
        <v>364</v>
      </c>
      <c r="C181" s="228">
        <f>'NCLB Title I-A Formula'!G191</f>
        <v>0</v>
      </c>
      <c r="D181" s="228">
        <v>0</v>
      </c>
      <c r="E181" s="228">
        <v>0</v>
      </c>
      <c r="F181" s="228">
        <f>'NCLB Title II-A Formula'!G191</f>
        <v>0</v>
      </c>
      <c r="G181" s="228">
        <f>'NCLB Title III-A'!G191</f>
        <v>0</v>
      </c>
      <c r="H181" s="228">
        <v>0</v>
      </c>
      <c r="I181" s="229">
        <v>0</v>
      </c>
      <c r="J181" s="225"/>
    </row>
    <row r="182" spans="1:10" ht="18.75" x14ac:dyDescent="0.3">
      <c r="A182" s="232">
        <v>8001</v>
      </c>
      <c r="B182" s="231" t="s">
        <v>366</v>
      </c>
      <c r="C182" s="228">
        <f>'NCLB Title I-A Formula'!G192</f>
        <v>0</v>
      </c>
      <c r="D182" s="228">
        <v>0</v>
      </c>
      <c r="E182" s="228">
        <v>0</v>
      </c>
      <c r="F182" s="228">
        <f>'NCLB Title II-A Formula'!G192</f>
        <v>0</v>
      </c>
      <c r="G182" s="228">
        <f>'NCLB Title III-A'!G192</f>
        <v>0</v>
      </c>
      <c r="H182" s="228">
        <v>0</v>
      </c>
      <c r="I182" s="229">
        <v>0</v>
      </c>
      <c r="J182" s="225"/>
    </row>
    <row r="183" spans="1:10" ht="18.75" x14ac:dyDescent="0.3">
      <c r="A183" s="230" t="s">
        <v>368</v>
      </c>
      <c r="B183" s="231" t="s">
        <v>367</v>
      </c>
      <c r="C183" s="228">
        <f>'NCLB Title I-A Formula'!G193</f>
        <v>0</v>
      </c>
      <c r="D183" s="228">
        <v>0</v>
      </c>
      <c r="E183" s="228">
        <v>0</v>
      </c>
      <c r="F183" s="228">
        <f>'NCLB Title II-A Formula'!G193</f>
        <v>0</v>
      </c>
      <c r="G183" s="228">
        <f>'NCLB Title III-A'!G193</f>
        <v>0</v>
      </c>
      <c r="H183" s="228">
        <v>0</v>
      </c>
      <c r="I183" s="229">
        <v>0</v>
      </c>
      <c r="J183" s="225"/>
    </row>
    <row r="184" spans="1:10" ht="18.75" x14ac:dyDescent="0.3">
      <c r="A184" s="233" t="s">
        <v>376</v>
      </c>
      <c r="B184" s="234" t="s">
        <v>381</v>
      </c>
      <c r="C184" s="228">
        <f ca="1">'NCLB Title I-A Formula'!G194</f>
        <v>0</v>
      </c>
      <c r="D184" s="228">
        <v>0</v>
      </c>
      <c r="E184" s="228">
        <v>0</v>
      </c>
      <c r="F184" s="228">
        <f ca="1">'NCLB Title II-A Formula'!G194</f>
        <v>0</v>
      </c>
      <c r="G184" s="228">
        <f ca="1">'NCLB Title III-A'!G194</f>
        <v>0</v>
      </c>
      <c r="H184" s="228">
        <f ca="1">'NCLB Title III SAI'!$G$194</f>
        <v>0</v>
      </c>
      <c r="I184" s="229">
        <v>0</v>
      </c>
      <c r="J184" s="225"/>
    </row>
    <row r="185" spans="1:10" ht="18.75" x14ac:dyDescent="0.3">
      <c r="A185" s="233" t="s">
        <v>377</v>
      </c>
      <c r="B185" s="234" t="s">
        <v>382</v>
      </c>
      <c r="C185" s="228">
        <f ca="1">'NCLB Title I-A Formula'!G195</f>
        <v>0</v>
      </c>
      <c r="D185" s="228">
        <f>'NCLB Title I-C Migrant'!$E$193</f>
        <v>0</v>
      </c>
      <c r="E185" s="228">
        <v>0</v>
      </c>
      <c r="F185" s="228">
        <f ca="1">'NCLB Title II-A Formula'!G195</f>
        <v>0</v>
      </c>
      <c r="G185" s="228">
        <f ca="1">'NCLB Title III-A'!$G$195</f>
        <v>0</v>
      </c>
      <c r="H185" s="228">
        <f ca="1">'NCLB Title III SAI'!$G$195</f>
        <v>0</v>
      </c>
      <c r="I185" s="229">
        <v>0</v>
      </c>
      <c r="J185" s="225"/>
    </row>
    <row r="186" spans="1:10" ht="18.75" x14ac:dyDescent="0.3">
      <c r="A186" s="233" t="s">
        <v>378</v>
      </c>
      <c r="B186" s="235" t="s">
        <v>383</v>
      </c>
      <c r="C186" s="228">
        <f ca="1">'NCLB Title I-A Formula'!G196</f>
        <v>0</v>
      </c>
      <c r="D186" s="228">
        <v>0</v>
      </c>
      <c r="E186" s="228">
        <v>0</v>
      </c>
      <c r="F186" s="228">
        <f ca="1">'NCLB Title II-A Formula'!G196</f>
        <v>0</v>
      </c>
      <c r="G186" s="228">
        <f ca="1">'NCLB Title III-A'!$G$196</f>
        <v>0</v>
      </c>
      <c r="H186" s="228">
        <v>0</v>
      </c>
      <c r="I186" s="229">
        <v>0</v>
      </c>
      <c r="J186" s="225"/>
    </row>
    <row r="187" spans="1:10" ht="18.75" x14ac:dyDescent="0.3">
      <c r="A187" s="233">
        <v>9050</v>
      </c>
      <c r="B187" s="235" t="s">
        <v>428</v>
      </c>
      <c r="C187" s="228">
        <v>0</v>
      </c>
      <c r="D187" s="228">
        <v>0</v>
      </c>
      <c r="E187" s="228">
        <v>0</v>
      </c>
      <c r="F187" s="228">
        <f ca="1">'NCLB Title II-A Formula'!G197</f>
        <v>0</v>
      </c>
      <c r="G187" s="228">
        <f ca="1">'NCLB Title III-A'!$G$197</f>
        <v>0</v>
      </c>
      <c r="H187" s="228">
        <v>0</v>
      </c>
      <c r="I187" s="229">
        <v>0</v>
      </c>
      <c r="J187" s="225"/>
    </row>
    <row r="188" spans="1:10" ht="18.75" x14ac:dyDescent="0.3">
      <c r="A188" s="233">
        <v>9055</v>
      </c>
      <c r="B188" s="235" t="s">
        <v>429</v>
      </c>
      <c r="C188" s="228">
        <v>0</v>
      </c>
      <c r="D188" s="228">
        <f>'NCLB Title I-C Migrant'!$E$195</f>
        <v>32551</v>
      </c>
      <c r="E188" s="228"/>
      <c r="F188" s="228">
        <f ca="1">'NCLB Title II-A Formula'!G198</f>
        <v>0</v>
      </c>
      <c r="G188" s="228">
        <f ca="1">'NCLB Title III-A'!$G$198</f>
        <v>0</v>
      </c>
      <c r="H188" s="228">
        <v>0</v>
      </c>
      <c r="I188" s="229">
        <v>0</v>
      </c>
      <c r="J188" s="225"/>
    </row>
    <row r="189" spans="1:10" ht="18.75" x14ac:dyDescent="0.3">
      <c r="A189" s="233">
        <v>9060</v>
      </c>
      <c r="B189" s="235" t="s">
        <v>411</v>
      </c>
      <c r="C189" s="228">
        <v>0</v>
      </c>
      <c r="D189" s="228">
        <f>'NCLB Title I-C Migrant'!$E$196</f>
        <v>58768</v>
      </c>
      <c r="E189" s="228">
        <v>0</v>
      </c>
      <c r="F189" s="228">
        <f>'NCLB Title II-A Formula'!G199</f>
        <v>0</v>
      </c>
      <c r="G189" s="228">
        <f ca="1">'NCLB Title III-A'!$G$199</f>
        <v>1562</v>
      </c>
      <c r="H189" s="228">
        <f ca="1">'NCLB Title III SAI'!$G$199</f>
        <v>0</v>
      </c>
      <c r="I189" s="229">
        <v>0</v>
      </c>
      <c r="J189" s="225"/>
    </row>
    <row r="190" spans="1:10" ht="18.75" x14ac:dyDescent="0.3">
      <c r="A190" s="233">
        <v>9075</v>
      </c>
      <c r="B190" s="235" t="s">
        <v>456</v>
      </c>
      <c r="C190" s="228">
        <v>0</v>
      </c>
      <c r="D190" s="228">
        <v>0</v>
      </c>
      <c r="E190" s="228">
        <v>0</v>
      </c>
      <c r="F190" s="228">
        <v>0</v>
      </c>
      <c r="G190" s="228">
        <f ca="1">'NCLB Title III-A'!$G$200</f>
        <v>0</v>
      </c>
      <c r="H190" s="228">
        <f ca="1">'NCLB Title III SAI'!G200</f>
        <v>0</v>
      </c>
      <c r="I190" s="229">
        <v>0</v>
      </c>
      <c r="J190" s="225"/>
    </row>
    <row r="191" spans="1:10" ht="18.75" x14ac:dyDescent="0.3">
      <c r="A191" s="233" t="s">
        <v>379</v>
      </c>
      <c r="B191" s="234" t="s">
        <v>384</v>
      </c>
      <c r="C191" s="228">
        <f ca="1">'NCLB Title I-A Formula'!G197</f>
        <v>0</v>
      </c>
      <c r="D191" s="228">
        <v>0</v>
      </c>
      <c r="E191" s="228">
        <v>0</v>
      </c>
      <c r="F191" s="228">
        <f>'NCLB Title II-A Formula'!G201</f>
        <v>0</v>
      </c>
      <c r="G191" s="228">
        <f ca="1">'NCLB Title III-A'!$G$201</f>
        <v>0</v>
      </c>
      <c r="H191" s="228">
        <f ca="1">'NCLB Title III SAI'!$G$201</f>
        <v>0</v>
      </c>
      <c r="I191" s="229">
        <v>0</v>
      </c>
      <c r="J191" s="225"/>
    </row>
    <row r="192" spans="1:10" ht="19.5" thickBot="1" x14ac:dyDescent="0.35">
      <c r="A192" s="236" t="s">
        <v>380</v>
      </c>
      <c r="B192" s="237" t="s">
        <v>385</v>
      </c>
      <c r="C192" s="238">
        <f ca="1">'NCLB Title I-A Formula'!G198</f>
        <v>0</v>
      </c>
      <c r="D192" s="238">
        <v>0</v>
      </c>
      <c r="E192" s="238">
        <v>0</v>
      </c>
      <c r="F192" s="238">
        <f>'NCLB Title II-A Formula'!G202</f>
        <v>0</v>
      </c>
      <c r="G192" s="238"/>
      <c r="H192" s="238">
        <v>0</v>
      </c>
      <c r="I192" s="239">
        <v>0</v>
      </c>
      <c r="J192" s="225"/>
    </row>
    <row r="193" spans="1:10" ht="18.75" x14ac:dyDescent="0.3">
      <c r="A193" s="240"/>
      <c r="B193" s="240"/>
      <c r="C193" s="241"/>
      <c r="D193" s="241"/>
      <c r="E193" s="241"/>
      <c r="F193" s="241"/>
      <c r="G193" s="241"/>
      <c r="H193" s="241"/>
      <c r="I193" s="241"/>
      <c r="J193" s="225"/>
    </row>
    <row r="194" spans="1:10" ht="18.75" x14ac:dyDescent="0.3">
      <c r="A194" s="240"/>
      <c r="B194" s="240"/>
      <c r="C194" s="241">
        <f t="shared" ref="C194:I194" ca="1" si="0">SUM(C4:C193)</f>
        <v>3192</v>
      </c>
      <c r="D194" s="241">
        <f t="shared" si="0"/>
        <v>176558</v>
      </c>
      <c r="E194" s="241">
        <f t="shared" si="0"/>
        <v>54131</v>
      </c>
      <c r="F194" s="241">
        <f t="shared" ca="1" si="0"/>
        <v>17085</v>
      </c>
      <c r="G194" s="241">
        <f t="shared" ca="1" si="0"/>
        <v>23002</v>
      </c>
      <c r="H194" s="241">
        <f t="shared" ca="1" si="0"/>
        <v>84280</v>
      </c>
      <c r="I194" s="241">
        <f t="shared" si="0"/>
        <v>5149</v>
      </c>
      <c r="J194" s="225"/>
    </row>
    <row r="195" spans="1:10" x14ac:dyDescent="0.25">
      <c r="A195" s="242"/>
      <c r="B195" s="242"/>
      <c r="C195" s="243"/>
      <c r="D195" s="243"/>
      <c r="E195" s="243"/>
      <c r="F195" s="243"/>
      <c r="G195" s="243"/>
      <c r="H195" s="243"/>
      <c r="I195" s="243"/>
      <c r="J195" s="225"/>
    </row>
    <row r="196" spans="1:10" x14ac:dyDescent="0.25">
      <c r="A196" s="242"/>
      <c r="B196" s="242"/>
      <c r="C196" s="243"/>
      <c r="D196" s="243"/>
      <c r="E196" s="243"/>
      <c r="F196" s="243"/>
      <c r="G196" s="243"/>
      <c r="H196" s="243"/>
      <c r="I196" s="243"/>
      <c r="J196" s="225"/>
    </row>
    <row r="197" spans="1:10" x14ac:dyDescent="0.25">
      <c r="C197" s="225"/>
      <c r="D197" s="225"/>
      <c r="E197" s="225"/>
      <c r="F197" s="225"/>
      <c r="G197" s="225"/>
      <c r="H197" s="225"/>
      <c r="I197" s="225"/>
      <c r="J197" s="225"/>
    </row>
    <row r="198" spans="1:10" x14ac:dyDescent="0.25">
      <c r="C198" s="225"/>
      <c r="D198" s="225"/>
      <c r="E198" s="225"/>
      <c r="F198" s="225"/>
      <c r="G198" s="225"/>
      <c r="H198" s="225"/>
      <c r="I198" s="225"/>
      <c r="J198" s="225"/>
    </row>
    <row r="199" spans="1:10" x14ac:dyDescent="0.25">
      <c r="C199" s="225"/>
      <c r="D199" s="225"/>
      <c r="E199" s="225"/>
      <c r="F199" s="225"/>
      <c r="G199" s="225"/>
      <c r="H199" s="225"/>
      <c r="I199" s="225"/>
      <c r="J199" s="225"/>
    </row>
    <row r="200" spans="1:10" x14ac:dyDescent="0.25">
      <c r="C200" s="225"/>
      <c r="D200" s="225"/>
      <c r="E200" s="225"/>
      <c r="F200" s="225"/>
      <c r="G200" s="225"/>
      <c r="H200" s="225"/>
      <c r="I200" s="225"/>
      <c r="J200" s="225"/>
    </row>
    <row r="201" spans="1:10" x14ac:dyDescent="0.25">
      <c r="C201" s="225"/>
      <c r="D201" s="225"/>
      <c r="E201" s="225"/>
      <c r="F201" s="225"/>
      <c r="G201" s="225"/>
      <c r="H201" s="225"/>
      <c r="I201" s="225"/>
      <c r="J201" s="225"/>
    </row>
    <row r="202" spans="1:10" x14ac:dyDescent="0.25">
      <c r="C202" s="225"/>
      <c r="D202" s="225"/>
      <c r="E202" s="225"/>
      <c r="F202" s="225"/>
      <c r="G202" s="225"/>
      <c r="H202" s="225"/>
      <c r="I202" s="225"/>
      <c r="J202" s="225"/>
    </row>
    <row r="203" spans="1:10" x14ac:dyDescent="0.25">
      <c r="C203" s="225"/>
      <c r="D203" s="225"/>
      <c r="E203" s="225"/>
      <c r="F203" s="225"/>
      <c r="G203" s="225"/>
      <c r="H203" s="225"/>
      <c r="I203" s="225"/>
      <c r="J203" s="225"/>
    </row>
    <row r="204" spans="1:10" x14ac:dyDescent="0.25">
      <c r="C204" s="225"/>
      <c r="D204" s="225"/>
      <c r="E204" s="225"/>
      <c r="F204" s="225"/>
      <c r="G204" s="225"/>
      <c r="H204" s="225"/>
      <c r="I204" s="225"/>
      <c r="J204" s="225"/>
    </row>
    <row r="205" spans="1:10" x14ac:dyDescent="0.25">
      <c r="C205" s="225"/>
      <c r="D205" s="225"/>
      <c r="E205" s="225"/>
      <c r="F205" s="225"/>
      <c r="G205" s="225"/>
      <c r="H205" s="225"/>
      <c r="I205" s="225"/>
      <c r="J205" s="225"/>
    </row>
    <row r="206" spans="1:10" x14ac:dyDescent="0.25">
      <c r="C206" s="225"/>
      <c r="D206" s="225"/>
      <c r="E206" s="225"/>
      <c r="F206" s="225"/>
      <c r="G206" s="225"/>
      <c r="H206" s="225"/>
      <c r="I206" s="225"/>
      <c r="J206" s="225"/>
    </row>
    <row r="207" spans="1:10" x14ac:dyDescent="0.25">
      <c r="C207" s="225"/>
      <c r="D207" s="225"/>
      <c r="E207" s="225"/>
      <c r="F207" s="225"/>
      <c r="G207" s="225"/>
      <c r="H207" s="225"/>
      <c r="I207" s="225"/>
      <c r="J207" s="225"/>
    </row>
    <row r="208" spans="1:10" x14ac:dyDescent="0.25">
      <c r="C208" s="225"/>
      <c r="D208" s="225"/>
      <c r="E208" s="225"/>
      <c r="F208" s="225"/>
      <c r="G208" s="225"/>
      <c r="H208" s="225"/>
      <c r="I208" s="225"/>
      <c r="J208" s="225"/>
    </row>
    <row r="209" spans="3:10" x14ac:dyDescent="0.25">
      <c r="C209" s="225"/>
      <c r="D209" s="225"/>
      <c r="E209" s="225"/>
      <c r="F209" s="225"/>
      <c r="G209" s="225"/>
      <c r="H209" s="225"/>
      <c r="I209" s="225"/>
      <c r="J209" s="225"/>
    </row>
    <row r="210" spans="3:10" x14ac:dyDescent="0.25">
      <c r="C210" s="225"/>
      <c r="D210" s="225"/>
      <c r="E210" s="225"/>
      <c r="F210" s="225"/>
      <c r="G210" s="225"/>
      <c r="H210" s="225"/>
      <c r="I210" s="225"/>
      <c r="J210" s="225"/>
    </row>
    <row r="211" spans="3:10" x14ac:dyDescent="0.25">
      <c r="C211" s="225"/>
      <c r="D211" s="225"/>
      <c r="E211" s="225"/>
      <c r="F211" s="225"/>
      <c r="G211" s="225"/>
      <c r="H211" s="225"/>
      <c r="I211" s="225"/>
      <c r="J211" s="225"/>
    </row>
    <row r="212" spans="3:10" x14ac:dyDescent="0.25">
      <c r="C212" s="225"/>
      <c r="D212" s="225"/>
      <c r="E212" s="225"/>
      <c r="F212" s="225"/>
      <c r="G212" s="225"/>
      <c r="H212" s="225"/>
      <c r="I212" s="225"/>
      <c r="J212" s="225"/>
    </row>
    <row r="213" spans="3:10" x14ac:dyDescent="0.25">
      <c r="C213" s="225"/>
      <c r="D213" s="225"/>
      <c r="E213" s="225"/>
      <c r="F213" s="225"/>
      <c r="G213" s="225"/>
      <c r="H213" s="225"/>
      <c r="I213" s="225"/>
      <c r="J213" s="225"/>
    </row>
    <row r="214" spans="3:10" x14ac:dyDescent="0.25">
      <c r="C214" s="225"/>
      <c r="D214" s="225"/>
      <c r="E214" s="225"/>
      <c r="F214" s="225"/>
      <c r="G214" s="225"/>
      <c r="H214" s="225"/>
      <c r="I214" s="225"/>
      <c r="J214" s="225"/>
    </row>
    <row r="215" spans="3:10" x14ac:dyDescent="0.25">
      <c r="C215" s="225"/>
      <c r="D215" s="225"/>
      <c r="E215" s="225"/>
      <c r="F215" s="225"/>
      <c r="G215" s="225"/>
      <c r="H215" s="225"/>
      <c r="I215" s="225"/>
      <c r="J215" s="225"/>
    </row>
    <row r="216" spans="3:10" x14ac:dyDescent="0.25">
      <c r="C216" s="225"/>
      <c r="D216" s="225"/>
      <c r="E216" s="225"/>
      <c r="F216" s="225"/>
      <c r="G216" s="225"/>
      <c r="H216" s="225"/>
      <c r="I216" s="225"/>
      <c r="J216" s="225"/>
    </row>
    <row r="217" spans="3:10" x14ac:dyDescent="0.25">
      <c r="C217" s="225"/>
      <c r="D217" s="225"/>
      <c r="E217" s="225"/>
      <c r="F217" s="225"/>
      <c r="G217" s="225"/>
      <c r="H217" s="225"/>
      <c r="I217" s="225"/>
      <c r="J217" s="225"/>
    </row>
    <row r="218" spans="3:10" x14ac:dyDescent="0.25">
      <c r="C218" s="225"/>
      <c r="D218" s="225"/>
      <c r="E218" s="225"/>
      <c r="F218" s="225"/>
      <c r="G218" s="225"/>
      <c r="H218" s="225"/>
      <c r="I218" s="225"/>
      <c r="J218" s="225"/>
    </row>
    <row r="219" spans="3:10" x14ac:dyDescent="0.25">
      <c r="C219" s="225"/>
      <c r="D219" s="225"/>
      <c r="E219" s="225"/>
      <c r="F219" s="225"/>
      <c r="G219" s="225"/>
      <c r="H219" s="225"/>
      <c r="I219" s="225"/>
      <c r="J219" s="225"/>
    </row>
    <row r="220" spans="3:10" x14ac:dyDescent="0.25">
      <c r="C220" s="225"/>
      <c r="D220" s="225"/>
      <c r="E220" s="225"/>
      <c r="F220" s="225"/>
      <c r="G220" s="225"/>
      <c r="H220" s="225"/>
      <c r="I220" s="225"/>
      <c r="J220" s="225"/>
    </row>
    <row r="221" spans="3:10" x14ac:dyDescent="0.25">
      <c r="C221" s="225"/>
      <c r="D221" s="225"/>
      <c r="E221" s="225"/>
      <c r="F221" s="225"/>
      <c r="G221" s="225"/>
      <c r="H221" s="225"/>
      <c r="I221" s="225"/>
      <c r="J221" s="225"/>
    </row>
    <row r="222" spans="3:10" x14ac:dyDescent="0.25">
      <c r="C222" s="225"/>
      <c r="D222" s="225"/>
      <c r="E222" s="225"/>
      <c r="F222" s="225"/>
      <c r="G222" s="225"/>
      <c r="H222" s="225"/>
      <c r="I222" s="225"/>
      <c r="J222" s="225"/>
    </row>
    <row r="223" spans="3:10" x14ac:dyDescent="0.25">
      <c r="C223" s="225"/>
      <c r="D223" s="225"/>
      <c r="E223" s="225"/>
      <c r="F223" s="225"/>
      <c r="G223" s="225"/>
      <c r="H223" s="225"/>
      <c r="I223" s="225"/>
      <c r="J223" s="225"/>
    </row>
    <row r="224" spans="3:10" x14ac:dyDescent="0.25">
      <c r="C224" s="225"/>
      <c r="D224" s="225"/>
      <c r="E224" s="225"/>
      <c r="F224" s="225"/>
      <c r="G224" s="225"/>
      <c r="H224" s="225"/>
      <c r="I224" s="225"/>
      <c r="J224" s="225"/>
    </row>
    <row r="225" spans="3:10" x14ac:dyDescent="0.25">
      <c r="C225" s="225"/>
      <c r="D225" s="225"/>
      <c r="E225" s="225"/>
      <c r="F225" s="225"/>
      <c r="G225" s="225"/>
      <c r="H225" s="225"/>
      <c r="I225" s="225"/>
      <c r="J225" s="225"/>
    </row>
  </sheetData>
  <sheetProtection password="EF32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F198"/>
  <sheetViews>
    <sheetView workbookViewId="0">
      <pane xSplit="5" ySplit="19" topLeftCell="Y20" activePane="bottomRight" state="frozen"/>
      <selection pane="topRight" activeCell="F1" sqref="F1"/>
      <selection pane="bottomLeft" activeCell="A19" sqref="A19"/>
      <selection pane="bottomRight" activeCell="B205" sqref="B205"/>
    </sheetView>
  </sheetViews>
  <sheetFormatPr defaultColWidth="9.140625" defaultRowHeight="15" x14ac:dyDescent="0.25"/>
  <cols>
    <col min="1" max="1" width="9.140625" style="2"/>
    <col min="2" max="2" width="36.7109375" style="2" customWidth="1"/>
    <col min="3" max="3" width="20.85546875" style="2" customWidth="1"/>
    <col min="4" max="4" width="18.85546875" style="2" customWidth="1"/>
    <col min="5" max="5" width="17" style="2" customWidth="1"/>
    <col min="6" max="32" width="15.7109375" style="2" customWidth="1"/>
    <col min="33" max="16384" width="9.140625" style="2"/>
  </cols>
  <sheetData>
    <row r="1" spans="1:32" ht="21" x14ac:dyDescent="0.35">
      <c r="A1" s="26" t="s">
        <v>0</v>
      </c>
      <c r="B1" s="27"/>
      <c r="C1" s="28" t="s">
        <v>424</v>
      </c>
      <c r="D1" s="26"/>
      <c r="E1" s="29"/>
      <c r="F1" s="30"/>
      <c r="G1" s="30"/>
      <c r="H1" s="28" t="str">
        <f>A1</f>
        <v>Grant:</v>
      </c>
      <c r="I1" s="28" t="str">
        <f>C1</f>
        <v>Title VI Rural Low Income Formula</v>
      </c>
      <c r="J1" s="26"/>
      <c r="K1" s="26"/>
      <c r="L1" s="29"/>
      <c r="M1" s="29"/>
      <c r="N1" s="30"/>
      <c r="O1" s="30"/>
      <c r="P1" s="28" t="s">
        <v>0</v>
      </c>
      <c r="Q1" s="28" t="str">
        <f>$I$1</f>
        <v>Title VI Rural Low Income Formula</v>
      </c>
      <c r="R1" s="26"/>
      <c r="S1" s="26"/>
      <c r="T1" s="29"/>
      <c r="U1" s="29"/>
      <c r="V1" s="30"/>
      <c r="W1" s="30"/>
      <c r="X1" s="28" t="s">
        <v>0</v>
      </c>
      <c r="Y1" s="28" t="str">
        <f>$I$1</f>
        <v>Title VI Rural Low Income Formula</v>
      </c>
      <c r="Z1" s="26"/>
      <c r="AA1" s="26"/>
      <c r="AB1" s="29"/>
      <c r="AC1" s="29"/>
      <c r="AD1" s="30"/>
      <c r="AE1" s="30"/>
      <c r="AF1" s="28"/>
    </row>
    <row r="2" spans="1:32" ht="21" x14ac:dyDescent="0.35">
      <c r="A2" s="31" t="s">
        <v>1</v>
      </c>
      <c r="B2" s="27"/>
      <c r="C2" s="32">
        <v>84.358000000000004</v>
      </c>
      <c r="D2" s="31"/>
      <c r="E2" s="33"/>
      <c r="F2" s="30"/>
      <c r="G2" s="30"/>
      <c r="H2" s="31" t="s">
        <v>2</v>
      </c>
      <c r="I2" s="28" t="str">
        <f>$C$4</f>
        <v>2012-13</v>
      </c>
      <c r="J2" s="28" t="s">
        <v>410</v>
      </c>
      <c r="K2" s="34"/>
      <c r="L2" s="33"/>
      <c r="M2" s="33"/>
      <c r="N2" s="33"/>
      <c r="O2" s="33"/>
      <c r="P2" s="31" t="s">
        <v>2</v>
      </c>
      <c r="Q2" s="28" t="str">
        <f>$C$4</f>
        <v>2012-13</v>
      </c>
      <c r="R2" s="34"/>
      <c r="S2" s="34"/>
      <c r="T2" s="33"/>
      <c r="U2" s="33"/>
      <c r="V2" s="33"/>
      <c r="W2" s="33"/>
      <c r="X2" s="31" t="s">
        <v>2</v>
      </c>
      <c r="Y2" s="28" t="str">
        <f>$C$4</f>
        <v>2012-13</v>
      </c>
      <c r="Z2" s="34" t="s">
        <v>410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>
        <v>7358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21" x14ac:dyDescent="0.35">
      <c r="A4" s="31" t="s">
        <v>2</v>
      </c>
      <c r="B4" s="27"/>
      <c r="C4" s="28" t="str">
        <f>'NCLB Title I-A Formula'!$C$4</f>
        <v>2012-13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457</v>
      </c>
      <c r="B5" s="27"/>
      <c r="C5" s="31" t="s">
        <v>498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6</v>
      </c>
      <c r="B6" s="27"/>
      <c r="C6" s="31" t="s">
        <v>370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20" customFormat="1" ht="15.75" x14ac:dyDescent="0.25">
      <c r="A7" s="31"/>
      <c r="B7" s="27"/>
      <c r="C7" s="31" t="s">
        <v>501</v>
      </c>
      <c r="D7" s="31"/>
      <c r="E7" s="35"/>
      <c r="F7" s="35"/>
      <c r="G7" s="35"/>
      <c r="H7" s="35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.75" x14ac:dyDescent="0.25">
      <c r="A8" s="31"/>
      <c r="B8" s="27"/>
      <c r="C8" s="31"/>
      <c r="D8" s="31"/>
      <c r="E8" s="35"/>
      <c r="F8" s="35"/>
      <c r="G8" s="35"/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.75" x14ac:dyDescent="0.25">
      <c r="A9" s="31" t="s">
        <v>400</v>
      </c>
      <c r="B9" s="27"/>
      <c r="C9" s="31" t="s">
        <v>470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.75" x14ac:dyDescent="0.25">
      <c r="A10" s="31" t="s">
        <v>401</v>
      </c>
      <c r="B10" s="27"/>
      <c r="C10" s="31" t="s">
        <v>402</v>
      </c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20" customFormat="1" ht="16.5" thickBot="1" x14ac:dyDescent="0.3">
      <c r="A11" s="31" t="s">
        <v>458</v>
      </c>
      <c r="B11" s="27"/>
      <c r="C11" s="31" t="s">
        <v>471</v>
      </c>
      <c r="D11" s="3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5" customFormat="1" ht="32.25" customHeight="1" thickBot="1" x14ac:dyDescent="0.3">
      <c r="A12" s="140" t="s">
        <v>371</v>
      </c>
      <c r="B12" s="140" t="s">
        <v>372</v>
      </c>
      <c r="C12" s="140" t="s">
        <v>373</v>
      </c>
      <c r="D12" s="140" t="s">
        <v>374</v>
      </c>
      <c r="E12" s="76" t="s">
        <v>375</v>
      </c>
      <c r="F12" s="143" t="s">
        <v>386</v>
      </c>
      <c r="G12" s="143" t="s">
        <v>388</v>
      </c>
      <c r="H12" s="143" t="s">
        <v>389</v>
      </c>
      <c r="I12" s="143" t="s">
        <v>390</v>
      </c>
      <c r="J12" s="143" t="s">
        <v>391</v>
      </c>
      <c r="K12" s="143" t="s">
        <v>392</v>
      </c>
      <c r="L12" s="143" t="s">
        <v>393</v>
      </c>
      <c r="M12" s="143" t="s">
        <v>455</v>
      </c>
      <c r="N12" s="143" t="s">
        <v>394</v>
      </c>
      <c r="O12" s="143" t="s">
        <v>395</v>
      </c>
      <c r="P12" s="143" t="s">
        <v>396</v>
      </c>
      <c r="Q12" s="143" t="s">
        <v>397</v>
      </c>
      <c r="R12" s="143" t="s">
        <v>387</v>
      </c>
      <c r="S12" s="143" t="s">
        <v>398</v>
      </c>
      <c r="T12" s="143" t="s">
        <v>399</v>
      </c>
      <c r="U12" s="312" t="s">
        <v>475</v>
      </c>
      <c r="V12" s="311" t="s">
        <v>476</v>
      </c>
      <c r="W12" s="312" t="s">
        <v>477</v>
      </c>
      <c r="X12" s="311" t="s">
        <v>478</v>
      </c>
      <c r="Y12" s="312" t="s">
        <v>479</v>
      </c>
      <c r="Z12" s="311" t="s">
        <v>480</v>
      </c>
      <c r="AA12" s="312" t="s">
        <v>481</v>
      </c>
      <c r="AB12" s="311" t="s">
        <v>482</v>
      </c>
      <c r="AC12" s="312" t="s">
        <v>483</v>
      </c>
      <c r="AD12" s="147" t="s">
        <v>472</v>
      </c>
      <c r="AE12" s="148" t="s">
        <v>473</v>
      </c>
      <c r="AF12" s="148" t="s">
        <v>474</v>
      </c>
    </row>
    <row r="13" spans="1:32" ht="18.75" hidden="1" x14ac:dyDescent="0.3">
      <c r="A13" s="14" t="s">
        <v>9</v>
      </c>
      <c r="B13" s="15" t="s">
        <v>187</v>
      </c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hidden="1" x14ac:dyDescent="0.3">
      <c r="A14" s="6" t="s">
        <v>10</v>
      </c>
      <c r="B14" s="7" t="s">
        <v>188</v>
      </c>
      <c r="C14" s="10"/>
    </row>
    <row r="15" spans="1:32" ht="18.75" hidden="1" x14ac:dyDescent="0.3">
      <c r="A15" s="6" t="s">
        <v>11</v>
      </c>
      <c r="B15" s="7" t="s">
        <v>189</v>
      </c>
      <c r="C15" s="10"/>
    </row>
    <row r="16" spans="1:32" ht="18.75" hidden="1" x14ac:dyDescent="0.3">
      <c r="A16" s="6" t="s">
        <v>12</v>
      </c>
      <c r="B16" s="7" t="s">
        <v>190</v>
      </c>
      <c r="C16" s="10"/>
    </row>
    <row r="17" spans="1:32" ht="18.75" hidden="1" x14ac:dyDescent="0.3">
      <c r="A17" s="6" t="s">
        <v>13</v>
      </c>
      <c r="B17" s="7" t="s">
        <v>191</v>
      </c>
      <c r="C17" s="11"/>
    </row>
    <row r="18" spans="1:32" ht="18.75" hidden="1" x14ac:dyDescent="0.3">
      <c r="A18" s="6" t="s">
        <v>14</v>
      </c>
      <c r="B18" s="7" t="s">
        <v>192</v>
      </c>
      <c r="C18" s="11"/>
    </row>
    <row r="19" spans="1:32" ht="18.75" hidden="1" x14ac:dyDescent="0.3">
      <c r="A19" s="6" t="s">
        <v>15</v>
      </c>
      <c r="B19" s="7" t="s">
        <v>193</v>
      </c>
      <c r="C19" s="11"/>
    </row>
    <row r="20" spans="1:32" ht="16.5" thickBot="1" x14ac:dyDescent="0.3">
      <c r="A20" s="101" t="s">
        <v>16</v>
      </c>
      <c r="B20" s="102" t="s">
        <v>194</v>
      </c>
      <c r="C20" s="110">
        <v>39948</v>
      </c>
      <c r="D20" s="111">
        <f t="shared" ref="D20:D30" si="0">SUM(F20:AF20)</f>
        <v>39948</v>
      </c>
      <c r="E20" s="112">
        <f>C20-D20</f>
        <v>0</v>
      </c>
      <c r="F20" s="108"/>
      <c r="G20" s="108"/>
      <c r="H20" s="108"/>
      <c r="I20" s="108"/>
      <c r="J20" s="108"/>
      <c r="K20" s="108"/>
      <c r="L20" s="108">
        <v>560</v>
      </c>
      <c r="M20" s="108">
        <v>1510</v>
      </c>
      <c r="N20" s="108">
        <v>1509</v>
      </c>
      <c r="O20" s="108">
        <v>1510</v>
      </c>
      <c r="P20" s="108">
        <v>1510</v>
      </c>
      <c r="Q20" s="108">
        <v>1458</v>
      </c>
      <c r="R20" s="108">
        <v>7917</v>
      </c>
      <c r="S20" s="108">
        <v>17481</v>
      </c>
      <c r="T20" s="108">
        <v>1510</v>
      </c>
      <c r="U20" s="108">
        <v>4983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ht="16.5" hidden="1" thickBot="1" x14ac:dyDescent="0.3">
      <c r="A21" s="92" t="s">
        <v>17</v>
      </c>
      <c r="B21" s="59" t="s">
        <v>195</v>
      </c>
      <c r="C21" s="113"/>
      <c r="D21" s="114">
        <f t="shared" si="0"/>
        <v>0</v>
      </c>
      <c r="E21" s="93">
        <f>C21-D21</f>
        <v>0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</row>
    <row r="22" spans="1:32" ht="16.5" hidden="1" thickBot="1" x14ac:dyDescent="0.3">
      <c r="A22" s="92" t="s">
        <v>18</v>
      </c>
      <c r="B22" s="59" t="s">
        <v>196</v>
      </c>
      <c r="C22" s="113"/>
      <c r="D22" s="114">
        <f t="shared" si="0"/>
        <v>0</v>
      </c>
      <c r="E22" s="93">
        <f>C22-D22</f>
        <v>0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</row>
    <row r="23" spans="1:32" ht="16.5" hidden="1" thickBot="1" x14ac:dyDescent="0.3">
      <c r="A23" s="92" t="s">
        <v>19</v>
      </c>
      <c r="B23" s="59" t="s">
        <v>197</v>
      </c>
      <c r="C23" s="113"/>
      <c r="D23" s="114">
        <f t="shared" si="0"/>
        <v>0</v>
      </c>
      <c r="E23" s="93">
        <f t="shared" ref="E23:E28" si="1">C23-D23</f>
        <v>0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</row>
    <row r="24" spans="1:32" ht="16.5" hidden="1" thickBot="1" x14ac:dyDescent="0.3">
      <c r="A24" s="92" t="s">
        <v>20</v>
      </c>
      <c r="B24" s="59" t="s">
        <v>198</v>
      </c>
      <c r="C24" s="113"/>
      <c r="D24" s="114">
        <f t="shared" si="0"/>
        <v>0</v>
      </c>
      <c r="E24" s="93">
        <f t="shared" si="1"/>
        <v>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1:32" ht="16.5" hidden="1" thickBot="1" x14ac:dyDescent="0.3">
      <c r="A25" s="92" t="s">
        <v>21</v>
      </c>
      <c r="B25" s="59" t="s">
        <v>199</v>
      </c>
      <c r="C25" s="113"/>
      <c r="D25" s="114">
        <f t="shared" si="0"/>
        <v>0</v>
      </c>
      <c r="E25" s="93">
        <f t="shared" si="1"/>
        <v>0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1:32" ht="16.5" hidden="1" thickBot="1" x14ac:dyDescent="0.3">
      <c r="A26" s="92" t="s">
        <v>22</v>
      </c>
      <c r="B26" s="59" t="s">
        <v>200</v>
      </c>
      <c r="C26" s="113"/>
      <c r="D26" s="114">
        <f t="shared" si="0"/>
        <v>0</v>
      </c>
      <c r="E26" s="93">
        <f t="shared" si="1"/>
        <v>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</row>
    <row r="27" spans="1:32" ht="16.5" hidden="1" thickBot="1" x14ac:dyDescent="0.3">
      <c r="A27" s="92" t="s">
        <v>23</v>
      </c>
      <c r="B27" s="59" t="s">
        <v>201</v>
      </c>
      <c r="C27" s="113"/>
      <c r="D27" s="114">
        <f t="shared" si="0"/>
        <v>0</v>
      </c>
      <c r="E27" s="93">
        <f t="shared" si="1"/>
        <v>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</row>
    <row r="28" spans="1:32" ht="16.5" hidden="1" thickBot="1" x14ac:dyDescent="0.3">
      <c r="A28" s="92" t="s">
        <v>24</v>
      </c>
      <c r="B28" s="59" t="s">
        <v>202</v>
      </c>
      <c r="C28" s="113"/>
      <c r="D28" s="114">
        <f t="shared" si="0"/>
        <v>0</v>
      </c>
      <c r="E28" s="93">
        <f t="shared" si="1"/>
        <v>0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2" ht="16.5" hidden="1" thickBot="1" x14ac:dyDescent="0.3">
      <c r="A29" s="92" t="s">
        <v>25</v>
      </c>
      <c r="B29" s="59" t="s">
        <v>203</v>
      </c>
      <c r="C29" s="113"/>
      <c r="D29" s="114">
        <f t="shared" si="0"/>
        <v>0</v>
      </c>
      <c r="E29" s="93">
        <f>C29-D29</f>
        <v>0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</row>
    <row r="30" spans="1:32" ht="16.5" hidden="1" thickBot="1" x14ac:dyDescent="0.3">
      <c r="A30" s="92" t="s">
        <v>26</v>
      </c>
      <c r="B30" s="59" t="s">
        <v>204</v>
      </c>
      <c r="C30" s="113"/>
      <c r="D30" s="114">
        <f t="shared" si="0"/>
        <v>0</v>
      </c>
      <c r="E30" s="93">
        <f>C30-D30</f>
        <v>0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</row>
    <row r="31" spans="1:32" ht="16.5" hidden="1" thickBot="1" x14ac:dyDescent="0.3">
      <c r="A31" s="92" t="s">
        <v>27</v>
      </c>
      <c r="B31" s="59" t="s">
        <v>205</v>
      </c>
      <c r="C31" s="113"/>
      <c r="D31" s="114">
        <f t="shared" ref="D31:D75" si="2">SUM(F31:AF31)</f>
        <v>0</v>
      </c>
      <c r="E31" s="93">
        <f t="shared" ref="E31:E75" si="3">C31-D31</f>
        <v>0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</row>
    <row r="32" spans="1:32" ht="16.5" hidden="1" thickBot="1" x14ac:dyDescent="0.3">
      <c r="A32" s="92" t="s">
        <v>28</v>
      </c>
      <c r="B32" s="59" t="s">
        <v>206</v>
      </c>
      <c r="C32" s="113"/>
      <c r="D32" s="114">
        <f t="shared" si="2"/>
        <v>0</v>
      </c>
      <c r="E32" s="93">
        <f t="shared" si="3"/>
        <v>0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</row>
    <row r="33" spans="1:32" ht="16.5" hidden="1" thickBot="1" x14ac:dyDescent="0.3">
      <c r="A33" s="92" t="s">
        <v>29</v>
      </c>
      <c r="B33" s="59" t="s">
        <v>207</v>
      </c>
      <c r="C33" s="113"/>
      <c r="D33" s="114">
        <f t="shared" si="2"/>
        <v>0</v>
      </c>
      <c r="E33" s="93">
        <f t="shared" si="3"/>
        <v>0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</row>
    <row r="34" spans="1:32" ht="16.5" hidden="1" thickBot="1" x14ac:dyDescent="0.3">
      <c r="A34" s="92" t="s">
        <v>30</v>
      </c>
      <c r="B34" s="59" t="s">
        <v>208</v>
      </c>
      <c r="C34" s="113"/>
      <c r="D34" s="114">
        <f t="shared" si="2"/>
        <v>0</v>
      </c>
      <c r="E34" s="93">
        <f t="shared" si="3"/>
        <v>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</row>
    <row r="35" spans="1:32" ht="16.5" hidden="1" thickBot="1" x14ac:dyDescent="0.3">
      <c r="A35" s="92" t="s">
        <v>31</v>
      </c>
      <c r="B35" s="59" t="s">
        <v>209</v>
      </c>
      <c r="C35" s="113"/>
      <c r="D35" s="114">
        <f t="shared" si="2"/>
        <v>0</v>
      </c>
      <c r="E35" s="93">
        <f t="shared" si="3"/>
        <v>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</row>
    <row r="36" spans="1:32" ht="16.5" hidden="1" thickBot="1" x14ac:dyDescent="0.3">
      <c r="A36" s="92" t="s">
        <v>32</v>
      </c>
      <c r="B36" s="59" t="s">
        <v>210</v>
      </c>
      <c r="C36" s="113"/>
      <c r="D36" s="114">
        <f t="shared" si="2"/>
        <v>0</v>
      </c>
      <c r="E36" s="93">
        <f t="shared" si="3"/>
        <v>0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</row>
    <row r="37" spans="1:32" ht="16.5" hidden="1" thickBot="1" x14ac:dyDescent="0.3">
      <c r="A37" s="92" t="s">
        <v>33</v>
      </c>
      <c r="B37" s="59" t="s">
        <v>211</v>
      </c>
      <c r="C37" s="113"/>
      <c r="D37" s="114">
        <f t="shared" si="2"/>
        <v>0</v>
      </c>
      <c r="E37" s="93">
        <f t="shared" si="3"/>
        <v>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  <row r="38" spans="1:32" ht="16.5" hidden="1" thickBot="1" x14ac:dyDescent="0.3">
      <c r="A38" s="92" t="s">
        <v>34</v>
      </c>
      <c r="B38" s="59" t="s">
        <v>212</v>
      </c>
      <c r="C38" s="113"/>
      <c r="D38" s="114">
        <f t="shared" si="2"/>
        <v>0</v>
      </c>
      <c r="E38" s="93">
        <f t="shared" si="3"/>
        <v>0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</row>
    <row r="39" spans="1:32" ht="16.5" hidden="1" thickBot="1" x14ac:dyDescent="0.3">
      <c r="A39" s="92" t="s">
        <v>35</v>
      </c>
      <c r="B39" s="59" t="s">
        <v>213</v>
      </c>
      <c r="C39" s="113"/>
      <c r="D39" s="114">
        <f t="shared" si="2"/>
        <v>0</v>
      </c>
      <c r="E39" s="93">
        <f t="shared" si="3"/>
        <v>0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</row>
    <row r="40" spans="1:32" ht="16.5" hidden="1" thickBot="1" x14ac:dyDescent="0.3">
      <c r="A40" s="92" t="s">
        <v>36</v>
      </c>
      <c r="B40" s="59" t="s">
        <v>214</v>
      </c>
      <c r="C40" s="113"/>
      <c r="D40" s="114">
        <f t="shared" si="2"/>
        <v>0</v>
      </c>
      <c r="E40" s="93">
        <f t="shared" si="3"/>
        <v>0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</row>
    <row r="41" spans="1:32" ht="16.5" hidden="1" thickBot="1" x14ac:dyDescent="0.3">
      <c r="A41" s="92" t="s">
        <v>37</v>
      </c>
      <c r="B41" s="59" t="s">
        <v>215</v>
      </c>
      <c r="C41" s="113"/>
      <c r="D41" s="114">
        <f t="shared" si="2"/>
        <v>0</v>
      </c>
      <c r="E41" s="93">
        <f t="shared" si="3"/>
        <v>0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</row>
    <row r="42" spans="1:32" ht="16.5" hidden="1" thickBot="1" x14ac:dyDescent="0.3">
      <c r="A42" s="92" t="s">
        <v>38</v>
      </c>
      <c r="B42" s="59" t="s">
        <v>216</v>
      </c>
      <c r="C42" s="113"/>
      <c r="D42" s="114">
        <f t="shared" si="2"/>
        <v>0</v>
      </c>
      <c r="E42" s="93">
        <f t="shared" si="3"/>
        <v>0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16.5" hidden="1" thickBot="1" x14ac:dyDescent="0.3">
      <c r="A43" s="92" t="s">
        <v>39</v>
      </c>
      <c r="B43" s="59" t="s">
        <v>217</v>
      </c>
      <c r="C43" s="113"/>
      <c r="D43" s="114">
        <f t="shared" si="2"/>
        <v>0</v>
      </c>
      <c r="E43" s="93">
        <f t="shared" si="3"/>
        <v>0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</row>
    <row r="44" spans="1:32" ht="16.5" thickBot="1" x14ac:dyDescent="0.3">
      <c r="A44" s="92" t="s">
        <v>40</v>
      </c>
      <c r="B44" s="59" t="s">
        <v>218</v>
      </c>
      <c r="C44" s="113">
        <v>18889</v>
      </c>
      <c r="D44" s="114">
        <f t="shared" si="2"/>
        <v>18889</v>
      </c>
      <c r="E44" s="93">
        <f t="shared" si="3"/>
        <v>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>
        <v>14884</v>
      </c>
      <c r="Q44" s="108">
        <v>3550</v>
      </c>
      <c r="R44" s="108">
        <v>157</v>
      </c>
      <c r="S44" s="108"/>
      <c r="T44" s="108"/>
      <c r="U44" s="108"/>
      <c r="V44" s="108"/>
      <c r="W44" s="108">
        <v>298</v>
      </c>
      <c r="X44" s="108"/>
      <c r="Y44" s="108"/>
      <c r="Z44" s="108"/>
      <c r="AA44" s="108"/>
      <c r="AB44" s="108"/>
      <c r="AC44" s="108"/>
      <c r="AD44" s="108"/>
      <c r="AE44" s="108"/>
      <c r="AF44" s="108"/>
    </row>
    <row r="45" spans="1:32" ht="16.5" hidden="1" thickBot="1" x14ac:dyDescent="0.3">
      <c r="A45" s="92" t="s">
        <v>41</v>
      </c>
      <c r="B45" s="59" t="s">
        <v>219</v>
      </c>
      <c r="C45" s="113"/>
      <c r="D45" s="114">
        <f t="shared" si="2"/>
        <v>0</v>
      </c>
      <c r="E45" s="93">
        <f t="shared" si="3"/>
        <v>0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2" ht="16.5" hidden="1" thickBot="1" x14ac:dyDescent="0.3">
      <c r="A46" s="92" t="s">
        <v>42</v>
      </c>
      <c r="B46" s="59" t="s">
        <v>220</v>
      </c>
      <c r="C46" s="113"/>
      <c r="D46" s="114">
        <f t="shared" si="2"/>
        <v>0</v>
      </c>
      <c r="E46" s="93">
        <f t="shared" si="3"/>
        <v>0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1:32" ht="16.5" hidden="1" thickBot="1" x14ac:dyDescent="0.3">
      <c r="A47" s="92" t="s">
        <v>43</v>
      </c>
      <c r="B47" s="61" t="s">
        <v>221</v>
      </c>
      <c r="C47" s="113"/>
      <c r="D47" s="114">
        <f t="shared" si="2"/>
        <v>0</v>
      </c>
      <c r="E47" s="93">
        <f t="shared" si="3"/>
        <v>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2" ht="16.5" hidden="1" thickBot="1" x14ac:dyDescent="0.3">
      <c r="A48" s="92" t="s">
        <v>44</v>
      </c>
      <c r="B48" s="59" t="s">
        <v>222</v>
      </c>
      <c r="C48" s="113"/>
      <c r="D48" s="114">
        <f t="shared" si="2"/>
        <v>0</v>
      </c>
      <c r="E48" s="93">
        <f t="shared" si="3"/>
        <v>0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ht="16.5" hidden="1" thickBot="1" x14ac:dyDescent="0.3">
      <c r="A49" s="92" t="s">
        <v>45</v>
      </c>
      <c r="B49" s="59" t="s">
        <v>223</v>
      </c>
      <c r="C49" s="113"/>
      <c r="D49" s="114">
        <f t="shared" si="2"/>
        <v>0</v>
      </c>
      <c r="E49" s="93">
        <f t="shared" si="3"/>
        <v>0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ht="16.5" hidden="1" thickBot="1" x14ac:dyDescent="0.3">
      <c r="A50" s="92" t="s">
        <v>46</v>
      </c>
      <c r="B50" s="59" t="s">
        <v>224</v>
      </c>
      <c r="C50" s="113"/>
      <c r="D50" s="114">
        <f t="shared" si="2"/>
        <v>0</v>
      </c>
      <c r="E50" s="93">
        <f t="shared" si="3"/>
        <v>0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ht="16.5" thickBot="1" x14ac:dyDescent="0.3">
      <c r="A51" s="92" t="s">
        <v>47</v>
      </c>
      <c r="B51" s="59" t="s">
        <v>225</v>
      </c>
      <c r="C51" s="113">
        <v>95339</v>
      </c>
      <c r="D51" s="114">
        <f t="shared" si="2"/>
        <v>95339</v>
      </c>
      <c r="E51" s="93">
        <f t="shared" si="3"/>
        <v>0</v>
      </c>
      <c r="F51" s="108"/>
      <c r="G51" s="108"/>
      <c r="H51" s="108"/>
      <c r="I51" s="108"/>
      <c r="J51" s="108">
        <v>16962</v>
      </c>
      <c r="K51" s="108"/>
      <c r="L51" s="108">
        <v>4327</v>
      </c>
      <c r="M51" s="108">
        <v>8837</v>
      </c>
      <c r="N51" s="108">
        <v>5364</v>
      </c>
      <c r="O51" s="108">
        <v>16251</v>
      </c>
      <c r="P51" s="108">
        <v>6579</v>
      </c>
      <c r="Q51" s="108">
        <v>8875</v>
      </c>
      <c r="R51" s="108">
        <v>4723</v>
      </c>
      <c r="S51" s="108"/>
      <c r="T51" s="108"/>
      <c r="U51" s="108"/>
      <c r="V51" s="108">
        <v>19924</v>
      </c>
      <c r="W51" s="108"/>
      <c r="X51" s="108"/>
      <c r="Y51" s="108">
        <v>3497</v>
      </c>
      <c r="Z51" s="108"/>
      <c r="AA51" s="108"/>
      <c r="AB51" s="108"/>
      <c r="AC51" s="108"/>
      <c r="AD51" s="108"/>
      <c r="AE51" s="108"/>
      <c r="AF51" s="108"/>
    </row>
    <row r="52" spans="1:32" ht="16.5" hidden="1" thickBot="1" x14ac:dyDescent="0.3">
      <c r="A52" s="92" t="s">
        <v>48</v>
      </c>
      <c r="B52" s="59" t="s">
        <v>226</v>
      </c>
      <c r="C52" s="113"/>
      <c r="D52" s="114">
        <f t="shared" si="2"/>
        <v>0</v>
      </c>
      <c r="E52" s="93">
        <f t="shared" si="3"/>
        <v>0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ht="16.5" hidden="1" thickBot="1" x14ac:dyDescent="0.3">
      <c r="A53" s="92" t="s">
        <v>49</v>
      </c>
      <c r="B53" s="59" t="s">
        <v>227</v>
      </c>
      <c r="C53" s="113"/>
      <c r="D53" s="114">
        <f t="shared" si="2"/>
        <v>0</v>
      </c>
      <c r="E53" s="93">
        <f t="shared" si="3"/>
        <v>0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ht="16.5" hidden="1" thickBot="1" x14ac:dyDescent="0.3">
      <c r="A54" s="92" t="s">
        <v>50</v>
      </c>
      <c r="B54" s="59" t="s">
        <v>228</v>
      </c>
      <c r="C54" s="113"/>
      <c r="D54" s="114">
        <f t="shared" si="2"/>
        <v>0</v>
      </c>
      <c r="E54" s="93">
        <f t="shared" si="3"/>
        <v>0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ht="16.5" hidden="1" thickBot="1" x14ac:dyDescent="0.3">
      <c r="A55" s="92" t="s">
        <v>51</v>
      </c>
      <c r="B55" s="59" t="s">
        <v>229</v>
      </c>
      <c r="C55" s="113"/>
      <c r="D55" s="114">
        <f t="shared" si="2"/>
        <v>0</v>
      </c>
      <c r="E55" s="93">
        <f t="shared" si="3"/>
        <v>0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ht="16.5" hidden="1" thickBot="1" x14ac:dyDescent="0.3">
      <c r="A56" s="92" t="s">
        <v>52</v>
      </c>
      <c r="B56" s="59" t="s">
        <v>230</v>
      </c>
      <c r="C56" s="113"/>
      <c r="D56" s="114">
        <f t="shared" si="2"/>
        <v>0</v>
      </c>
      <c r="E56" s="93">
        <f t="shared" si="3"/>
        <v>0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ht="16.5" hidden="1" thickBot="1" x14ac:dyDescent="0.3">
      <c r="A57" s="92" t="s">
        <v>53</v>
      </c>
      <c r="B57" s="59" t="s">
        <v>231</v>
      </c>
      <c r="C57" s="113"/>
      <c r="D57" s="114">
        <f t="shared" si="2"/>
        <v>0</v>
      </c>
      <c r="E57" s="93">
        <f t="shared" si="3"/>
        <v>0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ht="16.5" hidden="1" thickBot="1" x14ac:dyDescent="0.3">
      <c r="A58" s="92" t="s">
        <v>54</v>
      </c>
      <c r="B58" s="59" t="s">
        <v>232</v>
      </c>
      <c r="C58" s="113"/>
      <c r="D58" s="114">
        <f t="shared" si="2"/>
        <v>0</v>
      </c>
      <c r="E58" s="93">
        <f t="shared" si="3"/>
        <v>0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ht="16.5" hidden="1" thickBot="1" x14ac:dyDescent="0.3">
      <c r="A59" s="92" t="s">
        <v>55</v>
      </c>
      <c r="B59" s="59" t="s">
        <v>233</v>
      </c>
      <c r="C59" s="113"/>
      <c r="D59" s="114">
        <f t="shared" si="2"/>
        <v>0</v>
      </c>
      <c r="E59" s="93">
        <f t="shared" si="3"/>
        <v>0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ht="16.5" hidden="1" thickBot="1" x14ac:dyDescent="0.3">
      <c r="A60" s="92" t="s">
        <v>56</v>
      </c>
      <c r="B60" s="59" t="s">
        <v>234</v>
      </c>
      <c r="C60" s="113"/>
      <c r="D60" s="114">
        <f t="shared" si="2"/>
        <v>0</v>
      </c>
      <c r="E60" s="93">
        <f t="shared" si="3"/>
        <v>0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ht="16.5" hidden="1" thickBot="1" x14ac:dyDescent="0.3">
      <c r="A61" s="92" t="s">
        <v>57</v>
      </c>
      <c r="B61" s="59" t="s">
        <v>235</v>
      </c>
      <c r="C61" s="113"/>
      <c r="D61" s="114">
        <f t="shared" si="2"/>
        <v>0</v>
      </c>
      <c r="E61" s="93">
        <f t="shared" si="3"/>
        <v>0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ht="16.5" hidden="1" thickBot="1" x14ac:dyDescent="0.3">
      <c r="A62" s="92" t="s">
        <v>58</v>
      </c>
      <c r="B62" s="59" t="s">
        <v>236</v>
      </c>
      <c r="C62" s="113"/>
      <c r="D62" s="114">
        <f t="shared" si="2"/>
        <v>0</v>
      </c>
      <c r="E62" s="93">
        <f t="shared" si="3"/>
        <v>0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ht="16.5" hidden="1" thickBot="1" x14ac:dyDescent="0.3">
      <c r="A63" s="92" t="s">
        <v>59</v>
      </c>
      <c r="B63" s="59" t="s">
        <v>237</v>
      </c>
      <c r="C63" s="113"/>
      <c r="D63" s="114">
        <f t="shared" si="2"/>
        <v>0</v>
      </c>
      <c r="E63" s="93">
        <f t="shared" si="3"/>
        <v>0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ht="16.5" hidden="1" thickBot="1" x14ac:dyDescent="0.3">
      <c r="A64" s="92" t="s">
        <v>60</v>
      </c>
      <c r="B64" s="59" t="s">
        <v>238</v>
      </c>
      <c r="C64" s="113"/>
      <c r="D64" s="114">
        <f t="shared" si="2"/>
        <v>0</v>
      </c>
      <c r="E64" s="93">
        <f t="shared" si="3"/>
        <v>0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ht="16.5" hidden="1" thickBot="1" x14ac:dyDescent="0.3">
      <c r="A65" s="92" t="s">
        <v>61</v>
      </c>
      <c r="B65" s="59" t="s">
        <v>239</v>
      </c>
      <c r="C65" s="113"/>
      <c r="D65" s="114">
        <f t="shared" si="2"/>
        <v>0</v>
      </c>
      <c r="E65" s="93">
        <f t="shared" si="3"/>
        <v>0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ht="16.5" hidden="1" thickBot="1" x14ac:dyDescent="0.3">
      <c r="A66" s="92" t="s">
        <v>62</v>
      </c>
      <c r="B66" s="59" t="s">
        <v>240</v>
      </c>
      <c r="C66" s="113"/>
      <c r="D66" s="114">
        <f t="shared" si="2"/>
        <v>0</v>
      </c>
      <c r="E66" s="93">
        <f t="shared" si="3"/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ht="16.5" hidden="1" thickBot="1" x14ac:dyDescent="0.3">
      <c r="A67" s="92" t="s">
        <v>63</v>
      </c>
      <c r="B67" s="59" t="s">
        <v>241</v>
      </c>
      <c r="C67" s="113"/>
      <c r="D67" s="114">
        <f t="shared" si="2"/>
        <v>0</v>
      </c>
      <c r="E67" s="93">
        <f t="shared" si="3"/>
        <v>0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68" spans="1:32" ht="16.5" hidden="1" thickBot="1" x14ac:dyDescent="0.3">
      <c r="A68" s="92" t="s">
        <v>64</v>
      </c>
      <c r="B68" s="59" t="s">
        <v>242</v>
      </c>
      <c r="C68" s="113"/>
      <c r="D68" s="114">
        <f t="shared" si="2"/>
        <v>0</v>
      </c>
      <c r="E68" s="93">
        <f t="shared" si="3"/>
        <v>0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  <row r="69" spans="1:32" ht="16.5" hidden="1" thickBot="1" x14ac:dyDescent="0.3">
      <c r="A69" s="92" t="s">
        <v>65</v>
      </c>
      <c r="B69" s="59" t="s">
        <v>243</v>
      </c>
      <c r="C69" s="113"/>
      <c r="D69" s="114">
        <f t="shared" si="2"/>
        <v>0</v>
      </c>
      <c r="E69" s="93">
        <f t="shared" si="3"/>
        <v>0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spans="1:32" ht="16.5" hidden="1" thickBot="1" x14ac:dyDescent="0.3">
      <c r="A70" s="92" t="s">
        <v>66</v>
      </c>
      <c r="B70" s="59" t="s">
        <v>244</v>
      </c>
      <c r="C70" s="113"/>
      <c r="D70" s="114">
        <f t="shared" si="2"/>
        <v>0</v>
      </c>
      <c r="E70" s="93">
        <f t="shared" si="3"/>
        <v>0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</row>
    <row r="71" spans="1:32" ht="16.5" hidden="1" thickBot="1" x14ac:dyDescent="0.3">
      <c r="A71" s="92" t="s">
        <v>67</v>
      </c>
      <c r="B71" s="59" t="s">
        <v>245</v>
      </c>
      <c r="C71" s="113"/>
      <c r="D71" s="114">
        <f t="shared" si="2"/>
        <v>0</v>
      </c>
      <c r="E71" s="93">
        <f t="shared" si="3"/>
        <v>0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</row>
    <row r="72" spans="1:32" ht="16.5" hidden="1" thickBot="1" x14ac:dyDescent="0.3">
      <c r="A72" s="92" t="s">
        <v>68</v>
      </c>
      <c r="B72" s="59" t="s">
        <v>246</v>
      </c>
      <c r="C72" s="113"/>
      <c r="D72" s="114">
        <f t="shared" si="2"/>
        <v>0</v>
      </c>
      <c r="E72" s="93">
        <f t="shared" si="3"/>
        <v>0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</row>
    <row r="73" spans="1:32" ht="16.5" hidden="1" thickBot="1" x14ac:dyDescent="0.3">
      <c r="A73" s="92" t="s">
        <v>69</v>
      </c>
      <c r="B73" s="59" t="s">
        <v>247</v>
      </c>
      <c r="C73" s="113"/>
      <c r="D73" s="114">
        <f t="shared" si="2"/>
        <v>0</v>
      </c>
      <c r="E73" s="93">
        <f t="shared" si="3"/>
        <v>0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16.5" hidden="1" thickBot="1" x14ac:dyDescent="0.3">
      <c r="A74" s="92" t="s">
        <v>70</v>
      </c>
      <c r="B74" s="59" t="s">
        <v>248</v>
      </c>
      <c r="C74" s="113"/>
      <c r="D74" s="114">
        <f t="shared" si="2"/>
        <v>0</v>
      </c>
      <c r="E74" s="93">
        <f t="shared" si="3"/>
        <v>0</v>
      </c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  <row r="75" spans="1:32" ht="16.5" hidden="1" thickBot="1" x14ac:dyDescent="0.3">
      <c r="A75" s="92" t="s">
        <v>71</v>
      </c>
      <c r="B75" s="59" t="s">
        <v>249</v>
      </c>
      <c r="C75" s="113"/>
      <c r="D75" s="114">
        <f t="shared" si="2"/>
        <v>0</v>
      </c>
      <c r="E75" s="93">
        <f t="shared" si="3"/>
        <v>0</v>
      </c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1:32" ht="16.5" thickBot="1" x14ac:dyDescent="0.3">
      <c r="A76" s="92" t="s">
        <v>72</v>
      </c>
      <c r="B76" s="59" t="s">
        <v>250</v>
      </c>
      <c r="C76" s="113">
        <v>71175</v>
      </c>
      <c r="D76" s="114">
        <f t="shared" ref="D76:D107" si="4">SUM(F76:AF76)</f>
        <v>71175</v>
      </c>
      <c r="E76" s="93">
        <f>C76-D76</f>
        <v>0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>
        <v>4576</v>
      </c>
      <c r="R76" s="108"/>
      <c r="S76" s="108">
        <f>12295+10125</f>
        <v>22420</v>
      </c>
      <c r="T76" s="108"/>
      <c r="U76" s="108"/>
      <c r="V76" s="108"/>
      <c r="W76" s="108"/>
      <c r="X76" s="108">
        <v>24315</v>
      </c>
      <c r="Y76" s="108"/>
      <c r="Z76" s="108"/>
      <c r="AA76" s="108">
        <v>19864</v>
      </c>
      <c r="AB76" s="108"/>
      <c r="AC76" s="108"/>
      <c r="AD76" s="108"/>
      <c r="AE76" s="108"/>
      <c r="AF76" s="108"/>
    </row>
    <row r="77" spans="1:32" ht="16.5" hidden="1" thickBot="1" x14ac:dyDescent="0.3">
      <c r="A77" s="92" t="s">
        <v>73</v>
      </c>
      <c r="B77" s="59" t="s">
        <v>251</v>
      </c>
      <c r="C77" s="115"/>
      <c r="D77" s="114">
        <f t="shared" si="4"/>
        <v>0</v>
      </c>
      <c r="E77" s="93">
        <f>C77-D77</f>
        <v>0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ht="16.5" hidden="1" thickBot="1" x14ac:dyDescent="0.3">
      <c r="A78" s="92" t="s">
        <v>74</v>
      </c>
      <c r="B78" s="59" t="s">
        <v>252</v>
      </c>
      <c r="C78" s="113"/>
      <c r="D78" s="114">
        <f t="shared" si="4"/>
        <v>0</v>
      </c>
      <c r="E78" s="93">
        <f>C78-D78</f>
        <v>0</v>
      </c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</row>
    <row r="79" spans="1:32" ht="16.5" hidden="1" thickBot="1" x14ac:dyDescent="0.3">
      <c r="A79" s="92" t="s">
        <v>75</v>
      </c>
      <c r="B79" s="59" t="s">
        <v>253</v>
      </c>
      <c r="C79" s="113"/>
      <c r="D79" s="114">
        <f t="shared" si="4"/>
        <v>0</v>
      </c>
      <c r="E79" s="93">
        <f t="shared" ref="E79:E84" si="5">C79-D79</f>
        <v>0</v>
      </c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</row>
    <row r="80" spans="1:32" ht="16.5" hidden="1" thickBot="1" x14ac:dyDescent="0.3">
      <c r="A80" s="92" t="s">
        <v>76</v>
      </c>
      <c r="B80" s="59" t="s">
        <v>254</v>
      </c>
      <c r="C80" s="113"/>
      <c r="D80" s="114">
        <f t="shared" si="4"/>
        <v>0</v>
      </c>
      <c r="E80" s="93">
        <f t="shared" si="5"/>
        <v>0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</row>
    <row r="81" spans="1:32" ht="16.5" hidden="1" thickBot="1" x14ac:dyDescent="0.3">
      <c r="A81" s="92" t="s">
        <v>77</v>
      </c>
      <c r="B81" s="59" t="s">
        <v>255</v>
      </c>
      <c r="C81" s="113"/>
      <c r="D81" s="114">
        <f t="shared" si="4"/>
        <v>0</v>
      </c>
      <c r="E81" s="93">
        <f t="shared" si="5"/>
        <v>0</v>
      </c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</row>
    <row r="82" spans="1:32" ht="16.5" hidden="1" thickBot="1" x14ac:dyDescent="0.3">
      <c r="A82" s="92" t="s">
        <v>78</v>
      </c>
      <c r="B82" s="59" t="s">
        <v>256</v>
      </c>
      <c r="C82" s="113"/>
      <c r="D82" s="114">
        <f t="shared" si="4"/>
        <v>0</v>
      </c>
      <c r="E82" s="93">
        <f t="shared" si="5"/>
        <v>0</v>
      </c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</row>
    <row r="83" spans="1:32" ht="16.5" hidden="1" thickBot="1" x14ac:dyDescent="0.3">
      <c r="A83" s="92" t="s">
        <v>79</v>
      </c>
      <c r="B83" s="59" t="s">
        <v>257</v>
      </c>
      <c r="C83" s="113"/>
      <c r="D83" s="114">
        <f t="shared" si="4"/>
        <v>0</v>
      </c>
      <c r="E83" s="93">
        <f t="shared" si="5"/>
        <v>0</v>
      </c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</row>
    <row r="84" spans="1:32" ht="16.5" hidden="1" thickBot="1" x14ac:dyDescent="0.3">
      <c r="A84" s="92" t="s">
        <v>80</v>
      </c>
      <c r="B84" s="59" t="s">
        <v>258</v>
      </c>
      <c r="C84" s="113"/>
      <c r="D84" s="114">
        <f t="shared" si="4"/>
        <v>0</v>
      </c>
      <c r="E84" s="93">
        <f t="shared" si="5"/>
        <v>0</v>
      </c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</row>
    <row r="85" spans="1:32" ht="16.5" hidden="1" thickBot="1" x14ac:dyDescent="0.3">
      <c r="A85" s="92" t="s">
        <v>81</v>
      </c>
      <c r="B85" s="59" t="s">
        <v>259</v>
      </c>
      <c r="C85" s="113"/>
      <c r="D85" s="114">
        <f t="shared" si="4"/>
        <v>0</v>
      </c>
      <c r="E85" s="93">
        <f>C85-D85</f>
        <v>0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</row>
    <row r="86" spans="1:32" ht="16.5" hidden="1" thickBot="1" x14ac:dyDescent="0.3">
      <c r="A86" s="92" t="s">
        <v>82</v>
      </c>
      <c r="B86" s="59" t="s">
        <v>260</v>
      </c>
      <c r="C86" s="113"/>
      <c r="D86" s="114">
        <f t="shared" si="4"/>
        <v>0</v>
      </c>
      <c r="E86" s="93">
        <f>C86-D86</f>
        <v>0</v>
      </c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32" ht="16.5" thickBot="1" x14ac:dyDescent="0.3">
      <c r="A87" s="92" t="s">
        <v>83</v>
      </c>
      <c r="B87" s="59" t="s">
        <v>261</v>
      </c>
      <c r="C87" s="115">
        <v>9901</v>
      </c>
      <c r="D87" s="114">
        <f t="shared" si="4"/>
        <v>9901</v>
      </c>
      <c r="E87" s="93">
        <f t="shared" ref="E87:E150" si="6">C87-D87</f>
        <v>0</v>
      </c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>
        <v>1919</v>
      </c>
      <c r="S87" s="108"/>
      <c r="T87" s="108"/>
      <c r="U87" s="108"/>
      <c r="V87" s="108"/>
      <c r="W87" s="108"/>
      <c r="X87" s="108">
        <v>472</v>
      </c>
      <c r="Y87" s="108"/>
      <c r="Z87" s="108"/>
      <c r="AA87" s="108">
        <v>1895</v>
      </c>
      <c r="AB87" s="108"/>
      <c r="AC87" s="108">
        <v>1003</v>
      </c>
      <c r="AD87" s="108"/>
      <c r="AE87" s="108"/>
      <c r="AF87" s="108">
        <v>4612</v>
      </c>
    </row>
    <row r="88" spans="1:32" ht="16.5" hidden="1" thickBot="1" x14ac:dyDescent="0.3">
      <c r="A88" s="92" t="s">
        <v>84</v>
      </c>
      <c r="B88" s="59" t="s">
        <v>262</v>
      </c>
      <c r="C88" s="113"/>
      <c r="D88" s="114">
        <f t="shared" si="4"/>
        <v>0</v>
      </c>
      <c r="E88" s="93">
        <f t="shared" si="6"/>
        <v>0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ht="16.5" hidden="1" thickBot="1" x14ac:dyDescent="0.3">
      <c r="A89" s="92" t="s">
        <v>85</v>
      </c>
      <c r="B89" s="61" t="s">
        <v>263</v>
      </c>
      <c r="C89" s="113"/>
      <c r="D89" s="114">
        <f t="shared" si="4"/>
        <v>0</v>
      </c>
      <c r="E89" s="93">
        <f t="shared" si="6"/>
        <v>0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ht="16.5" hidden="1" thickBot="1" x14ac:dyDescent="0.3">
      <c r="A90" s="92" t="s">
        <v>86</v>
      </c>
      <c r="B90" s="59" t="s">
        <v>264</v>
      </c>
      <c r="C90" s="113"/>
      <c r="D90" s="114">
        <f t="shared" si="4"/>
        <v>0</v>
      </c>
      <c r="E90" s="93">
        <f t="shared" si="6"/>
        <v>0</v>
      </c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</row>
    <row r="91" spans="1:32" ht="16.5" hidden="1" thickBot="1" x14ac:dyDescent="0.3">
      <c r="A91" s="92" t="s">
        <v>87</v>
      </c>
      <c r="B91" s="59" t="s">
        <v>265</v>
      </c>
      <c r="C91" s="113"/>
      <c r="D91" s="114">
        <f t="shared" si="4"/>
        <v>0</v>
      </c>
      <c r="E91" s="93">
        <f t="shared" si="6"/>
        <v>0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6.5" hidden="1" thickBot="1" x14ac:dyDescent="0.3">
      <c r="A92" s="92" t="s">
        <v>88</v>
      </c>
      <c r="B92" s="59" t="s">
        <v>266</v>
      </c>
      <c r="C92" s="113"/>
      <c r="D92" s="114">
        <f t="shared" si="4"/>
        <v>0</v>
      </c>
      <c r="E92" s="93">
        <f t="shared" si="6"/>
        <v>0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ht="16.5" hidden="1" thickBot="1" x14ac:dyDescent="0.3">
      <c r="A93" s="92" t="s">
        <v>89</v>
      </c>
      <c r="B93" s="59" t="s">
        <v>267</v>
      </c>
      <c r="C93" s="113"/>
      <c r="D93" s="114">
        <f t="shared" si="4"/>
        <v>0</v>
      </c>
      <c r="E93" s="93">
        <f t="shared" si="6"/>
        <v>0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</row>
    <row r="94" spans="1:32" ht="16.5" hidden="1" thickBot="1" x14ac:dyDescent="0.3">
      <c r="A94" s="92" t="s">
        <v>90</v>
      </c>
      <c r="B94" s="59" t="s">
        <v>268</v>
      </c>
      <c r="C94" s="113"/>
      <c r="D94" s="114">
        <f t="shared" si="4"/>
        <v>0</v>
      </c>
      <c r="E94" s="93">
        <f t="shared" si="6"/>
        <v>0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</row>
    <row r="95" spans="1:32" ht="16.5" hidden="1" thickBot="1" x14ac:dyDescent="0.3">
      <c r="A95" s="92" t="s">
        <v>91</v>
      </c>
      <c r="B95" s="59" t="s">
        <v>269</v>
      </c>
      <c r="C95" s="113"/>
      <c r="D95" s="114">
        <f t="shared" si="4"/>
        <v>0</v>
      </c>
      <c r="E95" s="93">
        <f t="shared" si="6"/>
        <v>0</v>
      </c>
      <c r="F95" s="109"/>
      <c r="G95" s="109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</row>
    <row r="96" spans="1:32" ht="16.5" hidden="1" thickBot="1" x14ac:dyDescent="0.3">
      <c r="A96" s="92" t="s">
        <v>92</v>
      </c>
      <c r="B96" s="59" t="s">
        <v>270</v>
      </c>
      <c r="C96" s="113"/>
      <c r="D96" s="114">
        <f t="shared" si="4"/>
        <v>0</v>
      </c>
      <c r="E96" s="93">
        <f t="shared" si="6"/>
        <v>0</v>
      </c>
      <c r="F96" s="109"/>
      <c r="G96" s="109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ht="16.5" hidden="1" thickBot="1" x14ac:dyDescent="0.3">
      <c r="A97" s="92" t="s">
        <v>93</v>
      </c>
      <c r="B97" s="59" t="s">
        <v>271</v>
      </c>
      <c r="C97" s="113"/>
      <c r="D97" s="114">
        <f t="shared" si="4"/>
        <v>0</v>
      </c>
      <c r="E97" s="93">
        <f t="shared" si="6"/>
        <v>0</v>
      </c>
      <c r="F97" s="109"/>
      <c r="G97" s="109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ht="16.5" thickBot="1" x14ac:dyDescent="0.3">
      <c r="A98" s="92" t="s">
        <v>94</v>
      </c>
      <c r="B98" s="59" t="s">
        <v>272</v>
      </c>
      <c r="C98" s="113">
        <v>20926</v>
      </c>
      <c r="D98" s="114">
        <f t="shared" si="4"/>
        <v>20926</v>
      </c>
      <c r="E98" s="93">
        <f t="shared" si="6"/>
        <v>0</v>
      </c>
      <c r="F98" s="109"/>
      <c r="G98" s="109"/>
      <c r="H98" s="108"/>
      <c r="I98" s="108"/>
      <c r="J98" s="108"/>
      <c r="K98" s="108"/>
      <c r="L98" s="108"/>
      <c r="M98" s="108"/>
      <c r="N98" s="108"/>
      <c r="O98" s="108"/>
      <c r="P98" s="108">
        <v>11429</v>
      </c>
      <c r="Q98" s="108"/>
      <c r="R98" s="108">
        <v>9497</v>
      </c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</row>
    <row r="99" spans="1:32" ht="16.5" hidden="1" thickBot="1" x14ac:dyDescent="0.3">
      <c r="A99" s="92" t="s">
        <v>95</v>
      </c>
      <c r="B99" s="59" t="s">
        <v>273</v>
      </c>
      <c r="C99" s="113"/>
      <c r="D99" s="114">
        <f t="shared" si="4"/>
        <v>0</v>
      </c>
      <c r="E99" s="93">
        <f t="shared" si="6"/>
        <v>0</v>
      </c>
      <c r="F99" s="109"/>
      <c r="G99" s="109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6.5" hidden="1" thickBot="1" x14ac:dyDescent="0.3">
      <c r="A100" s="92" t="s">
        <v>96</v>
      </c>
      <c r="B100" s="59" t="s">
        <v>274</v>
      </c>
      <c r="C100" s="113"/>
      <c r="D100" s="114">
        <f t="shared" si="4"/>
        <v>0</v>
      </c>
      <c r="E100" s="93">
        <f t="shared" si="6"/>
        <v>0</v>
      </c>
      <c r="F100" s="109"/>
      <c r="G100" s="109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ht="16.5" hidden="1" thickBot="1" x14ac:dyDescent="0.3">
      <c r="A101" s="92" t="s">
        <v>97</v>
      </c>
      <c r="B101" s="59" t="s">
        <v>275</v>
      </c>
      <c r="C101" s="113"/>
      <c r="D101" s="114">
        <f t="shared" si="4"/>
        <v>0</v>
      </c>
      <c r="E101" s="93">
        <f t="shared" si="6"/>
        <v>0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ht="16.5" hidden="1" thickBot="1" x14ac:dyDescent="0.3">
      <c r="A102" s="92" t="s">
        <v>98</v>
      </c>
      <c r="B102" s="59" t="s">
        <v>276</v>
      </c>
      <c r="C102" s="113"/>
      <c r="D102" s="114">
        <f t="shared" si="4"/>
        <v>0</v>
      </c>
      <c r="E102" s="93">
        <f t="shared" si="6"/>
        <v>0</v>
      </c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</row>
    <row r="103" spans="1:32" ht="16.5" hidden="1" thickBot="1" x14ac:dyDescent="0.3">
      <c r="A103" s="92" t="s">
        <v>99</v>
      </c>
      <c r="B103" s="59" t="s">
        <v>277</v>
      </c>
      <c r="C103" s="113"/>
      <c r="D103" s="114">
        <f t="shared" si="4"/>
        <v>0</v>
      </c>
      <c r="E103" s="93">
        <f t="shared" si="6"/>
        <v>0</v>
      </c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</row>
    <row r="104" spans="1:32" ht="16.5" hidden="1" thickBot="1" x14ac:dyDescent="0.3">
      <c r="A104" s="92" t="s">
        <v>100</v>
      </c>
      <c r="B104" s="59" t="s">
        <v>278</v>
      </c>
      <c r="C104" s="113"/>
      <c r="D104" s="114">
        <f t="shared" si="4"/>
        <v>0</v>
      </c>
      <c r="E104" s="93">
        <f t="shared" si="6"/>
        <v>0</v>
      </c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ht="16.5" thickBot="1" x14ac:dyDescent="0.3">
      <c r="A105" s="92" t="s">
        <v>101</v>
      </c>
      <c r="B105" s="59" t="s">
        <v>279</v>
      </c>
      <c r="C105" s="113">
        <v>25991</v>
      </c>
      <c r="D105" s="114">
        <f t="shared" si="4"/>
        <v>20842</v>
      </c>
      <c r="E105" s="93">
        <f t="shared" si="6"/>
        <v>5149</v>
      </c>
      <c r="F105" s="108"/>
      <c r="G105" s="108"/>
      <c r="H105" s="108"/>
      <c r="I105" s="108"/>
      <c r="J105" s="108"/>
      <c r="K105" s="108"/>
      <c r="L105" s="108"/>
      <c r="M105" s="108"/>
      <c r="N105" s="108">
        <v>400</v>
      </c>
      <c r="O105" s="108"/>
      <c r="P105" s="108"/>
      <c r="Q105" s="108"/>
      <c r="R105" s="108"/>
      <c r="S105" s="108">
        <v>2320</v>
      </c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>
        <v>14125</v>
      </c>
      <c r="AD105" s="108"/>
      <c r="AE105" s="108"/>
      <c r="AF105" s="108">
        <v>3997</v>
      </c>
    </row>
    <row r="106" spans="1:32" ht="16.5" hidden="1" thickBot="1" x14ac:dyDescent="0.3">
      <c r="A106" s="92" t="s">
        <v>102</v>
      </c>
      <c r="B106" s="59" t="s">
        <v>280</v>
      </c>
      <c r="C106" s="113"/>
      <c r="D106" s="114">
        <f t="shared" si="4"/>
        <v>0</v>
      </c>
      <c r="E106" s="93">
        <f t="shared" si="6"/>
        <v>0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</row>
    <row r="107" spans="1:32" ht="16.5" hidden="1" thickBot="1" x14ac:dyDescent="0.3">
      <c r="A107" s="92" t="s">
        <v>103</v>
      </c>
      <c r="B107" s="59" t="s">
        <v>281</v>
      </c>
      <c r="C107" s="113"/>
      <c r="D107" s="114">
        <f t="shared" si="4"/>
        <v>0</v>
      </c>
      <c r="E107" s="93">
        <f t="shared" si="6"/>
        <v>0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6.5" hidden="1" thickBot="1" x14ac:dyDescent="0.3">
      <c r="A108" s="92" t="s">
        <v>104</v>
      </c>
      <c r="B108" s="59" t="s">
        <v>282</v>
      </c>
      <c r="C108" s="113"/>
      <c r="D108" s="114">
        <f t="shared" ref="D108:D139" si="7">SUM(F108:AF108)</f>
        <v>0</v>
      </c>
      <c r="E108" s="93">
        <f t="shared" si="6"/>
        <v>0</v>
      </c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16.5" hidden="1" thickBot="1" x14ac:dyDescent="0.3">
      <c r="A109" s="92" t="s">
        <v>105</v>
      </c>
      <c r="B109" s="59" t="s">
        <v>283</v>
      </c>
      <c r="C109" s="113"/>
      <c r="D109" s="114">
        <f t="shared" si="7"/>
        <v>0</v>
      </c>
      <c r="E109" s="93">
        <f t="shared" si="6"/>
        <v>0</v>
      </c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ht="16.5" hidden="1" thickBot="1" x14ac:dyDescent="0.3">
      <c r="A110" s="92" t="s">
        <v>106</v>
      </c>
      <c r="B110" s="59" t="s">
        <v>284</v>
      </c>
      <c r="C110" s="113"/>
      <c r="D110" s="114">
        <f t="shared" si="7"/>
        <v>0</v>
      </c>
      <c r="E110" s="93">
        <f t="shared" si="6"/>
        <v>0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ht="16.5" hidden="1" thickBot="1" x14ac:dyDescent="0.3">
      <c r="A111" s="92" t="s">
        <v>107</v>
      </c>
      <c r="B111" s="59" t="s">
        <v>285</v>
      </c>
      <c r="C111" s="113"/>
      <c r="D111" s="114">
        <f t="shared" si="7"/>
        <v>0</v>
      </c>
      <c r="E111" s="93">
        <f t="shared" si="6"/>
        <v>0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ht="16.5" hidden="1" thickBot="1" x14ac:dyDescent="0.3">
      <c r="A112" s="92" t="s">
        <v>108</v>
      </c>
      <c r="B112" s="59" t="s">
        <v>286</v>
      </c>
      <c r="C112" s="113"/>
      <c r="D112" s="114">
        <f t="shared" si="7"/>
        <v>0</v>
      </c>
      <c r="E112" s="93">
        <f t="shared" si="6"/>
        <v>0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3" spans="1:32" ht="16.5" hidden="1" thickBot="1" x14ac:dyDescent="0.3">
      <c r="A113" s="92" t="s">
        <v>109</v>
      </c>
      <c r="B113" s="59" t="s">
        <v>287</v>
      </c>
      <c r="C113" s="113"/>
      <c r="D113" s="114">
        <f t="shared" si="7"/>
        <v>0</v>
      </c>
      <c r="E113" s="93">
        <f t="shared" si="6"/>
        <v>0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ht="16.5" hidden="1" thickBot="1" x14ac:dyDescent="0.3">
      <c r="A114" s="92" t="s">
        <v>110</v>
      </c>
      <c r="B114" s="59" t="s">
        <v>288</v>
      </c>
      <c r="C114" s="113"/>
      <c r="D114" s="114">
        <f t="shared" si="7"/>
        <v>0</v>
      </c>
      <c r="E114" s="93">
        <f t="shared" si="6"/>
        <v>0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  <row r="115" spans="1:32" ht="16.5" hidden="1" thickBot="1" x14ac:dyDescent="0.3">
      <c r="A115" s="92" t="s">
        <v>111</v>
      </c>
      <c r="B115" s="59" t="s">
        <v>289</v>
      </c>
      <c r="C115" s="113"/>
      <c r="D115" s="114">
        <f t="shared" si="7"/>
        <v>0</v>
      </c>
      <c r="E115" s="93">
        <f t="shared" si="6"/>
        <v>0</v>
      </c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</row>
    <row r="116" spans="1:32" ht="16.5" hidden="1" thickBot="1" x14ac:dyDescent="0.3">
      <c r="A116" s="92" t="s">
        <v>112</v>
      </c>
      <c r="B116" s="59" t="s">
        <v>290</v>
      </c>
      <c r="C116" s="113"/>
      <c r="D116" s="114">
        <f t="shared" si="7"/>
        <v>0</v>
      </c>
      <c r="E116" s="93">
        <f t="shared" si="6"/>
        <v>0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</row>
    <row r="117" spans="1:32" ht="16.5" hidden="1" thickBot="1" x14ac:dyDescent="0.3">
      <c r="A117" s="92" t="s">
        <v>113</v>
      </c>
      <c r="B117" s="59" t="s">
        <v>291</v>
      </c>
      <c r="C117" s="113"/>
      <c r="D117" s="114">
        <f t="shared" si="7"/>
        <v>0</v>
      </c>
      <c r="E117" s="93">
        <f t="shared" si="6"/>
        <v>0</v>
      </c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</row>
    <row r="118" spans="1:32" ht="16.5" hidden="1" thickBot="1" x14ac:dyDescent="0.3">
      <c r="A118" s="92" t="s">
        <v>114</v>
      </c>
      <c r="B118" s="59" t="s">
        <v>292</v>
      </c>
      <c r="C118" s="113"/>
      <c r="D118" s="114">
        <f t="shared" si="7"/>
        <v>0</v>
      </c>
      <c r="E118" s="93">
        <f t="shared" si="6"/>
        <v>0</v>
      </c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</row>
    <row r="119" spans="1:32" ht="16.5" hidden="1" thickBot="1" x14ac:dyDescent="0.3">
      <c r="A119" s="92" t="s">
        <v>115</v>
      </c>
      <c r="B119" s="59" t="s">
        <v>293</v>
      </c>
      <c r="C119" s="113"/>
      <c r="D119" s="114">
        <f t="shared" si="7"/>
        <v>0</v>
      </c>
      <c r="E119" s="93">
        <f t="shared" si="6"/>
        <v>0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</row>
    <row r="120" spans="1:32" ht="16.5" hidden="1" thickBot="1" x14ac:dyDescent="0.3">
      <c r="A120" s="92" t="s">
        <v>116</v>
      </c>
      <c r="B120" s="59" t="s">
        <v>294</v>
      </c>
      <c r="C120" s="113"/>
      <c r="D120" s="114">
        <f t="shared" si="7"/>
        <v>0</v>
      </c>
      <c r="E120" s="93">
        <f t="shared" si="6"/>
        <v>0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</row>
    <row r="121" spans="1:32" ht="16.5" hidden="1" thickBot="1" x14ac:dyDescent="0.3">
      <c r="A121" s="92" t="s">
        <v>117</v>
      </c>
      <c r="B121" s="59" t="s">
        <v>295</v>
      </c>
      <c r="C121" s="113"/>
      <c r="D121" s="114">
        <f t="shared" si="7"/>
        <v>0</v>
      </c>
      <c r="E121" s="93">
        <f t="shared" si="6"/>
        <v>0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</row>
    <row r="122" spans="1:32" ht="16.5" hidden="1" thickBot="1" x14ac:dyDescent="0.3">
      <c r="A122" s="92" t="s">
        <v>118</v>
      </c>
      <c r="B122" s="59" t="s">
        <v>296</v>
      </c>
      <c r="C122" s="113"/>
      <c r="D122" s="114">
        <f t="shared" si="7"/>
        <v>0</v>
      </c>
      <c r="E122" s="93">
        <f t="shared" si="6"/>
        <v>0</v>
      </c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</row>
    <row r="123" spans="1:32" ht="16.5" thickBot="1" x14ac:dyDescent="0.3">
      <c r="A123" s="92" t="s">
        <v>119</v>
      </c>
      <c r="B123" s="59" t="s">
        <v>297</v>
      </c>
      <c r="C123" s="115">
        <v>52230</v>
      </c>
      <c r="D123" s="114">
        <f t="shared" si="7"/>
        <v>52230</v>
      </c>
      <c r="E123" s="93">
        <f t="shared" si="6"/>
        <v>0</v>
      </c>
      <c r="F123" s="108"/>
      <c r="G123" s="108"/>
      <c r="H123" s="108"/>
      <c r="I123" s="108"/>
      <c r="J123" s="108"/>
      <c r="K123" s="108"/>
      <c r="L123" s="108">
        <v>605</v>
      </c>
      <c r="M123" s="108">
        <v>1773</v>
      </c>
      <c r="N123" s="108">
        <v>5340</v>
      </c>
      <c r="O123" s="108">
        <v>7627</v>
      </c>
      <c r="P123" s="108">
        <v>8577</v>
      </c>
      <c r="Q123" s="108">
        <v>1696</v>
      </c>
      <c r="R123" s="108">
        <v>8686</v>
      </c>
      <c r="S123" s="108">
        <v>3755</v>
      </c>
      <c r="T123" s="108">
        <v>2000</v>
      </c>
      <c r="U123" s="108">
        <v>2391</v>
      </c>
      <c r="V123" s="108">
        <v>7484</v>
      </c>
      <c r="W123" s="108">
        <v>2296</v>
      </c>
      <c r="X123" s="108"/>
      <c r="Y123" s="108"/>
      <c r="Z123" s="108"/>
      <c r="AA123" s="108"/>
      <c r="AB123" s="108"/>
      <c r="AC123" s="108"/>
      <c r="AD123" s="108"/>
      <c r="AE123" s="108"/>
      <c r="AF123" s="108"/>
    </row>
    <row r="124" spans="1:32" ht="16.5" hidden="1" thickBot="1" x14ac:dyDescent="0.3">
      <c r="A124" s="92" t="s">
        <v>120</v>
      </c>
      <c r="B124" s="59" t="s">
        <v>298</v>
      </c>
      <c r="C124" s="113"/>
      <c r="D124" s="114">
        <f t="shared" si="7"/>
        <v>0</v>
      </c>
      <c r="E124" s="93">
        <f t="shared" si="6"/>
        <v>0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</row>
    <row r="125" spans="1:32" ht="16.5" hidden="1" thickBot="1" x14ac:dyDescent="0.3">
      <c r="A125" s="92" t="s">
        <v>121</v>
      </c>
      <c r="B125" s="59" t="s">
        <v>299</v>
      </c>
      <c r="C125" s="113"/>
      <c r="D125" s="114">
        <f t="shared" si="7"/>
        <v>0</v>
      </c>
      <c r="E125" s="93">
        <f t="shared" si="6"/>
        <v>0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</row>
    <row r="126" spans="1:32" ht="16.5" thickBot="1" x14ac:dyDescent="0.3">
      <c r="A126" s="92" t="s">
        <v>122</v>
      </c>
      <c r="B126" s="59" t="s">
        <v>300</v>
      </c>
      <c r="C126" s="113">
        <v>114418</v>
      </c>
      <c r="D126" s="114">
        <f t="shared" si="7"/>
        <v>114418</v>
      </c>
      <c r="E126" s="93">
        <f t="shared" si="6"/>
        <v>0</v>
      </c>
      <c r="F126" s="108"/>
      <c r="G126" s="108"/>
      <c r="H126" s="108"/>
      <c r="I126" s="108">
        <v>6137</v>
      </c>
      <c r="J126" s="108">
        <v>6119</v>
      </c>
      <c r="K126" s="108">
        <v>6119</v>
      </c>
      <c r="L126" s="108">
        <v>6119</v>
      </c>
      <c r="M126" s="108">
        <v>6087</v>
      </c>
      <c r="N126" s="108">
        <v>6086</v>
      </c>
      <c r="O126" s="108">
        <v>6087</v>
      </c>
      <c r="P126" s="108">
        <v>6087</v>
      </c>
      <c r="Q126" s="108">
        <v>12173</v>
      </c>
      <c r="R126" s="108">
        <v>6048</v>
      </c>
      <c r="S126" s="108">
        <v>6125</v>
      </c>
      <c r="T126" s="108">
        <v>6124</v>
      </c>
      <c r="U126" s="108">
        <v>1979</v>
      </c>
      <c r="V126" s="108">
        <v>1978</v>
      </c>
      <c r="W126" s="108">
        <v>14827</v>
      </c>
      <c r="X126" s="108">
        <v>8998</v>
      </c>
      <c r="Y126" s="108">
        <v>3948</v>
      </c>
      <c r="Z126" s="108">
        <v>3377</v>
      </c>
      <c r="AA126" s="108"/>
      <c r="AB126" s="108"/>
      <c r="AC126" s="108"/>
      <c r="AD126" s="108"/>
      <c r="AE126" s="108"/>
      <c r="AF126" s="108"/>
    </row>
    <row r="127" spans="1:32" ht="16.5" hidden="1" thickBot="1" x14ac:dyDescent="0.3">
      <c r="A127" s="92" t="s">
        <v>123</v>
      </c>
      <c r="B127" s="59" t="s">
        <v>301</v>
      </c>
      <c r="C127" s="113"/>
      <c r="D127" s="114">
        <f t="shared" si="7"/>
        <v>0</v>
      </c>
      <c r="E127" s="93">
        <f t="shared" si="6"/>
        <v>0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</row>
    <row r="128" spans="1:32" ht="16.5" hidden="1" thickBot="1" x14ac:dyDescent="0.3">
      <c r="A128" s="92" t="s">
        <v>124</v>
      </c>
      <c r="B128" s="59" t="s">
        <v>302</v>
      </c>
      <c r="C128" s="113"/>
      <c r="D128" s="114">
        <f t="shared" si="7"/>
        <v>0</v>
      </c>
      <c r="E128" s="93">
        <f t="shared" si="6"/>
        <v>0</v>
      </c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</row>
    <row r="129" spans="1:32" ht="16.5" thickBot="1" x14ac:dyDescent="0.3">
      <c r="A129" s="92" t="s">
        <v>125</v>
      </c>
      <c r="B129" s="59" t="s">
        <v>303</v>
      </c>
      <c r="C129" s="113">
        <v>57656</v>
      </c>
      <c r="D129" s="114">
        <f t="shared" si="7"/>
        <v>57656</v>
      </c>
      <c r="E129" s="93">
        <f t="shared" si="6"/>
        <v>0</v>
      </c>
      <c r="F129" s="108"/>
      <c r="G129" s="108"/>
      <c r="H129" s="108"/>
      <c r="I129" s="108"/>
      <c r="J129" s="108">
        <v>6184</v>
      </c>
      <c r="K129" s="108">
        <v>3286</v>
      </c>
      <c r="L129" s="108">
        <v>3044</v>
      </c>
      <c r="M129" s="108">
        <v>2591</v>
      </c>
      <c r="N129" s="108">
        <v>3157</v>
      </c>
      <c r="O129" s="108">
        <v>3050</v>
      </c>
      <c r="P129" s="108">
        <v>3034</v>
      </c>
      <c r="Q129" s="108">
        <v>3418</v>
      </c>
      <c r="R129" s="108">
        <v>2282</v>
      </c>
      <c r="S129" s="108">
        <v>1355</v>
      </c>
      <c r="T129" s="108">
        <v>1614</v>
      </c>
      <c r="U129" s="108">
        <f>2680+1267</f>
        <v>3947</v>
      </c>
      <c r="V129" s="108">
        <v>4355</v>
      </c>
      <c r="W129" s="108">
        <v>5179</v>
      </c>
      <c r="X129" s="108">
        <v>5024</v>
      </c>
      <c r="Y129" s="108">
        <v>3668</v>
      </c>
      <c r="Z129" s="108">
        <v>2468</v>
      </c>
      <c r="AA129" s="108"/>
      <c r="AB129" s="108"/>
      <c r="AC129" s="108"/>
      <c r="AD129" s="108"/>
      <c r="AE129" s="108"/>
      <c r="AF129" s="108"/>
    </row>
    <row r="130" spans="1:32" ht="16.5" hidden="1" thickBot="1" x14ac:dyDescent="0.3">
      <c r="A130" s="92" t="s">
        <v>126</v>
      </c>
      <c r="B130" s="59" t="s">
        <v>304</v>
      </c>
      <c r="C130" s="113"/>
      <c r="D130" s="114">
        <f t="shared" si="7"/>
        <v>0</v>
      </c>
      <c r="E130" s="93">
        <f t="shared" si="6"/>
        <v>0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</row>
    <row r="131" spans="1:32" ht="16.5" hidden="1" thickBot="1" x14ac:dyDescent="0.3">
      <c r="A131" s="92" t="s">
        <v>127</v>
      </c>
      <c r="B131" s="59" t="s">
        <v>305</v>
      </c>
      <c r="C131" s="113"/>
      <c r="D131" s="114">
        <f t="shared" si="7"/>
        <v>0</v>
      </c>
      <c r="E131" s="93">
        <f t="shared" si="6"/>
        <v>0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</row>
    <row r="132" spans="1:32" ht="16.5" thickBot="1" x14ac:dyDescent="0.3">
      <c r="A132" s="92" t="s">
        <v>128</v>
      </c>
      <c r="B132" s="59" t="s">
        <v>306</v>
      </c>
      <c r="C132" s="115">
        <v>24620</v>
      </c>
      <c r="D132" s="114">
        <f t="shared" si="7"/>
        <v>24620</v>
      </c>
      <c r="E132" s="93">
        <f t="shared" si="6"/>
        <v>0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>
        <v>6132</v>
      </c>
      <c r="S132" s="108"/>
      <c r="T132" s="108">
        <v>3075</v>
      </c>
      <c r="U132" s="108">
        <v>1986</v>
      </c>
      <c r="V132" s="108"/>
      <c r="W132" s="108"/>
      <c r="X132" s="108"/>
      <c r="Y132" s="108">
        <v>276</v>
      </c>
      <c r="Z132" s="108"/>
      <c r="AA132" s="108"/>
      <c r="AB132" s="108">
        <v>6802</v>
      </c>
      <c r="AC132" s="108">
        <v>5064</v>
      </c>
      <c r="AD132" s="108">
        <v>1285</v>
      </c>
      <c r="AE132" s="108"/>
      <c r="AF132" s="108"/>
    </row>
    <row r="133" spans="1:32" ht="16.5" thickBot="1" x14ac:dyDescent="0.3">
      <c r="A133" s="92" t="s">
        <v>129</v>
      </c>
      <c r="B133" s="59" t="s">
        <v>307</v>
      </c>
      <c r="C133" s="115">
        <v>15671</v>
      </c>
      <c r="D133" s="114">
        <f t="shared" si="7"/>
        <v>15671</v>
      </c>
      <c r="E133" s="93">
        <f t="shared" si="6"/>
        <v>0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>
        <v>6650</v>
      </c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>
        <v>9021</v>
      </c>
      <c r="AC133" s="108"/>
      <c r="AD133" s="108"/>
      <c r="AE133" s="108"/>
      <c r="AF133" s="108"/>
    </row>
    <row r="134" spans="1:32" ht="16.5" hidden="1" thickBot="1" x14ac:dyDescent="0.3">
      <c r="A134" s="92" t="s">
        <v>130</v>
      </c>
      <c r="B134" s="59" t="s">
        <v>308</v>
      </c>
      <c r="C134" s="113"/>
      <c r="D134" s="114">
        <f t="shared" si="7"/>
        <v>0</v>
      </c>
      <c r="E134" s="93">
        <f t="shared" si="6"/>
        <v>0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</row>
    <row r="135" spans="1:32" ht="16.5" hidden="1" thickBot="1" x14ac:dyDescent="0.3">
      <c r="A135" s="92" t="s">
        <v>131</v>
      </c>
      <c r="B135" s="59" t="s">
        <v>309</v>
      </c>
      <c r="C135" s="113"/>
      <c r="D135" s="114">
        <f t="shared" si="7"/>
        <v>0</v>
      </c>
      <c r="E135" s="93">
        <f t="shared" si="6"/>
        <v>0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</row>
    <row r="136" spans="1:32" ht="16.5" hidden="1" thickBot="1" x14ac:dyDescent="0.3">
      <c r="A136" s="92" t="s">
        <v>132</v>
      </c>
      <c r="B136" s="59" t="s">
        <v>310</v>
      </c>
      <c r="C136" s="113"/>
      <c r="D136" s="114">
        <f t="shared" si="7"/>
        <v>0</v>
      </c>
      <c r="E136" s="93">
        <f t="shared" si="6"/>
        <v>0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</row>
    <row r="137" spans="1:32" ht="16.5" hidden="1" thickBot="1" x14ac:dyDescent="0.3">
      <c r="A137" s="92" t="s">
        <v>133</v>
      </c>
      <c r="B137" s="59" t="s">
        <v>311</v>
      </c>
      <c r="C137" s="113"/>
      <c r="D137" s="114">
        <f t="shared" si="7"/>
        <v>0</v>
      </c>
      <c r="E137" s="93">
        <f t="shared" si="6"/>
        <v>0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</row>
    <row r="138" spans="1:32" ht="16.5" hidden="1" thickBot="1" x14ac:dyDescent="0.3">
      <c r="A138" s="92" t="s">
        <v>134</v>
      </c>
      <c r="B138" s="59" t="s">
        <v>312</v>
      </c>
      <c r="C138" s="113"/>
      <c r="D138" s="114">
        <f t="shared" si="7"/>
        <v>0</v>
      </c>
      <c r="E138" s="93">
        <f t="shared" si="6"/>
        <v>0</v>
      </c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</row>
    <row r="139" spans="1:32" ht="16.5" hidden="1" thickBot="1" x14ac:dyDescent="0.3">
      <c r="A139" s="92" t="s">
        <v>135</v>
      </c>
      <c r="B139" s="59" t="s">
        <v>313</v>
      </c>
      <c r="C139" s="113"/>
      <c r="D139" s="114">
        <f t="shared" si="7"/>
        <v>0</v>
      </c>
      <c r="E139" s="93">
        <f t="shared" si="6"/>
        <v>0</v>
      </c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1:32" ht="16.5" hidden="1" thickBot="1" x14ac:dyDescent="0.3">
      <c r="A140" s="92" t="s">
        <v>136</v>
      </c>
      <c r="B140" s="59" t="s">
        <v>314</v>
      </c>
      <c r="C140" s="113"/>
      <c r="D140" s="114">
        <f t="shared" ref="D140:D154" si="8">SUM(F140:AF140)</f>
        <v>0</v>
      </c>
      <c r="E140" s="93">
        <f t="shared" si="6"/>
        <v>0</v>
      </c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1:32" ht="16.5" hidden="1" thickBot="1" x14ac:dyDescent="0.3">
      <c r="A141" s="92" t="s">
        <v>137</v>
      </c>
      <c r="B141" s="59" t="s">
        <v>315</v>
      </c>
      <c r="C141" s="113"/>
      <c r="D141" s="114">
        <f t="shared" si="8"/>
        <v>0</v>
      </c>
      <c r="E141" s="93">
        <f t="shared" si="6"/>
        <v>0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2" spans="1:32" ht="16.5" hidden="1" thickBot="1" x14ac:dyDescent="0.3">
      <c r="A142" s="92" t="s">
        <v>138</v>
      </c>
      <c r="B142" s="59" t="s">
        <v>316</v>
      </c>
      <c r="C142" s="113"/>
      <c r="D142" s="114">
        <f t="shared" si="8"/>
        <v>0</v>
      </c>
      <c r="E142" s="93">
        <f t="shared" si="6"/>
        <v>0</v>
      </c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</row>
    <row r="143" spans="1:32" ht="16.5" hidden="1" thickBot="1" x14ac:dyDescent="0.3">
      <c r="A143" s="92" t="s">
        <v>139</v>
      </c>
      <c r="B143" s="59" t="s">
        <v>317</v>
      </c>
      <c r="C143" s="113"/>
      <c r="D143" s="114">
        <f t="shared" si="8"/>
        <v>0</v>
      </c>
      <c r="E143" s="93">
        <f t="shared" si="6"/>
        <v>0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</row>
    <row r="144" spans="1:32" ht="16.5" hidden="1" thickBot="1" x14ac:dyDescent="0.3">
      <c r="A144" s="92" t="s">
        <v>140</v>
      </c>
      <c r="B144" s="59" t="s">
        <v>318</v>
      </c>
      <c r="C144" s="113"/>
      <c r="D144" s="114">
        <f t="shared" si="8"/>
        <v>0</v>
      </c>
      <c r="E144" s="93">
        <f t="shared" si="6"/>
        <v>0</v>
      </c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6.5" hidden="1" thickBot="1" x14ac:dyDescent="0.3">
      <c r="A145" s="92" t="s">
        <v>141</v>
      </c>
      <c r="B145" s="59" t="s">
        <v>319</v>
      </c>
      <c r="C145" s="113"/>
      <c r="D145" s="114">
        <f t="shared" si="8"/>
        <v>0</v>
      </c>
      <c r="E145" s="93">
        <f t="shared" si="6"/>
        <v>0</v>
      </c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</row>
    <row r="146" spans="1:32" ht="16.5" thickBot="1" x14ac:dyDescent="0.3">
      <c r="A146" s="92" t="s">
        <v>142</v>
      </c>
      <c r="B146" s="59" t="s">
        <v>320</v>
      </c>
      <c r="C146" s="115">
        <v>29476</v>
      </c>
      <c r="D146" s="114">
        <f t="shared" si="8"/>
        <v>29476</v>
      </c>
      <c r="E146" s="93">
        <f t="shared" si="6"/>
        <v>0</v>
      </c>
      <c r="F146" s="108"/>
      <c r="G146" s="108"/>
      <c r="H146" s="108"/>
      <c r="I146" s="108"/>
      <c r="J146" s="108"/>
      <c r="K146" s="108"/>
      <c r="L146" s="108">
        <v>2039</v>
      </c>
      <c r="M146" s="108"/>
      <c r="N146" s="108">
        <f>9122-7747</f>
        <v>1375</v>
      </c>
      <c r="O146" s="108"/>
      <c r="P146" s="108">
        <v>1811</v>
      </c>
      <c r="Q146" s="108">
        <v>3494</v>
      </c>
      <c r="R146" s="108"/>
      <c r="S146" s="108">
        <f>99+3168</f>
        <v>3267</v>
      </c>
      <c r="T146" s="108">
        <v>17490</v>
      </c>
      <c r="U146" s="108">
        <v>-17490</v>
      </c>
      <c r="V146" s="108"/>
      <c r="W146" s="108">
        <f>3894+13596</f>
        <v>17490</v>
      </c>
      <c r="X146" s="108"/>
      <c r="Y146" s="108"/>
      <c r="Z146" s="108"/>
      <c r="AA146" s="108"/>
      <c r="AB146" s="108"/>
      <c r="AC146" s="108"/>
      <c r="AD146" s="108"/>
      <c r="AE146" s="108"/>
      <c r="AF146" s="108"/>
    </row>
    <row r="147" spans="1:32" ht="16.5" hidden="1" thickBot="1" x14ac:dyDescent="0.3">
      <c r="A147" s="92" t="s">
        <v>143</v>
      </c>
      <c r="B147" s="59" t="s">
        <v>321</v>
      </c>
      <c r="C147" s="113"/>
      <c r="D147" s="114">
        <f t="shared" si="8"/>
        <v>0</v>
      </c>
      <c r="E147" s="93">
        <f t="shared" si="6"/>
        <v>0</v>
      </c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</row>
    <row r="148" spans="1:32" ht="16.5" hidden="1" thickBot="1" x14ac:dyDescent="0.3">
      <c r="A148" s="92" t="s">
        <v>144</v>
      </c>
      <c r="B148" s="59" t="s">
        <v>322</v>
      </c>
      <c r="C148" s="113"/>
      <c r="D148" s="114">
        <f t="shared" si="8"/>
        <v>0</v>
      </c>
      <c r="E148" s="93">
        <f t="shared" si="6"/>
        <v>0</v>
      </c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</row>
    <row r="149" spans="1:32" ht="16.5" hidden="1" thickBot="1" x14ac:dyDescent="0.3">
      <c r="A149" s="92" t="s">
        <v>145</v>
      </c>
      <c r="B149" s="59" t="s">
        <v>323</v>
      </c>
      <c r="C149" s="113"/>
      <c r="D149" s="114">
        <f t="shared" si="8"/>
        <v>0</v>
      </c>
      <c r="E149" s="93">
        <f t="shared" si="6"/>
        <v>0</v>
      </c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</row>
    <row r="150" spans="1:32" ht="16.5" hidden="1" thickBot="1" x14ac:dyDescent="0.3">
      <c r="A150" s="92" t="s">
        <v>146</v>
      </c>
      <c r="B150" s="59" t="s">
        <v>324</v>
      </c>
      <c r="C150" s="113"/>
      <c r="D150" s="114">
        <f t="shared" si="8"/>
        <v>0</v>
      </c>
      <c r="E150" s="93">
        <f t="shared" si="6"/>
        <v>0</v>
      </c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</row>
    <row r="151" spans="1:32" ht="16.5" hidden="1" thickBot="1" x14ac:dyDescent="0.3">
      <c r="A151" s="92" t="s">
        <v>147</v>
      </c>
      <c r="B151" s="59" t="s">
        <v>325</v>
      </c>
      <c r="C151" s="113"/>
      <c r="D151" s="114">
        <f t="shared" si="8"/>
        <v>0</v>
      </c>
      <c r="E151" s="93">
        <f>C151-D151</f>
        <v>0</v>
      </c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</row>
    <row r="152" spans="1:32" ht="16.5" hidden="1" thickBot="1" x14ac:dyDescent="0.3">
      <c r="A152" s="92" t="s">
        <v>148</v>
      </c>
      <c r="B152" s="59" t="s">
        <v>326</v>
      </c>
      <c r="C152" s="113"/>
      <c r="D152" s="114">
        <f t="shared" si="8"/>
        <v>0</v>
      </c>
      <c r="E152" s="93">
        <f>C152-D152</f>
        <v>0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6.5" hidden="1" thickBot="1" x14ac:dyDescent="0.3">
      <c r="A153" s="92" t="s">
        <v>149</v>
      </c>
      <c r="B153" s="59" t="s">
        <v>327</v>
      </c>
      <c r="C153" s="113"/>
      <c r="D153" s="114">
        <f t="shared" si="8"/>
        <v>0</v>
      </c>
      <c r="E153" s="93">
        <f>C153-D153</f>
        <v>0</v>
      </c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</row>
    <row r="154" spans="1:32" ht="16.5" thickBot="1" x14ac:dyDescent="0.3">
      <c r="A154" s="92" t="s">
        <v>150</v>
      </c>
      <c r="B154" s="59" t="s">
        <v>328</v>
      </c>
      <c r="C154" s="115">
        <v>22050</v>
      </c>
      <c r="D154" s="114">
        <f t="shared" si="8"/>
        <v>22050</v>
      </c>
      <c r="E154" s="93">
        <f>C154-D154</f>
        <v>0</v>
      </c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>
        <v>398</v>
      </c>
      <c r="T154" s="108"/>
      <c r="U154" s="108"/>
      <c r="V154" s="108"/>
      <c r="W154" s="108">
        <v>2523</v>
      </c>
      <c r="X154" s="108">
        <v>727</v>
      </c>
      <c r="Y154" s="108">
        <v>336</v>
      </c>
      <c r="Z154" s="108">
        <v>1650</v>
      </c>
      <c r="AA154" s="108">
        <v>732</v>
      </c>
      <c r="AB154" s="108">
        <v>1398</v>
      </c>
      <c r="AC154" s="108">
        <f>335+8076</f>
        <v>8411</v>
      </c>
      <c r="AD154" s="108"/>
      <c r="AE154" s="108">
        <v>334</v>
      </c>
      <c r="AF154" s="108">
        <v>5541</v>
      </c>
    </row>
    <row r="155" spans="1:32" ht="16.5" hidden="1" thickBot="1" x14ac:dyDescent="0.3">
      <c r="A155" s="92" t="s">
        <v>151</v>
      </c>
      <c r="B155" s="59" t="s">
        <v>329</v>
      </c>
      <c r="C155" s="115"/>
      <c r="D155" s="114">
        <f t="shared" ref="D155:D192" si="9">SUM(F155:AF155)</f>
        <v>0</v>
      </c>
      <c r="E155" s="93">
        <f t="shared" ref="E155:E192" si="10">C155-D155</f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6.5" hidden="1" thickBot="1" x14ac:dyDescent="0.3">
      <c r="A156" s="92" t="s">
        <v>152</v>
      </c>
      <c r="B156" s="59" t="s">
        <v>330</v>
      </c>
      <c r="C156" s="115"/>
      <c r="D156" s="114">
        <f t="shared" si="9"/>
        <v>0</v>
      </c>
      <c r="E156" s="93">
        <f t="shared" si="10"/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6.5" hidden="1" thickBot="1" x14ac:dyDescent="0.3">
      <c r="A157" s="92" t="s">
        <v>153</v>
      </c>
      <c r="B157" s="59" t="s">
        <v>331</v>
      </c>
      <c r="C157" s="115"/>
      <c r="D157" s="114">
        <f t="shared" si="9"/>
        <v>0</v>
      </c>
      <c r="E157" s="93">
        <f t="shared" si="10"/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6.5" hidden="1" thickBot="1" x14ac:dyDescent="0.3">
      <c r="A158" s="92" t="s">
        <v>154</v>
      </c>
      <c r="B158" s="59" t="s">
        <v>332</v>
      </c>
      <c r="C158" s="115"/>
      <c r="D158" s="114">
        <f t="shared" si="9"/>
        <v>0</v>
      </c>
      <c r="E158" s="93">
        <f t="shared" si="10"/>
        <v>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6.5" hidden="1" thickBot="1" x14ac:dyDescent="0.3">
      <c r="A159" s="92" t="s">
        <v>155</v>
      </c>
      <c r="B159" s="59" t="s">
        <v>333</v>
      </c>
      <c r="C159" s="115"/>
      <c r="D159" s="114">
        <f t="shared" si="9"/>
        <v>0</v>
      </c>
      <c r="E159" s="93">
        <f t="shared" si="10"/>
        <v>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6.5" hidden="1" thickBot="1" x14ac:dyDescent="0.3">
      <c r="A160" s="92" t="s">
        <v>156</v>
      </c>
      <c r="B160" s="59" t="s">
        <v>334</v>
      </c>
      <c r="C160" s="115"/>
      <c r="D160" s="114">
        <f t="shared" si="9"/>
        <v>0</v>
      </c>
      <c r="E160" s="93">
        <f t="shared" si="10"/>
        <v>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6.5" hidden="1" thickBot="1" x14ac:dyDescent="0.3">
      <c r="A161" s="92" t="s">
        <v>157</v>
      </c>
      <c r="B161" s="59" t="s">
        <v>335</v>
      </c>
      <c r="C161" s="115"/>
      <c r="D161" s="114">
        <f t="shared" si="9"/>
        <v>0</v>
      </c>
      <c r="E161" s="93">
        <f t="shared" si="10"/>
        <v>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6.5" hidden="1" thickBot="1" x14ac:dyDescent="0.3">
      <c r="A162" s="92" t="s">
        <v>158</v>
      </c>
      <c r="B162" s="59" t="s">
        <v>336</v>
      </c>
      <c r="C162" s="115"/>
      <c r="D162" s="114">
        <f t="shared" si="9"/>
        <v>0</v>
      </c>
      <c r="E162" s="93">
        <f t="shared" si="10"/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6.5" hidden="1" thickBot="1" x14ac:dyDescent="0.3">
      <c r="A163" s="92" t="s">
        <v>159</v>
      </c>
      <c r="B163" s="59" t="s">
        <v>337</v>
      </c>
      <c r="C163" s="115"/>
      <c r="D163" s="114">
        <f t="shared" si="9"/>
        <v>0</v>
      </c>
      <c r="E163" s="93">
        <f t="shared" si="10"/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6.5" hidden="1" thickBot="1" x14ac:dyDescent="0.3">
      <c r="A164" s="92" t="s">
        <v>160</v>
      </c>
      <c r="B164" s="59" t="s">
        <v>338</v>
      </c>
      <c r="C164" s="115"/>
      <c r="D164" s="114">
        <f t="shared" si="9"/>
        <v>0</v>
      </c>
      <c r="E164" s="93">
        <f t="shared" si="10"/>
        <v>0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6.5" hidden="1" thickBot="1" x14ac:dyDescent="0.3">
      <c r="A165" s="92" t="s">
        <v>161</v>
      </c>
      <c r="B165" s="59" t="s">
        <v>339</v>
      </c>
      <c r="C165" s="115"/>
      <c r="D165" s="114">
        <f t="shared" si="9"/>
        <v>0</v>
      </c>
      <c r="E165" s="93">
        <f t="shared" si="10"/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6.5" hidden="1" thickBot="1" x14ac:dyDescent="0.3">
      <c r="A166" s="92" t="s">
        <v>162</v>
      </c>
      <c r="B166" s="59" t="s">
        <v>340</v>
      </c>
      <c r="C166" s="115"/>
      <c r="D166" s="114">
        <f t="shared" si="9"/>
        <v>0</v>
      </c>
      <c r="E166" s="93">
        <f t="shared" si="10"/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6.5" hidden="1" thickBot="1" x14ac:dyDescent="0.3">
      <c r="A167" s="92" t="s">
        <v>163</v>
      </c>
      <c r="B167" s="59" t="s">
        <v>341</v>
      </c>
      <c r="C167" s="115"/>
      <c r="D167" s="114">
        <f t="shared" si="9"/>
        <v>0</v>
      </c>
      <c r="E167" s="93">
        <f t="shared" si="10"/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6.5" hidden="1" thickBot="1" x14ac:dyDescent="0.3">
      <c r="A168" s="92" t="s">
        <v>164</v>
      </c>
      <c r="B168" s="59" t="s">
        <v>342</v>
      </c>
      <c r="C168" s="115"/>
      <c r="D168" s="114">
        <f t="shared" si="9"/>
        <v>0</v>
      </c>
      <c r="E168" s="93">
        <f t="shared" si="10"/>
        <v>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6.5" hidden="1" thickBot="1" x14ac:dyDescent="0.3">
      <c r="A169" s="92" t="s">
        <v>165</v>
      </c>
      <c r="B169" s="59" t="s">
        <v>343</v>
      </c>
      <c r="C169" s="115"/>
      <c r="D169" s="114">
        <f t="shared" si="9"/>
        <v>0</v>
      </c>
      <c r="E169" s="93">
        <f t="shared" si="10"/>
        <v>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6.5" hidden="1" thickBot="1" x14ac:dyDescent="0.3">
      <c r="A170" s="92" t="s">
        <v>166</v>
      </c>
      <c r="B170" s="59" t="s">
        <v>344</v>
      </c>
      <c r="C170" s="115"/>
      <c r="D170" s="114">
        <f t="shared" si="9"/>
        <v>0</v>
      </c>
      <c r="E170" s="93">
        <f t="shared" si="10"/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6.5" hidden="1" thickBot="1" x14ac:dyDescent="0.3">
      <c r="A171" s="92" t="s">
        <v>167</v>
      </c>
      <c r="B171" s="59" t="s">
        <v>345</v>
      </c>
      <c r="C171" s="115"/>
      <c r="D171" s="114">
        <f t="shared" si="9"/>
        <v>0</v>
      </c>
      <c r="E171" s="93">
        <f t="shared" si="10"/>
        <v>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6.5" hidden="1" thickBot="1" x14ac:dyDescent="0.3">
      <c r="A172" s="92" t="s">
        <v>168</v>
      </c>
      <c r="B172" s="59" t="s">
        <v>346</v>
      </c>
      <c r="C172" s="115"/>
      <c r="D172" s="114">
        <f t="shared" si="9"/>
        <v>0</v>
      </c>
      <c r="E172" s="93">
        <f t="shared" si="10"/>
        <v>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6.5" hidden="1" thickBot="1" x14ac:dyDescent="0.3">
      <c r="A173" s="92" t="s">
        <v>169</v>
      </c>
      <c r="B173" s="59" t="s">
        <v>347</v>
      </c>
      <c r="C173" s="115"/>
      <c r="D173" s="114">
        <f t="shared" si="9"/>
        <v>0</v>
      </c>
      <c r="E173" s="93">
        <f t="shared" si="10"/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6.5" hidden="1" thickBot="1" x14ac:dyDescent="0.3">
      <c r="A174" s="92" t="s">
        <v>170</v>
      </c>
      <c r="B174" s="59" t="s">
        <v>348</v>
      </c>
      <c r="C174" s="115"/>
      <c r="D174" s="114">
        <f t="shared" si="9"/>
        <v>0</v>
      </c>
      <c r="E174" s="93">
        <f t="shared" si="10"/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6.5" hidden="1" thickBot="1" x14ac:dyDescent="0.3">
      <c r="A175" s="92" t="s">
        <v>171</v>
      </c>
      <c r="B175" s="59" t="s">
        <v>349</v>
      </c>
      <c r="C175" s="115"/>
      <c r="D175" s="114">
        <f t="shared" si="9"/>
        <v>0</v>
      </c>
      <c r="E175" s="93">
        <f t="shared" si="10"/>
        <v>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6.5" hidden="1" thickBot="1" x14ac:dyDescent="0.3">
      <c r="A176" s="92" t="s">
        <v>172</v>
      </c>
      <c r="B176" s="59" t="s">
        <v>350</v>
      </c>
      <c r="C176" s="115"/>
      <c r="D176" s="114">
        <f t="shared" si="9"/>
        <v>0</v>
      </c>
      <c r="E176" s="93">
        <f t="shared" si="10"/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6.5" hidden="1" thickBot="1" x14ac:dyDescent="0.3">
      <c r="A177" s="92" t="s">
        <v>173</v>
      </c>
      <c r="B177" s="59" t="s">
        <v>351</v>
      </c>
      <c r="C177" s="115"/>
      <c r="D177" s="114">
        <f t="shared" si="9"/>
        <v>0</v>
      </c>
      <c r="E177" s="93">
        <f t="shared" si="10"/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6.5" hidden="1" thickBot="1" x14ac:dyDescent="0.3">
      <c r="A178" s="92" t="s">
        <v>174</v>
      </c>
      <c r="B178" s="59" t="s">
        <v>352</v>
      </c>
      <c r="C178" s="115"/>
      <c r="D178" s="114">
        <f t="shared" si="9"/>
        <v>0</v>
      </c>
      <c r="E178" s="93">
        <f t="shared" si="10"/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6.5" hidden="1" thickBot="1" x14ac:dyDescent="0.3">
      <c r="A179" s="92" t="s">
        <v>175</v>
      </c>
      <c r="B179" s="59" t="s">
        <v>353</v>
      </c>
      <c r="C179" s="115"/>
      <c r="D179" s="114">
        <f t="shared" si="9"/>
        <v>0</v>
      </c>
      <c r="E179" s="93">
        <f t="shared" si="10"/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6.5" hidden="1" thickBot="1" x14ac:dyDescent="0.3">
      <c r="A180" s="92" t="s">
        <v>176</v>
      </c>
      <c r="B180" s="59" t="s">
        <v>354</v>
      </c>
      <c r="C180" s="115"/>
      <c r="D180" s="114">
        <f t="shared" si="9"/>
        <v>0</v>
      </c>
      <c r="E180" s="93">
        <f t="shared" si="10"/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6.5" hidden="1" thickBot="1" x14ac:dyDescent="0.3">
      <c r="A181" s="92" t="s">
        <v>177</v>
      </c>
      <c r="B181" s="59" t="s">
        <v>355</v>
      </c>
      <c r="C181" s="115"/>
      <c r="D181" s="114">
        <f t="shared" si="9"/>
        <v>0</v>
      </c>
      <c r="E181" s="93">
        <f t="shared" si="10"/>
        <v>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6.5" hidden="1" thickBot="1" x14ac:dyDescent="0.3">
      <c r="A182" s="92" t="s">
        <v>178</v>
      </c>
      <c r="B182" s="59" t="s">
        <v>356</v>
      </c>
      <c r="C182" s="115"/>
      <c r="D182" s="114">
        <f t="shared" si="9"/>
        <v>0</v>
      </c>
      <c r="E182" s="93">
        <f t="shared" si="10"/>
        <v>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6.5" hidden="1" thickBot="1" x14ac:dyDescent="0.3">
      <c r="A183" s="92" t="s">
        <v>179</v>
      </c>
      <c r="B183" s="59" t="s">
        <v>357</v>
      </c>
      <c r="C183" s="115"/>
      <c r="D183" s="114">
        <f t="shared" si="9"/>
        <v>0</v>
      </c>
      <c r="E183" s="93">
        <f t="shared" si="10"/>
        <v>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6.5" hidden="1" thickBot="1" x14ac:dyDescent="0.3">
      <c r="A184" s="92" t="s">
        <v>180</v>
      </c>
      <c r="B184" s="59" t="s">
        <v>358</v>
      </c>
      <c r="C184" s="115"/>
      <c r="D184" s="114">
        <f t="shared" si="9"/>
        <v>0</v>
      </c>
      <c r="E184" s="93">
        <f t="shared" si="10"/>
        <v>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6.5" hidden="1" thickBot="1" x14ac:dyDescent="0.3">
      <c r="A185" s="92" t="s">
        <v>181</v>
      </c>
      <c r="B185" s="59" t="s">
        <v>359</v>
      </c>
      <c r="C185" s="115"/>
      <c r="D185" s="114">
        <f t="shared" si="9"/>
        <v>0</v>
      </c>
      <c r="E185" s="93">
        <f t="shared" si="10"/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6.5" hidden="1" thickBot="1" x14ac:dyDescent="0.3">
      <c r="A186" s="92" t="s">
        <v>182</v>
      </c>
      <c r="B186" s="59" t="s">
        <v>360</v>
      </c>
      <c r="C186" s="115"/>
      <c r="D186" s="114">
        <f t="shared" si="9"/>
        <v>0</v>
      </c>
      <c r="E186" s="93">
        <f t="shared" si="10"/>
        <v>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6.5" hidden="1" thickBot="1" x14ac:dyDescent="0.3">
      <c r="A187" s="92" t="s">
        <v>183</v>
      </c>
      <c r="B187" s="59" t="s">
        <v>361</v>
      </c>
      <c r="C187" s="115"/>
      <c r="D187" s="114">
        <f t="shared" si="9"/>
        <v>0</v>
      </c>
      <c r="E187" s="93">
        <f t="shared" si="10"/>
        <v>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6.5" hidden="1" thickBot="1" x14ac:dyDescent="0.3">
      <c r="A188" s="92" t="s">
        <v>184</v>
      </c>
      <c r="B188" s="59" t="s">
        <v>362</v>
      </c>
      <c r="C188" s="115"/>
      <c r="D188" s="114">
        <f t="shared" si="9"/>
        <v>0</v>
      </c>
      <c r="E188" s="93">
        <f t="shared" si="10"/>
        <v>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6.5" hidden="1" thickBot="1" x14ac:dyDescent="0.3">
      <c r="A189" s="92" t="s">
        <v>185</v>
      </c>
      <c r="B189" s="59" t="s">
        <v>363</v>
      </c>
      <c r="C189" s="115"/>
      <c r="D189" s="114">
        <f t="shared" si="9"/>
        <v>0</v>
      </c>
      <c r="E189" s="93">
        <f t="shared" si="10"/>
        <v>0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6.5" hidden="1" thickBot="1" x14ac:dyDescent="0.3">
      <c r="A190" s="92" t="s">
        <v>186</v>
      </c>
      <c r="B190" s="59" t="s">
        <v>364</v>
      </c>
      <c r="C190" s="115"/>
      <c r="D190" s="114">
        <f t="shared" si="9"/>
        <v>0</v>
      </c>
      <c r="E190" s="93">
        <f t="shared" si="10"/>
        <v>0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6.5" hidden="1" thickBot="1" x14ac:dyDescent="0.3">
      <c r="A191" s="92" t="s">
        <v>368</v>
      </c>
      <c r="B191" s="59" t="s">
        <v>367</v>
      </c>
      <c r="C191" s="115"/>
      <c r="D191" s="114">
        <f t="shared" si="9"/>
        <v>0</v>
      </c>
      <c r="E191" s="93">
        <f t="shared" si="10"/>
        <v>0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6.5" hidden="1" thickBot="1" x14ac:dyDescent="0.3">
      <c r="A192" s="103">
        <v>8001</v>
      </c>
      <c r="B192" s="59" t="s">
        <v>366</v>
      </c>
      <c r="C192" s="115"/>
      <c r="D192" s="114">
        <f t="shared" si="9"/>
        <v>0</v>
      </c>
      <c r="E192" s="93">
        <f t="shared" si="10"/>
        <v>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s="20" customFormat="1" ht="16.5" thickBot="1" x14ac:dyDescent="0.3">
      <c r="A193" s="63"/>
      <c r="B193" s="59"/>
      <c r="C193" s="59"/>
      <c r="D193" s="59"/>
      <c r="E193" s="5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s="207" customFormat="1" ht="16.5" thickBot="1" x14ac:dyDescent="0.3">
      <c r="A194" s="208"/>
      <c r="B194" s="186"/>
      <c r="C194" s="187">
        <f>SUM(C20:C193)</f>
        <v>598290</v>
      </c>
      <c r="D194" s="187">
        <f t="shared" ref="D194:E194" si="11">SUM(D20:D193)</f>
        <v>593141</v>
      </c>
      <c r="E194" s="187">
        <f t="shared" si="11"/>
        <v>5149</v>
      </c>
      <c r="F194" s="202">
        <f>SUM(F20:F193)</f>
        <v>0</v>
      </c>
      <c r="G194" s="202">
        <f t="shared" ref="G194:AF194" si="12">SUM(G20:G193)</f>
        <v>0</v>
      </c>
      <c r="H194" s="202">
        <f t="shared" si="12"/>
        <v>0</v>
      </c>
      <c r="I194" s="202">
        <f t="shared" si="12"/>
        <v>6137</v>
      </c>
      <c r="J194" s="202">
        <f t="shared" si="12"/>
        <v>29265</v>
      </c>
      <c r="K194" s="202">
        <f t="shared" si="12"/>
        <v>9405</v>
      </c>
      <c r="L194" s="202">
        <f t="shared" si="12"/>
        <v>16694</v>
      </c>
      <c r="M194" s="202">
        <f t="shared" si="12"/>
        <v>20798</v>
      </c>
      <c r="N194" s="202">
        <f t="shared" si="12"/>
        <v>23231</v>
      </c>
      <c r="O194" s="202">
        <f t="shared" si="12"/>
        <v>34525</v>
      </c>
      <c r="P194" s="202">
        <f t="shared" si="12"/>
        <v>60561</v>
      </c>
      <c r="Q194" s="202">
        <f t="shared" si="12"/>
        <v>39240</v>
      </c>
      <c r="R194" s="202">
        <f t="shared" si="12"/>
        <v>47361</v>
      </c>
      <c r="S194" s="202">
        <f t="shared" si="12"/>
        <v>57121</v>
      </c>
      <c r="T194" s="202">
        <f t="shared" si="12"/>
        <v>31813</v>
      </c>
      <c r="U194" s="202">
        <f t="shared" si="12"/>
        <v>-2204</v>
      </c>
      <c r="V194" s="202">
        <f t="shared" si="12"/>
        <v>33741</v>
      </c>
      <c r="W194" s="202">
        <f t="shared" si="12"/>
        <v>42613</v>
      </c>
      <c r="X194" s="202">
        <f t="shared" si="12"/>
        <v>39536</v>
      </c>
      <c r="Y194" s="202">
        <f t="shared" si="12"/>
        <v>11725</v>
      </c>
      <c r="Z194" s="202">
        <f t="shared" si="12"/>
        <v>7495</v>
      </c>
      <c r="AA194" s="202">
        <f t="shared" si="12"/>
        <v>22491</v>
      </c>
      <c r="AB194" s="202">
        <f t="shared" si="12"/>
        <v>17221</v>
      </c>
      <c r="AC194" s="202">
        <f t="shared" si="12"/>
        <v>28603</v>
      </c>
      <c r="AD194" s="202">
        <f t="shared" si="12"/>
        <v>1285</v>
      </c>
      <c r="AE194" s="202">
        <f t="shared" si="12"/>
        <v>334</v>
      </c>
      <c r="AF194" s="202">
        <f t="shared" si="12"/>
        <v>14150</v>
      </c>
    </row>
    <row r="195" spans="1:32" x14ac:dyDescent="0.25">
      <c r="I195" s="20"/>
    </row>
    <row r="196" spans="1:32" x14ac:dyDescent="0.25">
      <c r="U196" s="289"/>
      <c r="AC196" s="289"/>
    </row>
    <row r="198" spans="1:32" x14ac:dyDescent="0.25">
      <c r="T198" s="289"/>
    </row>
  </sheetData>
  <sheetProtection password="EF32" sheet="1" objects="1" scenarios="1"/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M229"/>
  <sheetViews>
    <sheetView zoomScaleNormal="100" workbookViewId="0">
      <pane xSplit="7" ySplit="13" topLeftCell="AA182" activePane="bottomRight" state="frozen"/>
      <selection pane="topRight" activeCell="H1" sqref="H1"/>
      <selection pane="bottomLeft" activeCell="A13" sqref="A13"/>
      <selection pane="bottomRight" activeCell="F200" sqref="F200"/>
    </sheetView>
  </sheetViews>
  <sheetFormatPr defaultColWidth="9.140625" defaultRowHeight="15" x14ac:dyDescent="0.25"/>
  <cols>
    <col min="1" max="1" width="9.140625" style="21"/>
    <col min="2" max="2" width="25.85546875" style="21" customWidth="1"/>
    <col min="3" max="3" width="18.5703125" style="21" customWidth="1"/>
    <col min="4" max="4" width="18.28515625" style="21" customWidth="1"/>
    <col min="5" max="5" width="12.42578125" style="21" customWidth="1"/>
    <col min="6" max="6" width="15.7109375" style="21" customWidth="1"/>
    <col min="7" max="7" width="17.5703125" style="21" bestFit="1" customWidth="1"/>
    <col min="8" max="34" width="15.7109375" style="21" customWidth="1"/>
    <col min="35" max="16384" width="9.140625" style="21"/>
  </cols>
  <sheetData>
    <row r="1" spans="1:39" s="244" customFormat="1" ht="21" x14ac:dyDescent="0.35">
      <c r="A1" s="245" t="s">
        <v>0</v>
      </c>
      <c r="B1" s="246"/>
      <c r="C1" s="247" t="s">
        <v>8</v>
      </c>
      <c r="D1" s="247"/>
      <c r="E1" s="247"/>
      <c r="F1" s="245"/>
      <c r="G1" s="245"/>
      <c r="H1" s="248"/>
      <c r="I1" s="248"/>
      <c r="J1" s="247" t="str">
        <f>A1</f>
        <v>Grant:</v>
      </c>
      <c r="K1" s="247" t="str">
        <f>C1</f>
        <v>Title I-A Formula</v>
      </c>
      <c r="L1" s="245"/>
      <c r="M1" s="245"/>
      <c r="N1" s="245"/>
      <c r="O1" s="245"/>
      <c r="P1" s="248"/>
      <c r="Q1" s="248"/>
      <c r="R1" s="247" t="s">
        <v>0</v>
      </c>
      <c r="S1" s="247" t="s">
        <v>8</v>
      </c>
      <c r="T1" s="245"/>
      <c r="U1" s="245"/>
      <c r="V1" s="245"/>
      <c r="W1" s="245"/>
      <c r="X1" s="248"/>
      <c r="Y1" s="248"/>
      <c r="Z1" s="247" t="s">
        <v>0</v>
      </c>
      <c r="AA1" s="247" t="s">
        <v>8</v>
      </c>
      <c r="AB1" s="245"/>
      <c r="AC1" s="245"/>
      <c r="AD1" s="245"/>
      <c r="AE1" s="245"/>
      <c r="AF1" s="248"/>
      <c r="AG1" s="248"/>
      <c r="AH1" s="247"/>
    </row>
    <row r="2" spans="1:39" s="244" customFormat="1" ht="15.75" x14ac:dyDescent="0.25">
      <c r="A2" s="249" t="s">
        <v>1</v>
      </c>
      <c r="B2" s="246"/>
      <c r="C2" s="250" t="s">
        <v>369</v>
      </c>
      <c r="D2" s="250"/>
      <c r="E2" s="250"/>
      <c r="F2" s="249"/>
      <c r="G2" s="249"/>
      <c r="H2" s="248"/>
      <c r="I2" s="248"/>
      <c r="J2" s="249" t="s">
        <v>2</v>
      </c>
      <c r="K2" s="249"/>
      <c r="L2" s="251" t="str">
        <f>$C$4</f>
        <v>2012-13</v>
      </c>
      <c r="M2" s="251"/>
      <c r="N2" s="249"/>
      <c r="O2" s="249"/>
      <c r="P2" s="249"/>
      <c r="Q2" s="249"/>
      <c r="R2" s="249" t="s">
        <v>2</v>
      </c>
      <c r="S2" s="249"/>
      <c r="T2" s="251" t="str">
        <f>$C$4</f>
        <v>2012-13</v>
      </c>
      <c r="U2" s="251"/>
      <c r="V2" s="249"/>
      <c r="W2" s="249"/>
      <c r="X2" s="249"/>
      <c r="Y2" s="249"/>
      <c r="Z2" s="249" t="s">
        <v>2</v>
      </c>
      <c r="AA2" s="249"/>
      <c r="AB2" s="251" t="str">
        <f>$C$4</f>
        <v>2012-13</v>
      </c>
      <c r="AC2" s="251"/>
      <c r="AD2" s="249"/>
      <c r="AE2" s="249"/>
      <c r="AF2" s="249"/>
      <c r="AG2" s="249"/>
      <c r="AH2" s="249"/>
    </row>
    <row r="3" spans="1:39" s="244" customFormat="1" ht="15.75" x14ac:dyDescent="0.25">
      <c r="A3" s="249" t="s">
        <v>4</v>
      </c>
      <c r="B3" s="246"/>
      <c r="C3" s="251">
        <v>4010</v>
      </c>
      <c r="D3" s="251"/>
      <c r="E3" s="251"/>
      <c r="F3" s="249"/>
      <c r="G3" s="249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</row>
    <row r="4" spans="1:39" s="244" customFormat="1" ht="21" x14ac:dyDescent="0.35">
      <c r="A4" s="249" t="s">
        <v>2</v>
      </c>
      <c r="B4" s="246"/>
      <c r="C4" s="247" t="s">
        <v>466</v>
      </c>
      <c r="D4" s="251"/>
      <c r="E4" s="251"/>
      <c r="F4" s="249"/>
      <c r="G4" s="249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</row>
    <row r="5" spans="1:39" s="244" customFormat="1" ht="15.75" x14ac:dyDescent="0.25">
      <c r="A5" s="249" t="s">
        <v>457</v>
      </c>
      <c r="B5" s="246"/>
      <c r="C5" s="249" t="s">
        <v>496</v>
      </c>
      <c r="D5" s="249"/>
      <c r="E5" s="249"/>
      <c r="F5" s="249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</row>
    <row r="6" spans="1:39" s="244" customFormat="1" ht="15.75" x14ac:dyDescent="0.25">
      <c r="A6" s="249" t="s">
        <v>6</v>
      </c>
      <c r="B6" s="246"/>
      <c r="C6" s="249" t="s">
        <v>370</v>
      </c>
      <c r="D6" s="249"/>
      <c r="E6" s="249"/>
      <c r="F6" s="249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</row>
    <row r="7" spans="1:39" s="244" customFormat="1" ht="15.75" x14ac:dyDescent="0.25">
      <c r="A7" s="249"/>
      <c r="B7" s="246"/>
      <c r="C7" s="249" t="s">
        <v>497</v>
      </c>
      <c r="D7" s="249"/>
      <c r="E7" s="249"/>
      <c r="F7" s="249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</row>
    <row r="8" spans="1:39" s="244" customFormat="1" ht="15.75" x14ac:dyDescent="0.25">
      <c r="A8" s="249"/>
      <c r="B8" s="246"/>
      <c r="C8" s="249"/>
      <c r="D8" s="249"/>
      <c r="E8" s="249"/>
      <c r="F8" s="249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</row>
    <row r="9" spans="1:39" s="244" customFormat="1" ht="15.75" x14ac:dyDescent="0.25">
      <c r="A9" s="249" t="s">
        <v>400</v>
      </c>
      <c r="B9" s="246"/>
      <c r="C9" s="249" t="s">
        <v>468</v>
      </c>
      <c r="D9" s="249"/>
      <c r="E9" s="249"/>
      <c r="F9" s="249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0" spans="1:39" s="244" customFormat="1" ht="15.75" x14ac:dyDescent="0.25">
      <c r="A10" s="249" t="s">
        <v>401</v>
      </c>
      <c r="B10" s="246"/>
      <c r="C10" s="249" t="s">
        <v>402</v>
      </c>
      <c r="D10" s="249"/>
      <c r="E10" s="249"/>
      <c r="F10" s="249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39" s="244" customFormat="1" ht="15.75" x14ac:dyDescent="0.25">
      <c r="A11" s="249" t="s">
        <v>458</v>
      </c>
      <c r="B11" s="246"/>
      <c r="C11" s="249" t="s">
        <v>467</v>
      </c>
      <c r="D11" s="249"/>
      <c r="E11" s="249"/>
      <c r="F11" s="249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</row>
    <row r="12" spans="1:39" s="244" customFormat="1" ht="16.5" thickBot="1" x14ac:dyDescent="0.3">
      <c r="A12" s="129" t="s">
        <v>365</v>
      </c>
      <c r="B12" s="249" t="s">
        <v>408</v>
      </c>
      <c r="C12" s="249"/>
      <c r="D12" s="249"/>
      <c r="E12" s="249"/>
      <c r="F12" s="249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</row>
    <row r="13" spans="1:39" s="95" customFormat="1" ht="48.75" customHeight="1" thickBot="1" x14ac:dyDescent="0.3">
      <c r="A13" s="139" t="s">
        <v>371</v>
      </c>
      <c r="B13" s="140" t="s">
        <v>372</v>
      </c>
      <c r="C13" s="141" t="s">
        <v>373</v>
      </c>
      <c r="D13" s="156" t="s">
        <v>406</v>
      </c>
      <c r="E13" s="142" t="s">
        <v>453</v>
      </c>
      <c r="F13" s="156" t="s">
        <v>374</v>
      </c>
      <c r="G13" s="212" t="s">
        <v>375</v>
      </c>
      <c r="H13" s="143" t="s">
        <v>386</v>
      </c>
      <c r="I13" s="143" t="s">
        <v>388</v>
      </c>
      <c r="J13" s="143" t="s">
        <v>389</v>
      </c>
      <c r="K13" s="143" t="s">
        <v>390</v>
      </c>
      <c r="L13" s="143" t="s">
        <v>391</v>
      </c>
      <c r="M13" s="143" t="s">
        <v>392</v>
      </c>
      <c r="N13" s="143" t="s">
        <v>393</v>
      </c>
      <c r="O13" s="143" t="s">
        <v>455</v>
      </c>
      <c r="P13" s="143" t="s">
        <v>394</v>
      </c>
      <c r="Q13" s="143" t="s">
        <v>395</v>
      </c>
      <c r="R13" s="143" t="s">
        <v>396</v>
      </c>
      <c r="S13" s="143" t="s">
        <v>397</v>
      </c>
      <c r="T13" s="143" t="s">
        <v>387</v>
      </c>
      <c r="U13" s="143" t="s">
        <v>398</v>
      </c>
      <c r="V13" s="143" t="s">
        <v>399</v>
      </c>
      <c r="W13" s="143" t="s">
        <v>475</v>
      </c>
      <c r="X13" s="143" t="s">
        <v>476</v>
      </c>
      <c r="Y13" s="143" t="s">
        <v>477</v>
      </c>
      <c r="Z13" s="143" t="s">
        <v>478</v>
      </c>
      <c r="AA13" s="143" t="s">
        <v>479</v>
      </c>
      <c r="AB13" s="143" t="s">
        <v>480</v>
      </c>
      <c r="AC13" s="143" t="s">
        <v>481</v>
      </c>
      <c r="AD13" s="143" t="s">
        <v>482</v>
      </c>
      <c r="AE13" s="143" t="s">
        <v>483</v>
      </c>
      <c r="AF13" s="143" t="s">
        <v>472</v>
      </c>
      <c r="AG13" s="143" t="s">
        <v>473</v>
      </c>
      <c r="AH13" s="143" t="s">
        <v>474</v>
      </c>
    </row>
    <row r="14" spans="1:39" s="13" customFormat="1" ht="19.5" thickBot="1" x14ac:dyDescent="0.35">
      <c r="A14" s="280">
        <v>10</v>
      </c>
      <c r="B14" s="149" t="s">
        <v>187</v>
      </c>
      <c r="C14" s="255">
        <v>1040168</v>
      </c>
      <c r="D14" s="155"/>
      <c r="E14" s="115"/>
      <c r="F14" s="115">
        <f t="shared" ref="F14:F45" si="0">SUM(H14:AH14)</f>
        <v>1040168</v>
      </c>
      <c r="G14" s="115">
        <f>IF(ISBLANK(E14),C14-F14,C14-E14)</f>
        <v>0</v>
      </c>
      <c r="H14" s="88"/>
      <c r="I14" s="88"/>
      <c r="J14" s="88"/>
      <c r="K14" s="88"/>
      <c r="L14" s="88"/>
      <c r="M14" s="88">
        <v>55893</v>
      </c>
      <c r="N14" s="88">
        <v>94387</v>
      </c>
      <c r="O14" s="88">
        <v>102468</v>
      </c>
      <c r="P14" s="88">
        <v>95827</v>
      </c>
      <c r="Q14" s="88">
        <v>94265</v>
      </c>
      <c r="R14" s="88">
        <v>84715</v>
      </c>
      <c r="S14" s="88">
        <v>88169</v>
      </c>
      <c r="T14" s="88"/>
      <c r="U14" s="88">
        <v>204875</v>
      </c>
      <c r="V14" s="88">
        <v>168647</v>
      </c>
      <c r="W14" s="88"/>
      <c r="X14" s="88">
        <v>50922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9"/>
      <c r="AJ14" s="89"/>
      <c r="AK14" s="89"/>
      <c r="AL14" s="89"/>
      <c r="AM14" s="89"/>
    </row>
    <row r="15" spans="1:39" s="13" customFormat="1" ht="19.5" thickBot="1" x14ac:dyDescent="0.35">
      <c r="A15" s="281">
        <v>20</v>
      </c>
      <c r="B15" s="59" t="s">
        <v>188</v>
      </c>
      <c r="C15" s="256">
        <v>4057738</v>
      </c>
      <c r="D15" s="153"/>
      <c r="E15" s="115"/>
      <c r="F15" s="115">
        <f t="shared" si="0"/>
        <v>4057738</v>
      </c>
      <c r="G15" s="115">
        <f t="shared" ref="G15:G78" si="1">IF(ISBLANK(E15),C15-F15,C15-E15)</f>
        <v>0</v>
      </c>
      <c r="H15" s="88"/>
      <c r="I15" s="88"/>
      <c r="J15" s="88"/>
      <c r="K15" s="88"/>
      <c r="L15" s="88"/>
      <c r="M15" s="88"/>
      <c r="N15" s="88"/>
      <c r="O15" s="88">
        <v>433419</v>
      </c>
      <c r="P15" s="88">
        <v>659347</v>
      </c>
      <c r="Q15" s="88">
        <v>425871</v>
      </c>
      <c r="R15" s="88">
        <v>99525</v>
      </c>
      <c r="S15" s="88">
        <v>678445</v>
      </c>
      <c r="T15" s="88">
        <v>87982</v>
      </c>
      <c r="U15" s="88">
        <v>529630</v>
      </c>
      <c r="V15" s="88">
        <v>261443</v>
      </c>
      <c r="W15" s="88"/>
      <c r="X15" s="88">
        <v>133205</v>
      </c>
      <c r="Y15" s="88">
        <v>748871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9"/>
      <c r="AJ15" s="89"/>
      <c r="AK15" s="89"/>
      <c r="AL15" s="89"/>
      <c r="AM15" s="89"/>
    </row>
    <row r="16" spans="1:39" s="13" customFormat="1" ht="19.5" thickBot="1" x14ac:dyDescent="0.35">
      <c r="A16" s="281">
        <v>30</v>
      </c>
      <c r="B16" s="59" t="s">
        <v>189</v>
      </c>
      <c r="C16" s="256">
        <v>2009188</v>
      </c>
      <c r="D16" s="153"/>
      <c r="E16" s="115"/>
      <c r="F16" s="115">
        <f t="shared" si="0"/>
        <v>2009188</v>
      </c>
      <c r="G16" s="115">
        <f t="shared" si="1"/>
        <v>0</v>
      </c>
      <c r="H16" s="88"/>
      <c r="I16" s="88"/>
      <c r="J16" s="88"/>
      <c r="K16" s="88"/>
      <c r="L16" s="88">
        <v>55867</v>
      </c>
      <c r="M16" s="88">
        <v>130417</v>
      </c>
      <c r="N16" s="88">
        <v>130362</v>
      </c>
      <c r="O16" s="88">
        <v>254261</v>
      </c>
      <c r="P16" s="88"/>
      <c r="Q16" s="88">
        <v>428421</v>
      </c>
      <c r="R16" s="88">
        <v>114681</v>
      </c>
      <c r="S16" s="88">
        <v>210156</v>
      </c>
      <c r="T16" s="88"/>
      <c r="U16" s="88">
        <v>203564</v>
      </c>
      <c r="V16" s="88">
        <f>232214+45376</f>
        <v>277590</v>
      </c>
      <c r="W16" s="88"/>
      <c r="X16" s="88">
        <v>203869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/>
      <c r="AJ16" s="89"/>
      <c r="AK16" s="89"/>
      <c r="AL16" s="89"/>
      <c r="AM16" s="89"/>
    </row>
    <row r="17" spans="1:39" s="13" customFormat="1" ht="19.5" thickBot="1" x14ac:dyDescent="0.35">
      <c r="A17" s="281">
        <v>40</v>
      </c>
      <c r="B17" s="59" t="s">
        <v>190</v>
      </c>
      <c r="C17" s="258">
        <v>1095599</v>
      </c>
      <c r="D17" s="153"/>
      <c r="E17" s="115"/>
      <c r="F17" s="115">
        <f t="shared" si="0"/>
        <v>1095599</v>
      </c>
      <c r="G17" s="115">
        <f t="shared" si="1"/>
        <v>0</v>
      </c>
      <c r="H17" s="88"/>
      <c r="I17" s="88"/>
      <c r="J17" s="88"/>
      <c r="K17" s="88"/>
      <c r="L17" s="88"/>
      <c r="M17" s="88">
        <v>179044</v>
      </c>
      <c r="N17" s="88"/>
      <c r="O17" s="88"/>
      <c r="P17" s="88">
        <v>122849</v>
      </c>
      <c r="Q17" s="88">
        <v>88492</v>
      </c>
      <c r="R17" s="88">
        <v>103179</v>
      </c>
      <c r="S17" s="88">
        <v>104674</v>
      </c>
      <c r="T17" s="88"/>
      <c r="U17" s="88"/>
      <c r="V17" s="88"/>
      <c r="W17" s="88">
        <v>246582</v>
      </c>
      <c r="X17" s="88">
        <v>213867</v>
      </c>
      <c r="Y17" s="88"/>
      <c r="Z17" s="88">
        <v>36912</v>
      </c>
      <c r="AA17" s="88"/>
      <c r="AB17" s="88"/>
      <c r="AC17" s="88"/>
      <c r="AD17" s="88"/>
      <c r="AE17" s="88"/>
      <c r="AF17" s="88"/>
      <c r="AG17" s="88"/>
      <c r="AH17" s="88"/>
      <c r="AI17" s="89"/>
      <c r="AJ17" s="89"/>
      <c r="AK17" s="89"/>
      <c r="AL17" s="89"/>
      <c r="AM17" s="89"/>
    </row>
    <row r="18" spans="1:39" s="13" customFormat="1" ht="19.5" thickBot="1" x14ac:dyDescent="0.35">
      <c r="A18" s="281">
        <v>50</v>
      </c>
      <c r="B18" s="59" t="s">
        <v>191</v>
      </c>
      <c r="C18" s="259">
        <v>69432</v>
      </c>
      <c r="D18" s="69" t="s">
        <v>381</v>
      </c>
      <c r="E18" s="115">
        <f>C18</f>
        <v>69432</v>
      </c>
      <c r="F18" s="115">
        <f t="shared" si="0"/>
        <v>0</v>
      </c>
      <c r="G18" s="115">
        <f t="shared" si="1"/>
        <v>0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9"/>
      <c r="AJ18" s="89"/>
      <c r="AK18" s="89"/>
      <c r="AL18" s="89"/>
      <c r="AM18" s="89"/>
    </row>
    <row r="19" spans="1:39" s="13" customFormat="1" ht="19.5" thickBot="1" x14ac:dyDescent="0.35">
      <c r="A19" s="281">
        <v>60</v>
      </c>
      <c r="B19" s="59" t="s">
        <v>192</v>
      </c>
      <c r="C19" s="259">
        <v>69697</v>
      </c>
      <c r="D19" s="69" t="s">
        <v>381</v>
      </c>
      <c r="E19" s="115">
        <f>C19</f>
        <v>69697</v>
      </c>
      <c r="F19" s="115">
        <f t="shared" si="0"/>
        <v>0</v>
      </c>
      <c r="G19" s="115">
        <f t="shared" si="1"/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89"/>
      <c r="AK19" s="89"/>
      <c r="AL19" s="89"/>
      <c r="AM19" s="89"/>
    </row>
    <row r="20" spans="1:39" s="13" customFormat="1" ht="19.5" thickBot="1" x14ac:dyDescent="0.35">
      <c r="A20" s="281">
        <v>70</v>
      </c>
      <c r="B20" s="59" t="s">
        <v>193</v>
      </c>
      <c r="C20" s="259">
        <v>3023025</v>
      </c>
      <c r="D20" s="69"/>
      <c r="E20" s="115"/>
      <c r="F20" s="115">
        <f t="shared" si="0"/>
        <v>3023025</v>
      </c>
      <c r="G20" s="115">
        <f t="shared" si="1"/>
        <v>0</v>
      </c>
      <c r="H20" s="88"/>
      <c r="I20" s="88"/>
      <c r="J20" s="88"/>
      <c r="K20" s="88"/>
      <c r="L20" s="88"/>
      <c r="M20" s="88"/>
      <c r="N20" s="88"/>
      <c r="O20" s="88">
        <v>663064</v>
      </c>
      <c r="P20" s="88">
        <v>378886</v>
      </c>
      <c r="Q20" s="88">
        <v>263629</v>
      </c>
      <c r="R20" s="88">
        <v>337022</v>
      </c>
      <c r="S20" s="88">
        <v>342391</v>
      </c>
      <c r="T20" s="88">
        <v>280724</v>
      </c>
      <c r="U20" s="88"/>
      <c r="V20" s="88">
        <v>270784</v>
      </c>
      <c r="W20" s="88"/>
      <c r="X20" s="88">
        <f>383652+102873</f>
        <v>486525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9"/>
      <c r="AK20" s="89"/>
      <c r="AL20" s="89"/>
      <c r="AM20" s="89"/>
    </row>
    <row r="21" spans="1:39" s="13" customFormat="1" ht="19.5" thickBot="1" x14ac:dyDescent="0.35">
      <c r="A21" s="281">
        <v>100</v>
      </c>
      <c r="B21" s="59" t="s">
        <v>194</v>
      </c>
      <c r="C21" s="259">
        <v>736616</v>
      </c>
      <c r="D21" s="69"/>
      <c r="E21" s="115"/>
      <c r="F21" s="115">
        <f t="shared" si="0"/>
        <v>736616</v>
      </c>
      <c r="G21" s="115">
        <f t="shared" si="1"/>
        <v>0</v>
      </c>
      <c r="H21" s="88"/>
      <c r="I21" s="88"/>
      <c r="J21" s="88"/>
      <c r="K21" s="88"/>
      <c r="L21" s="88">
        <v>119237</v>
      </c>
      <c r="M21" s="88">
        <v>71683</v>
      </c>
      <c r="N21" s="88">
        <v>55351</v>
      </c>
      <c r="O21" s="88">
        <v>54864</v>
      </c>
      <c r="P21" s="88">
        <v>54729</v>
      </c>
      <c r="Q21" s="88">
        <v>52855</v>
      </c>
      <c r="R21" s="88">
        <v>86187</v>
      </c>
      <c r="S21" s="88">
        <v>52991</v>
      </c>
      <c r="T21" s="88">
        <v>51702</v>
      </c>
      <c r="U21" s="88">
        <v>72795</v>
      </c>
      <c r="V21" s="88">
        <v>47273</v>
      </c>
      <c r="W21" s="88">
        <v>16949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9"/>
      <c r="AK21" s="89"/>
      <c r="AL21" s="89"/>
      <c r="AM21" s="89"/>
    </row>
    <row r="22" spans="1:39" s="13" customFormat="1" ht="19.5" thickBot="1" x14ac:dyDescent="0.35">
      <c r="A22" s="281">
        <v>110</v>
      </c>
      <c r="B22" s="59" t="s">
        <v>195</v>
      </c>
      <c r="C22" s="259">
        <v>128854</v>
      </c>
      <c r="D22" s="69"/>
      <c r="E22" s="115"/>
      <c r="F22" s="115">
        <f t="shared" si="0"/>
        <v>128854</v>
      </c>
      <c r="G22" s="115">
        <f t="shared" si="1"/>
        <v>0</v>
      </c>
      <c r="H22" s="88"/>
      <c r="I22" s="88"/>
      <c r="J22" s="88"/>
      <c r="K22" s="88"/>
      <c r="L22" s="88"/>
      <c r="M22" s="88"/>
      <c r="N22" s="88"/>
      <c r="O22" s="88"/>
      <c r="P22" s="88">
        <v>109807</v>
      </c>
      <c r="Q22" s="88"/>
      <c r="R22" s="88"/>
      <c r="S22" s="88">
        <v>19047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  <c r="AJ22" s="89"/>
      <c r="AK22" s="89"/>
      <c r="AL22" s="89"/>
      <c r="AM22" s="89"/>
    </row>
    <row r="23" spans="1:39" s="13" customFormat="1" ht="19.5" thickBot="1" x14ac:dyDescent="0.35">
      <c r="A23" s="281">
        <v>120</v>
      </c>
      <c r="B23" s="59" t="s">
        <v>196</v>
      </c>
      <c r="C23" s="259">
        <v>828933</v>
      </c>
      <c r="D23" s="69"/>
      <c r="E23" s="115"/>
      <c r="F23" s="115">
        <f t="shared" si="0"/>
        <v>828933</v>
      </c>
      <c r="G23" s="115">
        <f t="shared" si="1"/>
        <v>0</v>
      </c>
      <c r="H23" s="88"/>
      <c r="I23" s="88"/>
      <c r="J23" s="88"/>
      <c r="K23" s="88"/>
      <c r="L23" s="88"/>
      <c r="M23" s="88"/>
      <c r="N23" s="88">
        <v>72900</v>
      </c>
      <c r="O23" s="88">
        <v>67817</v>
      </c>
      <c r="P23" s="88">
        <v>93948</v>
      </c>
      <c r="Q23" s="88"/>
      <c r="R23" s="88">
        <f>80959+74906</f>
        <v>155865</v>
      </c>
      <c r="S23" s="88">
        <v>106320</v>
      </c>
      <c r="T23" s="88">
        <v>96505</v>
      </c>
      <c r="U23" s="88">
        <v>38508</v>
      </c>
      <c r="V23" s="88"/>
      <c r="W23" s="88">
        <v>197070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89"/>
      <c r="AK23" s="89"/>
      <c r="AL23" s="89"/>
      <c r="AM23" s="89"/>
    </row>
    <row r="24" spans="1:39" s="13" customFormat="1" ht="19.5" thickBot="1" x14ac:dyDescent="0.35">
      <c r="A24" s="281">
        <v>123</v>
      </c>
      <c r="B24" s="59" t="s">
        <v>197</v>
      </c>
      <c r="C24" s="259">
        <v>814327</v>
      </c>
      <c r="D24" s="69"/>
      <c r="E24" s="115"/>
      <c r="F24" s="115">
        <f t="shared" si="0"/>
        <v>814327</v>
      </c>
      <c r="G24" s="115">
        <f t="shared" si="1"/>
        <v>0</v>
      </c>
      <c r="H24" s="88"/>
      <c r="I24" s="88"/>
      <c r="J24" s="88"/>
      <c r="K24" s="88"/>
      <c r="L24" s="88"/>
      <c r="M24" s="88">
        <v>106396</v>
      </c>
      <c r="N24" s="88"/>
      <c r="O24" s="88">
        <v>230120</v>
      </c>
      <c r="P24" s="88"/>
      <c r="Q24" s="88"/>
      <c r="R24" s="88">
        <v>141918</v>
      </c>
      <c r="S24" s="88"/>
      <c r="T24" s="88"/>
      <c r="U24" s="88">
        <v>207581</v>
      </c>
      <c r="V24" s="88"/>
      <c r="W24" s="88">
        <v>47792</v>
      </c>
      <c r="X24" s="88"/>
      <c r="Y24" s="88"/>
      <c r="Z24" s="88">
        <v>80520</v>
      </c>
      <c r="AA24" s="88"/>
      <c r="AB24" s="88"/>
      <c r="AC24" s="88"/>
      <c r="AD24" s="88"/>
      <c r="AE24" s="88"/>
      <c r="AF24" s="88"/>
      <c r="AG24" s="88"/>
      <c r="AH24" s="88"/>
      <c r="AI24" s="89"/>
      <c r="AJ24" s="89"/>
      <c r="AK24" s="89"/>
      <c r="AL24" s="89"/>
      <c r="AM24" s="89"/>
    </row>
    <row r="25" spans="1:39" s="13" customFormat="1" ht="19.5" thickBot="1" x14ac:dyDescent="0.35">
      <c r="A25" s="281">
        <v>130</v>
      </c>
      <c r="B25" s="59" t="s">
        <v>198</v>
      </c>
      <c r="C25" s="259">
        <v>4445774</v>
      </c>
      <c r="D25" s="69"/>
      <c r="E25" s="115"/>
      <c r="F25" s="115">
        <f t="shared" si="0"/>
        <v>4445774</v>
      </c>
      <c r="G25" s="115">
        <f t="shared" si="1"/>
        <v>0</v>
      </c>
      <c r="H25" s="88"/>
      <c r="I25" s="88"/>
      <c r="J25" s="88"/>
      <c r="K25" s="88"/>
      <c r="L25" s="88"/>
      <c r="M25" s="88"/>
      <c r="N25" s="88"/>
      <c r="O25" s="88">
        <v>503207</v>
      </c>
      <c r="P25" s="88">
        <v>330474</v>
      </c>
      <c r="Q25" s="88">
        <v>573352</v>
      </c>
      <c r="R25" s="88">
        <v>144808</v>
      </c>
      <c r="S25" s="88">
        <v>379507</v>
      </c>
      <c r="T25" s="88"/>
      <c r="U25" s="88"/>
      <c r="V25" s="88"/>
      <c r="W25" s="88"/>
      <c r="X25" s="88"/>
      <c r="Y25" s="88"/>
      <c r="Z25" s="88">
        <f>1103098+423536+77276</f>
        <v>1603910</v>
      </c>
      <c r="AA25" s="88">
        <v>105230</v>
      </c>
      <c r="AB25" s="88">
        <v>805286</v>
      </c>
      <c r="AC25" s="88"/>
      <c r="AD25" s="88"/>
      <c r="AE25" s="88"/>
      <c r="AF25" s="88"/>
      <c r="AG25" s="88"/>
      <c r="AH25" s="88"/>
      <c r="AI25" s="89"/>
      <c r="AJ25" s="89"/>
      <c r="AK25" s="89"/>
      <c r="AL25" s="89"/>
      <c r="AM25" s="89"/>
    </row>
    <row r="26" spans="1:39" s="13" customFormat="1" ht="19.5" thickBot="1" x14ac:dyDescent="0.35">
      <c r="A26" s="281">
        <v>140</v>
      </c>
      <c r="B26" s="59" t="s">
        <v>199</v>
      </c>
      <c r="C26" s="259">
        <v>1435432</v>
      </c>
      <c r="D26" s="69"/>
      <c r="E26" s="115"/>
      <c r="F26" s="115">
        <f t="shared" si="0"/>
        <v>1435432</v>
      </c>
      <c r="G26" s="115">
        <f t="shared" si="1"/>
        <v>0</v>
      </c>
      <c r="H26" s="88"/>
      <c r="I26" s="88"/>
      <c r="J26" s="88"/>
      <c r="K26" s="88"/>
      <c r="L26" s="88"/>
      <c r="M26" s="88"/>
      <c r="N26" s="88"/>
      <c r="O26" s="88"/>
      <c r="P26" s="88">
        <v>450865</v>
      </c>
      <c r="Q26" s="88"/>
      <c r="R26" s="88">
        <v>235513</v>
      </c>
      <c r="S26" s="88">
        <v>253789</v>
      </c>
      <c r="T26" s="88"/>
      <c r="U26" s="88"/>
      <c r="V26" s="88"/>
      <c r="W26" s="88"/>
      <c r="X26" s="88">
        <v>405884</v>
      </c>
      <c r="Y26" s="88"/>
      <c r="Z26" s="88"/>
      <c r="AA26" s="88">
        <v>89381</v>
      </c>
      <c r="AB26" s="88"/>
      <c r="AC26" s="88"/>
      <c r="AD26" s="88"/>
      <c r="AE26" s="88"/>
      <c r="AF26" s="88"/>
      <c r="AG26" s="88"/>
      <c r="AH26" s="88"/>
      <c r="AI26" s="89"/>
      <c r="AJ26" s="89"/>
      <c r="AK26" s="89"/>
      <c r="AL26" s="89"/>
      <c r="AM26" s="89"/>
    </row>
    <row r="27" spans="1:39" s="13" customFormat="1" ht="19.5" thickBot="1" x14ac:dyDescent="0.35">
      <c r="A27" s="281">
        <v>170</v>
      </c>
      <c r="B27" s="59" t="s">
        <v>200</v>
      </c>
      <c r="C27" s="259">
        <v>27382</v>
      </c>
      <c r="D27" s="69" t="s">
        <v>381</v>
      </c>
      <c r="E27" s="115">
        <f>C27</f>
        <v>27382</v>
      </c>
      <c r="F27" s="115">
        <f t="shared" si="0"/>
        <v>0</v>
      </c>
      <c r="G27" s="115">
        <f t="shared" si="1"/>
        <v>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89"/>
      <c r="AK27" s="89"/>
      <c r="AL27" s="89"/>
      <c r="AM27" s="89"/>
    </row>
    <row r="28" spans="1:39" s="13" customFormat="1" ht="19.5" thickBot="1" x14ac:dyDescent="0.35">
      <c r="A28" s="281">
        <v>180</v>
      </c>
      <c r="B28" s="59" t="s">
        <v>201</v>
      </c>
      <c r="C28" s="259">
        <v>10614196</v>
      </c>
      <c r="D28" s="69"/>
      <c r="E28" s="115"/>
      <c r="F28" s="115">
        <f t="shared" si="0"/>
        <v>10614196</v>
      </c>
      <c r="G28" s="115">
        <f t="shared" si="1"/>
        <v>0</v>
      </c>
      <c r="H28" s="88"/>
      <c r="I28" s="88"/>
      <c r="J28" s="88"/>
      <c r="K28" s="88"/>
      <c r="L28" s="88">
        <v>1020982</v>
      </c>
      <c r="M28" s="88">
        <v>763313</v>
      </c>
      <c r="N28" s="88"/>
      <c r="O28" s="88">
        <v>1892610</v>
      </c>
      <c r="P28" s="88">
        <v>875474</v>
      </c>
      <c r="Q28" s="88">
        <v>872788</v>
      </c>
      <c r="R28" s="88">
        <v>888179</v>
      </c>
      <c r="S28" s="88">
        <v>857804</v>
      </c>
      <c r="T28" s="88">
        <v>680438</v>
      </c>
      <c r="U28" s="88">
        <v>877547</v>
      </c>
      <c r="V28" s="88">
        <v>30292</v>
      </c>
      <c r="W28" s="88">
        <v>14742</v>
      </c>
      <c r="X28" s="88">
        <v>1840027</v>
      </c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  <c r="AJ28" s="89"/>
      <c r="AK28" s="89"/>
      <c r="AL28" s="89"/>
      <c r="AM28" s="89"/>
    </row>
    <row r="29" spans="1:39" s="13" customFormat="1" ht="19.5" thickBot="1" x14ac:dyDescent="0.35">
      <c r="A29" s="281">
        <v>190</v>
      </c>
      <c r="B29" s="59" t="s">
        <v>202</v>
      </c>
      <c r="C29" s="259">
        <v>57005</v>
      </c>
      <c r="D29" s="69" t="s">
        <v>381</v>
      </c>
      <c r="E29" s="115">
        <f>C29</f>
        <v>57005</v>
      </c>
      <c r="F29" s="115">
        <f t="shared" si="0"/>
        <v>0</v>
      </c>
      <c r="G29" s="115">
        <f t="shared" si="1"/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89"/>
      <c r="AK29" s="89"/>
      <c r="AL29" s="89"/>
      <c r="AM29" s="89"/>
    </row>
    <row r="30" spans="1:39" s="13" customFormat="1" ht="19.5" thickBot="1" x14ac:dyDescent="0.35">
      <c r="A30" s="281">
        <v>220</v>
      </c>
      <c r="B30" s="59" t="s">
        <v>203</v>
      </c>
      <c r="C30" s="259">
        <v>359929</v>
      </c>
      <c r="D30" s="69"/>
      <c r="E30" s="115"/>
      <c r="F30" s="115">
        <f t="shared" si="0"/>
        <v>359929</v>
      </c>
      <c r="G30" s="115">
        <f t="shared" si="1"/>
        <v>0</v>
      </c>
      <c r="H30" s="88"/>
      <c r="I30" s="88"/>
      <c r="J30" s="88"/>
      <c r="K30" s="88">
        <v>69638</v>
      </c>
      <c r="L30" s="88">
        <v>27479</v>
      </c>
      <c r="M30" s="88">
        <v>31831</v>
      </c>
      <c r="N30" s="88">
        <v>33546</v>
      </c>
      <c r="O30" s="88">
        <v>27794</v>
      </c>
      <c r="P30" s="88">
        <v>36207</v>
      </c>
      <c r="Q30" s="88">
        <v>33286</v>
      </c>
      <c r="R30" s="88">
        <v>27552</v>
      </c>
      <c r="S30" s="88">
        <v>28427</v>
      </c>
      <c r="T30" s="88">
        <v>36459</v>
      </c>
      <c r="U30" s="88"/>
      <c r="V30" s="88"/>
      <c r="W30" s="88">
        <v>7710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89"/>
      <c r="AK30" s="89"/>
      <c r="AL30" s="89"/>
      <c r="AM30" s="89"/>
    </row>
    <row r="31" spans="1:39" s="13" customFormat="1" ht="19.5" thickBot="1" x14ac:dyDescent="0.35">
      <c r="A31" s="281">
        <v>230</v>
      </c>
      <c r="B31" s="59" t="s">
        <v>204</v>
      </c>
      <c r="C31" s="259">
        <v>42036</v>
      </c>
      <c r="D31" s="69"/>
      <c r="E31" s="115"/>
      <c r="F31" s="115">
        <f t="shared" si="0"/>
        <v>42036</v>
      </c>
      <c r="G31" s="115">
        <f t="shared" si="1"/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88">
        <v>34904</v>
      </c>
      <c r="R31" s="88"/>
      <c r="S31" s="88"/>
      <c r="T31" s="88">
        <v>7132</v>
      </c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J31" s="89"/>
      <c r="AK31" s="89"/>
      <c r="AL31" s="89"/>
      <c r="AM31" s="89"/>
    </row>
    <row r="32" spans="1:39" s="13" customFormat="1" ht="19.5" thickBot="1" x14ac:dyDescent="0.35">
      <c r="A32" s="281">
        <v>240</v>
      </c>
      <c r="B32" s="59" t="s">
        <v>205</v>
      </c>
      <c r="C32" s="259">
        <v>15396</v>
      </c>
      <c r="D32" s="69"/>
      <c r="E32" s="115"/>
      <c r="F32" s="115">
        <f t="shared" si="0"/>
        <v>15025</v>
      </c>
      <c r="G32" s="115">
        <f t="shared" si="1"/>
        <v>371</v>
      </c>
      <c r="H32" s="88"/>
      <c r="I32" s="88"/>
      <c r="J32" s="88"/>
      <c r="K32" s="88"/>
      <c r="L32" s="88"/>
      <c r="M32" s="88"/>
      <c r="N32" s="88"/>
      <c r="O32" s="88">
        <v>15025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89"/>
      <c r="AK32" s="89"/>
      <c r="AL32" s="89"/>
      <c r="AM32" s="89"/>
    </row>
    <row r="33" spans="1:39" s="13" customFormat="1" ht="19.5" thickBot="1" x14ac:dyDescent="0.35">
      <c r="A33" s="281">
        <v>250</v>
      </c>
      <c r="B33" s="59" t="s">
        <v>206</v>
      </c>
      <c r="C33" s="259">
        <v>72794</v>
      </c>
      <c r="D33" s="69"/>
      <c r="E33" s="115"/>
      <c r="F33" s="115">
        <f t="shared" si="0"/>
        <v>72794</v>
      </c>
      <c r="G33" s="115">
        <f t="shared" si="1"/>
        <v>0</v>
      </c>
      <c r="H33" s="88"/>
      <c r="I33" s="88"/>
      <c r="J33" s="88"/>
      <c r="K33" s="88"/>
      <c r="L33" s="88"/>
      <c r="M33" s="88">
        <v>22981</v>
      </c>
      <c r="N33" s="88"/>
      <c r="O33" s="88"/>
      <c r="P33" s="88"/>
      <c r="Q33" s="88"/>
      <c r="R33" s="88"/>
      <c r="S33" s="88"/>
      <c r="T33" s="88">
        <v>34106</v>
      </c>
      <c r="U33" s="88"/>
      <c r="V33" s="88"/>
      <c r="W33" s="88"/>
      <c r="X33" s="88"/>
      <c r="Y33" s="88"/>
      <c r="Z33" s="88"/>
      <c r="AA33" s="88">
        <v>15707</v>
      </c>
      <c r="AB33" s="88"/>
      <c r="AC33" s="88"/>
      <c r="AD33" s="88"/>
      <c r="AE33" s="88"/>
      <c r="AF33" s="88"/>
      <c r="AG33" s="88"/>
      <c r="AH33" s="88"/>
      <c r="AI33" s="89"/>
      <c r="AJ33" s="89"/>
      <c r="AK33" s="89"/>
      <c r="AL33" s="89"/>
      <c r="AM33" s="89"/>
    </row>
    <row r="34" spans="1:39" s="13" customFormat="1" ht="19.5" thickBot="1" x14ac:dyDescent="0.35">
      <c r="A34" s="281">
        <v>260</v>
      </c>
      <c r="B34" s="59" t="s">
        <v>207</v>
      </c>
      <c r="C34" s="259">
        <v>7556</v>
      </c>
      <c r="D34" s="69"/>
      <c r="E34" s="115"/>
      <c r="F34" s="115">
        <f t="shared" si="0"/>
        <v>7556</v>
      </c>
      <c r="G34" s="115">
        <f t="shared" si="1"/>
        <v>0</v>
      </c>
      <c r="H34" s="88"/>
      <c r="I34" s="88"/>
      <c r="J34" s="88"/>
      <c r="K34" s="88"/>
      <c r="L34" s="88">
        <v>6064</v>
      </c>
      <c r="M34" s="88">
        <v>1492</v>
      </c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  <c r="AJ34" s="89"/>
      <c r="AK34" s="89"/>
      <c r="AL34" s="89"/>
      <c r="AM34" s="89"/>
    </row>
    <row r="35" spans="1:39" s="13" customFormat="1" ht="19.5" thickBot="1" x14ac:dyDescent="0.35">
      <c r="A35" s="281">
        <v>270</v>
      </c>
      <c r="B35" s="59" t="s">
        <v>208</v>
      </c>
      <c r="C35" s="259">
        <v>2456</v>
      </c>
      <c r="D35" s="69"/>
      <c r="E35" s="115"/>
      <c r="F35" s="115">
        <f t="shared" si="0"/>
        <v>2456</v>
      </c>
      <c r="G35" s="115">
        <f t="shared" si="1"/>
        <v>0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>
        <v>2456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  <c r="AJ35" s="89"/>
      <c r="AK35" s="89"/>
      <c r="AL35" s="89"/>
      <c r="AM35" s="89"/>
    </row>
    <row r="36" spans="1:39" s="13" customFormat="1" ht="19.5" thickBot="1" x14ac:dyDescent="0.35">
      <c r="A36" s="281">
        <v>290</v>
      </c>
      <c r="B36" s="59" t="s">
        <v>209</v>
      </c>
      <c r="C36" s="259">
        <v>247565</v>
      </c>
      <c r="D36" s="69"/>
      <c r="E36" s="115"/>
      <c r="F36" s="115">
        <f t="shared" si="0"/>
        <v>247565</v>
      </c>
      <c r="G36" s="115">
        <f t="shared" si="1"/>
        <v>0</v>
      </c>
      <c r="H36" s="88"/>
      <c r="I36" s="88"/>
      <c r="J36" s="88"/>
      <c r="K36" s="88">
        <v>89609</v>
      </c>
      <c r="L36" s="88"/>
      <c r="M36" s="88"/>
      <c r="N36" s="88"/>
      <c r="O36" s="88">
        <v>72244</v>
      </c>
      <c r="P36" s="88"/>
      <c r="Q36" s="88"/>
      <c r="R36" s="88"/>
      <c r="S36" s="88">
        <v>85712</v>
      </c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89"/>
      <c r="AK36" s="89"/>
      <c r="AL36" s="89"/>
      <c r="AM36" s="89"/>
    </row>
    <row r="37" spans="1:39" s="13" customFormat="1" ht="19.5" thickBot="1" x14ac:dyDescent="0.35">
      <c r="A37" s="281">
        <v>310</v>
      </c>
      <c r="B37" s="59" t="s">
        <v>210</v>
      </c>
      <c r="C37" s="259">
        <v>35442</v>
      </c>
      <c r="D37" s="69"/>
      <c r="E37" s="115"/>
      <c r="F37" s="115">
        <f t="shared" si="0"/>
        <v>35442</v>
      </c>
      <c r="G37" s="115">
        <f t="shared" si="1"/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>
        <v>35442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89"/>
      <c r="AK37" s="89"/>
      <c r="AL37" s="89"/>
      <c r="AM37" s="89"/>
    </row>
    <row r="38" spans="1:39" s="13" customFormat="1" ht="19.5" thickBot="1" x14ac:dyDescent="0.35">
      <c r="A38" s="281">
        <v>470</v>
      </c>
      <c r="B38" s="59" t="s">
        <v>211</v>
      </c>
      <c r="C38" s="259">
        <v>2584291</v>
      </c>
      <c r="D38" s="69"/>
      <c r="E38" s="115"/>
      <c r="F38" s="115">
        <f t="shared" si="0"/>
        <v>2584291</v>
      </c>
      <c r="G38" s="115">
        <f t="shared" si="1"/>
        <v>0</v>
      </c>
      <c r="H38" s="88"/>
      <c r="I38" s="88"/>
      <c r="J38" s="88"/>
      <c r="K38" s="88"/>
      <c r="L38" s="88"/>
      <c r="M38" s="88"/>
      <c r="N38" s="88">
        <v>253115</v>
      </c>
      <c r="O38" s="88">
        <v>389368</v>
      </c>
      <c r="P38" s="88">
        <v>391977</v>
      </c>
      <c r="Q38" s="88">
        <v>188717</v>
      </c>
      <c r="R38" s="88">
        <v>256350</v>
      </c>
      <c r="S38" s="88">
        <v>187395</v>
      </c>
      <c r="T38" s="88">
        <v>212697</v>
      </c>
      <c r="U38" s="88"/>
      <c r="V38" s="88"/>
      <c r="W38" s="88">
        <v>518659</v>
      </c>
      <c r="X38" s="88">
        <v>186013</v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89"/>
      <c r="AK38" s="89"/>
      <c r="AL38" s="89"/>
      <c r="AM38" s="89"/>
    </row>
    <row r="39" spans="1:39" s="13" customFormat="1" ht="19.5" thickBot="1" x14ac:dyDescent="0.35">
      <c r="A39" s="281">
        <v>480</v>
      </c>
      <c r="B39" s="59" t="s">
        <v>212</v>
      </c>
      <c r="C39" s="259">
        <v>2492031</v>
      </c>
      <c r="D39" s="69"/>
      <c r="E39" s="115"/>
      <c r="F39" s="115">
        <f t="shared" si="0"/>
        <v>2492031</v>
      </c>
      <c r="G39" s="115">
        <f t="shared" si="1"/>
        <v>0</v>
      </c>
      <c r="H39" s="88"/>
      <c r="I39" s="88"/>
      <c r="J39" s="88"/>
      <c r="K39" s="88">
        <v>193825</v>
      </c>
      <c r="L39" s="88">
        <v>195269</v>
      </c>
      <c r="M39" s="88">
        <v>188594</v>
      </c>
      <c r="N39" s="88">
        <v>184558</v>
      </c>
      <c r="O39" s="88">
        <v>193089</v>
      </c>
      <c r="P39" s="88">
        <v>208554</v>
      </c>
      <c r="Q39" s="88">
        <v>208407</v>
      </c>
      <c r="R39" s="88">
        <v>272955</v>
      </c>
      <c r="S39" s="88">
        <v>235703</v>
      </c>
      <c r="T39" s="88">
        <v>273192</v>
      </c>
      <c r="U39" s="88">
        <v>200568</v>
      </c>
      <c r="V39" s="88">
        <v>67318</v>
      </c>
      <c r="W39" s="88"/>
      <c r="X39" s="88">
        <v>69999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89"/>
      <c r="AK39" s="89"/>
      <c r="AL39" s="89"/>
      <c r="AM39" s="89"/>
    </row>
    <row r="40" spans="1:39" s="13" customFormat="1" ht="19.5" thickBot="1" x14ac:dyDescent="0.35">
      <c r="A40" s="281">
        <v>490</v>
      </c>
      <c r="B40" s="59" t="s">
        <v>213</v>
      </c>
      <c r="C40" s="259">
        <v>115489</v>
      </c>
      <c r="D40" s="69"/>
      <c r="E40" s="115"/>
      <c r="F40" s="115">
        <f t="shared" si="0"/>
        <v>115489</v>
      </c>
      <c r="G40" s="115">
        <f t="shared" si="1"/>
        <v>0</v>
      </c>
      <c r="H40" s="88"/>
      <c r="I40" s="88"/>
      <c r="J40" s="88"/>
      <c r="K40" s="88"/>
      <c r="L40" s="88"/>
      <c r="M40" s="88">
        <v>57464</v>
      </c>
      <c r="N40" s="88"/>
      <c r="O40" s="88"/>
      <c r="P40" s="88"/>
      <c r="Q40" s="88"/>
      <c r="R40" s="88"/>
      <c r="S40" s="88"/>
      <c r="T40" s="88">
        <v>58025</v>
      </c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J40" s="89"/>
      <c r="AK40" s="89"/>
      <c r="AL40" s="89"/>
      <c r="AM40" s="89"/>
    </row>
    <row r="41" spans="1:39" s="13" customFormat="1" ht="19.5" thickBot="1" x14ac:dyDescent="0.35">
      <c r="A41" s="281">
        <v>500</v>
      </c>
      <c r="B41" s="59" t="s">
        <v>214</v>
      </c>
      <c r="C41" s="259">
        <v>206844</v>
      </c>
      <c r="D41" s="69"/>
      <c r="E41" s="115"/>
      <c r="F41" s="115">
        <f t="shared" si="0"/>
        <v>206844</v>
      </c>
      <c r="G41" s="115">
        <f t="shared" si="1"/>
        <v>0</v>
      </c>
      <c r="H41" s="88"/>
      <c r="I41" s="88"/>
      <c r="J41" s="88"/>
      <c r="K41" s="88"/>
      <c r="L41" s="88">
        <v>44006</v>
      </c>
      <c r="M41" s="88"/>
      <c r="N41" s="88"/>
      <c r="O41" s="88">
        <v>12657</v>
      </c>
      <c r="P41" s="88">
        <v>23386</v>
      </c>
      <c r="Q41" s="88">
        <v>23658</v>
      </c>
      <c r="R41" s="88">
        <v>60732</v>
      </c>
      <c r="S41" s="88">
        <v>24543</v>
      </c>
      <c r="T41" s="88">
        <v>1086</v>
      </c>
      <c r="U41" s="88"/>
      <c r="V41" s="88">
        <v>2013</v>
      </c>
      <c r="W41" s="88">
        <v>14763</v>
      </c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89"/>
      <c r="AK41" s="89"/>
      <c r="AL41" s="89"/>
      <c r="AM41" s="89"/>
    </row>
    <row r="42" spans="1:39" s="13" customFormat="1" ht="19.5" thickBot="1" x14ac:dyDescent="0.35">
      <c r="A42" s="281">
        <v>510</v>
      </c>
      <c r="B42" s="59" t="s">
        <v>407</v>
      </c>
      <c r="C42" s="259">
        <v>0</v>
      </c>
      <c r="D42" s="69"/>
      <c r="E42" s="115"/>
      <c r="F42" s="115">
        <f t="shared" si="0"/>
        <v>0</v>
      </c>
      <c r="G42" s="115">
        <f t="shared" si="1"/>
        <v>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89"/>
      <c r="AK42" s="89"/>
      <c r="AL42" s="89"/>
      <c r="AM42" s="89"/>
    </row>
    <row r="43" spans="1:39" s="13" customFormat="1" ht="19.5" thickBot="1" x14ac:dyDescent="0.35">
      <c r="A43" s="281">
        <v>520</v>
      </c>
      <c r="B43" s="59" t="s">
        <v>216</v>
      </c>
      <c r="C43" s="259">
        <v>37066</v>
      </c>
      <c r="D43" s="69" t="s">
        <v>381</v>
      </c>
      <c r="E43" s="115">
        <f>C43</f>
        <v>37066</v>
      </c>
      <c r="F43" s="115">
        <f t="shared" si="0"/>
        <v>0</v>
      </c>
      <c r="G43" s="115">
        <f t="shared" si="1"/>
        <v>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J43" s="89"/>
      <c r="AK43" s="89"/>
      <c r="AL43" s="89"/>
      <c r="AM43" s="89"/>
    </row>
    <row r="44" spans="1:39" s="13" customFormat="1" ht="19.5" thickBot="1" x14ac:dyDescent="0.35">
      <c r="A44" s="281">
        <v>540</v>
      </c>
      <c r="B44" s="59" t="s">
        <v>217</v>
      </c>
      <c r="C44" s="259">
        <v>100190</v>
      </c>
      <c r="D44" s="69"/>
      <c r="E44" s="115"/>
      <c r="F44" s="115">
        <f t="shared" si="0"/>
        <v>100190</v>
      </c>
      <c r="G44" s="115">
        <f t="shared" si="1"/>
        <v>0</v>
      </c>
      <c r="H44" s="88"/>
      <c r="I44" s="88"/>
      <c r="J44" s="88"/>
      <c r="K44" s="88"/>
      <c r="L44" s="88"/>
      <c r="M44" s="88"/>
      <c r="N44" s="88">
        <v>5748</v>
      </c>
      <c r="O44" s="88"/>
      <c r="P44" s="88"/>
      <c r="Q44" s="88"/>
      <c r="R44" s="88"/>
      <c r="S44" s="88"/>
      <c r="T44" s="88">
        <v>64608</v>
      </c>
      <c r="U44" s="88">
        <v>8600</v>
      </c>
      <c r="V44" s="88"/>
      <c r="W44" s="88"/>
      <c r="X44" s="88"/>
      <c r="Y44" s="88"/>
      <c r="Z44" s="88">
        <v>21234</v>
      </c>
      <c r="AA44" s="88"/>
      <c r="AB44" s="88"/>
      <c r="AC44" s="88"/>
      <c r="AD44" s="88"/>
      <c r="AE44" s="88"/>
      <c r="AF44" s="88"/>
      <c r="AG44" s="88"/>
      <c r="AH44" s="88"/>
      <c r="AI44" s="89"/>
      <c r="AJ44" s="89"/>
      <c r="AK44" s="89"/>
      <c r="AL44" s="89"/>
      <c r="AM44" s="89"/>
    </row>
    <row r="45" spans="1:39" s="13" customFormat="1" ht="19.5" thickBot="1" x14ac:dyDescent="0.35">
      <c r="A45" s="281">
        <v>550</v>
      </c>
      <c r="B45" s="59" t="s">
        <v>218</v>
      </c>
      <c r="C45" s="259">
        <v>279312</v>
      </c>
      <c r="D45" s="69"/>
      <c r="E45" s="115"/>
      <c r="F45" s="115">
        <f t="shared" si="0"/>
        <v>279312</v>
      </c>
      <c r="G45" s="115">
        <f t="shared" si="1"/>
        <v>0</v>
      </c>
      <c r="H45" s="88"/>
      <c r="I45" s="88"/>
      <c r="J45" s="88"/>
      <c r="K45" s="88"/>
      <c r="L45" s="88"/>
      <c r="M45" s="88"/>
      <c r="N45" s="88"/>
      <c r="O45" s="88">
        <v>41529</v>
      </c>
      <c r="P45" s="88"/>
      <c r="Q45" s="88"/>
      <c r="R45" s="88">
        <v>83283</v>
      </c>
      <c r="S45" s="88">
        <v>28936</v>
      </c>
      <c r="T45" s="88">
        <v>18261</v>
      </c>
      <c r="U45" s="88">
        <v>39859</v>
      </c>
      <c r="V45" s="88">
        <v>22298</v>
      </c>
      <c r="W45" s="88">
        <v>23334</v>
      </c>
      <c r="X45" s="88">
        <f>21296+516</f>
        <v>21812</v>
      </c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89"/>
      <c r="AK45" s="89"/>
      <c r="AL45" s="89"/>
      <c r="AM45" s="89"/>
    </row>
    <row r="46" spans="1:39" s="13" customFormat="1" ht="19.5" thickBot="1" x14ac:dyDescent="0.35">
      <c r="A46" s="281">
        <v>560</v>
      </c>
      <c r="B46" s="59" t="s">
        <v>219</v>
      </c>
      <c r="C46" s="259">
        <v>65312</v>
      </c>
      <c r="D46" s="69"/>
      <c r="E46" s="115"/>
      <c r="F46" s="115">
        <f t="shared" ref="F46:F77" si="2">SUM(H46:AH46)</f>
        <v>65312</v>
      </c>
      <c r="G46" s="115">
        <f t="shared" si="1"/>
        <v>0</v>
      </c>
      <c r="H46" s="88"/>
      <c r="I46" s="88"/>
      <c r="J46" s="88"/>
      <c r="K46" s="88"/>
      <c r="L46" s="88"/>
      <c r="M46" s="88"/>
      <c r="N46" s="88"/>
      <c r="O46" s="88">
        <v>54477</v>
      </c>
      <c r="P46" s="88"/>
      <c r="Q46" s="88"/>
      <c r="R46" s="88"/>
      <c r="S46" s="88"/>
      <c r="T46" s="88">
        <v>9185</v>
      </c>
      <c r="U46" s="88"/>
      <c r="V46" s="88"/>
      <c r="W46" s="88"/>
      <c r="X46" s="88"/>
      <c r="Y46" s="88"/>
      <c r="Z46" s="88">
        <v>1650</v>
      </c>
      <c r="AA46" s="88"/>
      <c r="AB46" s="88"/>
      <c r="AC46" s="88"/>
      <c r="AD46" s="88"/>
      <c r="AE46" s="88"/>
      <c r="AF46" s="88"/>
      <c r="AG46" s="88"/>
      <c r="AH46" s="88"/>
      <c r="AI46" s="89"/>
      <c r="AJ46" s="89"/>
      <c r="AK46" s="89"/>
      <c r="AL46" s="89"/>
      <c r="AM46" s="89"/>
    </row>
    <row r="47" spans="1:39" s="13" customFormat="1" ht="19.5" thickBot="1" x14ac:dyDescent="0.35">
      <c r="A47" s="281">
        <v>580</v>
      </c>
      <c r="B47" s="59" t="s">
        <v>220</v>
      </c>
      <c r="C47" s="259">
        <v>178172</v>
      </c>
      <c r="D47" s="69"/>
      <c r="E47" s="115"/>
      <c r="F47" s="115">
        <f t="shared" si="2"/>
        <v>178172</v>
      </c>
      <c r="G47" s="115">
        <f t="shared" si="1"/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88">
        <v>76209</v>
      </c>
      <c r="R47" s="88"/>
      <c r="S47" s="88"/>
      <c r="T47" s="88"/>
      <c r="U47" s="88">
        <v>51892</v>
      </c>
      <c r="V47" s="88"/>
      <c r="W47" s="88"/>
      <c r="X47" s="88">
        <v>41579</v>
      </c>
      <c r="Y47" s="88"/>
      <c r="Z47" s="88">
        <v>8492</v>
      </c>
      <c r="AA47" s="88"/>
      <c r="AB47" s="88"/>
      <c r="AC47" s="88"/>
      <c r="AD47" s="88"/>
      <c r="AE47" s="88"/>
      <c r="AF47" s="88"/>
      <c r="AG47" s="88"/>
      <c r="AH47" s="88"/>
      <c r="AI47" s="89"/>
      <c r="AJ47" s="89"/>
      <c r="AK47" s="89"/>
      <c r="AL47" s="89"/>
      <c r="AM47" s="89"/>
    </row>
    <row r="48" spans="1:39" s="13" customFormat="1" ht="19.5" thickBot="1" x14ac:dyDescent="0.35">
      <c r="A48" s="281">
        <v>640</v>
      </c>
      <c r="B48" s="61" t="s">
        <v>221</v>
      </c>
      <c r="C48" s="259">
        <v>143455</v>
      </c>
      <c r="D48" s="69"/>
      <c r="E48" s="115"/>
      <c r="F48" s="115">
        <f t="shared" si="2"/>
        <v>143455</v>
      </c>
      <c r="G48" s="115">
        <f t="shared" si="1"/>
        <v>0</v>
      </c>
      <c r="H48" s="88"/>
      <c r="I48" s="88"/>
      <c r="J48" s="88"/>
      <c r="K48" s="88"/>
      <c r="L48" s="88">
        <v>14742</v>
      </c>
      <c r="M48" s="88"/>
      <c r="N48" s="88"/>
      <c r="O48" s="88"/>
      <c r="P48" s="88">
        <v>16208</v>
      </c>
      <c r="Q48" s="88"/>
      <c r="R48" s="88">
        <v>21913</v>
      </c>
      <c r="S48" s="88">
        <v>9023</v>
      </c>
      <c r="T48" s="88">
        <v>3213</v>
      </c>
      <c r="U48" s="88">
        <v>9339</v>
      </c>
      <c r="V48" s="88">
        <v>6231</v>
      </c>
      <c r="W48" s="88"/>
      <c r="X48" s="88">
        <v>26615</v>
      </c>
      <c r="Y48" s="88">
        <v>8678</v>
      </c>
      <c r="Z48" s="88">
        <v>7192</v>
      </c>
      <c r="AA48" s="88"/>
      <c r="AB48" s="88">
        <f>9324+9913</f>
        <v>19237</v>
      </c>
      <c r="AC48" s="88">
        <v>1064</v>
      </c>
      <c r="AD48" s="88"/>
      <c r="AE48" s="88"/>
      <c r="AF48" s="88"/>
      <c r="AG48" s="88"/>
      <c r="AH48" s="88"/>
      <c r="AI48" s="89"/>
      <c r="AJ48" s="89"/>
      <c r="AK48" s="89"/>
      <c r="AL48" s="89"/>
      <c r="AM48" s="89"/>
    </row>
    <row r="49" spans="1:39" s="13" customFormat="1" ht="19.5" thickBot="1" x14ac:dyDescent="0.35">
      <c r="A49" s="281">
        <v>740</v>
      </c>
      <c r="B49" s="59" t="s">
        <v>222</v>
      </c>
      <c r="C49" s="259">
        <v>127348</v>
      </c>
      <c r="D49" s="69"/>
      <c r="E49" s="115"/>
      <c r="F49" s="115">
        <f t="shared" si="2"/>
        <v>127348</v>
      </c>
      <c r="G49" s="115">
        <f t="shared" si="1"/>
        <v>0</v>
      </c>
      <c r="H49" s="88"/>
      <c r="I49" s="88"/>
      <c r="J49" s="88"/>
      <c r="K49" s="88">
        <v>14787</v>
      </c>
      <c r="L49" s="88"/>
      <c r="M49" s="88">
        <v>7394</v>
      </c>
      <c r="N49" s="88"/>
      <c r="O49" s="88"/>
      <c r="P49" s="88">
        <f>19937+7530</f>
        <v>27467</v>
      </c>
      <c r="Q49" s="88"/>
      <c r="R49" s="88">
        <f>7454+7520</f>
        <v>14974</v>
      </c>
      <c r="S49" s="88"/>
      <c r="T49" s="88"/>
      <c r="U49" s="88">
        <v>32566</v>
      </c>
      <c r="V49" s="88">
        <v>30160</v>
      </c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9"/>
      <c r="AJ49" s="89"/>
      <c r="AK49" s="89"/>
      <c r="AL49" s="89"/>
      <c r="AM49" s="89"/>
    </row>
    <row r="50" spans="1:39" s="13" customFormat="1" ht="19.5" thickBot="1" x14ac:dyDescent="0.35">
      <c r="A50" s="281">
        <v>770</v>
      </c>
      <c r="B50" s="59" t="s">
        <v>223</v>
      </c>
      <c r="C50" s="259">
        <v>236833</v>
      </c>
      <c r="D50" s="69"/>
      <c r="E50" s="115"/>
      <c r="F50" s="115">
        <f t="shared" si="2"/>
        <v>236833</v>
      </c>
      <c r="G50" s="115">
        <f t="shared" si="1"/>
        <v>0</v>
      </c>
      <c r="H50" s="88"/>
      <c r="I50" s="88"/>
      <c r="J50" s="88"/>
      <c r="K50" s="88"/>
      <c r="L50" s="88"/>
      <c r="M50" s="88">
        <v>73972</v>
      </c>
      <c r="N50" s="88"/>
      <c r="O50" s="88"/>
      <c r="P50" s="88"/>
      <c r="Q50" s="88">
        <v>86481</v>
      </c>
      <c r="R50" s="88"/>
      <c r="S50" s="88"/>
      <c r="T50" s="88">
        <v>31186</v>
      </c>
      <c r="U50" s="88"/>
      <c r="V50" s="88"/>
      <c r="W50" s="88">
        <v>34165</v>
      </c>
      <c r="X50" s="88">
        <v>11029</v>
      </c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9"/>
      <c r="AJ50" s="89"/>
      <c r="AK50" s="89"/>
      <c r="AL50" s="89"/>
      <c r="AM50" s="89"/>
    </row>
    <row r="51" spans="1:39" s="13" customFormat="1" ht="19.5" thickBot="1" x14ac:dyDescent="0.35">
      <c r="A51" s="281">
        <v>860</v>
      </c>
      <c r="B51" s="59" t="s">
        <v>224</v>
      </c>
      <c r="C51" s="259">
        <v>110864</v>
      </c>
      <c r="D51" s="69"/>
      <c r="E51" s="115"/>
      <c r="F51" s="115">
        <f t="shared" si="2"/>
        <v>110864</v>
      </c>
      <c r="G51" s="115">
        <f t="shared" si="1"/>
        <v>0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>
        <v>110864</v>
      </c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9"/>
      <c r="AJ51" s="89"/>
      <c r="AK51" s="89"/>
      <c r="AL51" s="89"/>
      <c r="AM51" s="89"/>
    </row>
    <row r="52" spans="1:39" s="13" customFormat="1" ht="19.5" thickBot="1" x14ac:dyDescent="0.35">
      <c r="A52" s="281">
        <v>870</v>
      </c>
      <c r="B52" s="59" t="s">
        <v>225</v>
      </c>
      <c r="C52" s="259">
        <v>864156</v>
      </c>
      <c r="D52" s="69"/>
      <c r="E52" s="115"/>
      <c r="F52" s="115">
        <f t="shared" si="2"/>
        <v>864156</v>
      </c>
      <c r="G52" s="115">
        <f t="shared" si="1"/>
        <v>0</v>
      </c>
      <c r="H52" s="88"/>
      <c r="I52" s="88"/>
      <c r="J52" s="88"/>
      <c r="K52" s="88"/>
      <c r="L52" s="88"/>
      <c r="M52" s="88"/>
      <c r="N52" s="88">
        <v>10991</v>
      </c>
      <c r="O52" s="88">
        <v>10503</v>
      </c>
      <c r="P52" s="88">
        <v>480729</v>
      </c>
      <c r="Q52" s="88">
        <v>100515</v>
      </c>
      <c r="R52" s="88">
        <v>6480</v>
      </c>
      <c r="S52" s="88">
        <v>137138</v>
      </c>
      <c r="T52" s="88">
        <v>79629</v>
      </c>
      <c r="U52" s="88"/>
      <c r="V52" s="88"/>
      <c r="W52" s="88"/>
      <c r="X52" s="88">
        <v>38171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89"/>
      <c r="AK52" s="89"/>
      <c r="AL52" s="89"/>
      <c r="AM52" s="89"/>
    </row>
    <row r="53" spans="1:39" s="13" customFormat="1" ht="19.5" thickBot="1" x14ac:dyDescent="0.35">
      <c r="A53" s="281">
        <v>880</v>
      </c>
      <c r="B53" s="59" t="s">
        <v>226</v>
      </c>
      <c r="C53" s="259">
        <v>33073411</v>
      </c>
      <c r="D53" s="69"/>
      <c r="E53" s="115"/>
      <c r="F53" s="115">
        <f t="shared" si="2"/>
        <v>33073411</v>
      </c>
      <c r="G53" s="115">
        <f t="shared" si="1"/>
        <v>0</v>
      </c>
      <c r="H53" s="88"/>
      <c r="I53" s="88"/>
      <c r="J53" s="88"/>
      <c r="K53" s="88"/>
      <c r="L53" s="88">
        <v>322091</v>
      </c>
      <c r="M53" s="88">
        <v>2368368</v>
      </c>
      <c r="N53" s="88">
        <v>2959806</v>
      </c>
      <c r="O53" s="88">
        <v>2731917</v>
      </c>
      <c r="P53" s="88">
        <v>2874892</v>
      </c>
      <c r="Q53" s="88">
        <v>1505260</v>
      </c>
      <c r="R53" s="88">
        <v>4399253</v>
      </c>
      <c r="S53" s="88">
        <v>1591126</v>
      </c>
      <c r="T53" s="88">
        <v>4846707</v>
      </c>
      <c r="U53" s="88"/>
      <c r="V53" s="88"/>
      <c r="W53" s="88">
        <v>4658025</v>
      </c>
      <c r="X53" s="88"/>
      <c r="Y53" s="88"/>
      <c r="Z53" s="88">
        <v>4815966</v>
      </c>
      <c r="AA53" s="88"/>
      <c r="AB53" s="88"/>
      <c r="AC53" s="88"/>
      <c r="AD53" s="88"/>
      <c r="AE53" s="88"/>
      <c r="AF53" s="88"/>
      <c r="AG53" s="88"/>
      <c r="AH53" s="88"/>
      <c r="AI53" s="89"/>
      <c r="AJ53" s="89"/>
      <c r="AK53" s="89"/>
      <c r="AL53" s="89"/>
      <c r="AM53" s="89"/>
    </row>
    <row r="54" spans="1:39" s="13" customFormat="1" ht="19.5" thickBot="1" x14ac:dyDescent="0.35">
      <c r="A54" s="281">
        <v>890</v>
      </c>
      <c r="B54" s="59" t="s">
        <v>227</v>
      </c>
      <c r="C54" s="259">
        <v>40106</v>
      </c>
      <c r="D54" s="69"/>
      <c r="E54" s="115"/>
      <c r="F54" s="115">
        <f t="shared" si="2"/>
        <v>40106</v>
      </c>
      <c r="G54" s="115">
        <f t="shared" si="1"/>
        <v>0</v>
      </c>
      <c r="H54" s="88"/>
      <c r="I54" s="88"/>
      <c r="J54" s="88"/>
      <c r="K54" s="88"/>
      <c r="L54" s="88"/>
      <c r="M54" s="88"/>
      <c r="N54" s="88"/>
      <c r="O54" s="88">
        <v>5855</v>
      </c>
      <c r="P54" s="88"/>
      <c r="Q54" s="88"/>
      <c r="R54" s="88">
        <v>34251</v>
      </c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89"/>
      <c r="AK54" s="89"/>
      <c r="AL54" s="89"/>
      <c r="AM54" s="89"/>
    </row>
    <row r="55" spans="1:39" s="13" customFormat="1" ht="19.5" thickBot="1" x14ac:dyDescent="0.35">
      <c r="A55" s="281">
        <v>900</v>
      </c>
      <c r="B55" s="59" t="s">
        <v>228</v>
      </c>
      <c r="C55" s="259">
        <v>945644</v>
      </c>
      <c r="D55" s="69"/>
      <c r="E55" s="115"/>
      <c r="F55" s="115">
        <f t="shared" si="2"/>
        <v>945644</v>
      </c>
      <c r="G55" s="115">
        <f t="shared" si="1"/>
        <v>0</v>
      </c>
      <c r="H55" s="88"/>
      <c r="I55" s="88"/>
      <c r="J55" s="88"/>
      <c r="K55" s="88"/>
      <c r="L55" s="88">
        <v>34862</v>
      </c>
      <c r="M55" s="88"/>
      <c r="N55" s="88">
        <v>175585</v>
      </c>
      <c r="O55" s="88">
        <v>64115</v>
      </c>
      <c r="P55" s="88">
        <v>11752</v>
      </c>
      <c r="Q55" s="88">
        <v>142711</v>
      </c>
      <c r="R55" s="88">
        <v>42820</v>
      </c>
      <c r="S55" s="88">
        <v>145707</v>
      </c>
      <c r="T55" s="88">
        <v>157572</v>
      </c>
      <c r="U55" s="88"/>
      <c r="V55" s="88">
        <v>113214</v>
      </c>
      <c r="W55" s="88"/>
      <c r="X55" s="88">
        <v>57306</v>
      </c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89"/>
      <c r="AK55" s="89"/>
      <c r="AL55" s="89"/>
      <c r="AM55" s="89"/>
    </row>
    <row r="56" spans="1:39" s="13" customFormat="1" ht="19.5" thickBot="1" x14ac:dyDescent="0.35">
      <c r="A56" s="281">
        <v>910</v>
      </c>
      <c r="B56" s="59" t="s">
        <v>229</v>
      </c>
      <c r="C56" s="259">
        <v>579930</v>
      </c>
      <c r="D56" s="69"/>
      <c r="E56" s="115"/>
      <c r="F56" s="115">
        <f t="shared" si="2"/>
        <v>579930</v>
      </c>
      <c r="G56" s="115">
        <f t="shared" si="1"/>
        <v>0</v>
      </c>
      <c r="H56" s="88"/>
      <c r="I56" s="88"/>
      <c r="J56" s="88"/>
      <c r="K56" s="88"/>
      <c r="L56" s="88"/>
      <c r="M56" s="88"/>
      <c r="N56" s="88"/>
      <c r="O56" s="88"/>
      <c r="P56" s="88"/>
      <c r="Q56" s="88">
        <v>208885</v>
      </c>
      <c r="R56" s="88"/>
      <c r="S56" s="88"/>
      <c r="T56" s="88"/>
      <c r="U56" s="88">
        <v>247949</v>
      </c>
      <c r="V56" s="88"/>
      <c r="W56" s="88">
        <v>54957</v>
      </c>
      <c r="X56" s="88"/>
      <c r="Y56" s="88"/>
      <c r="Z56" s="88"/>
      <c r="AA56" s="88"/>
      <c r="AB56" s="88"/>
      <c r="AC56" s="88"/>
      <c r="AD56" s="88">
        <v>68139</v>
      </c>
      <c r="AE56" s="88"/>
      <c r="AF56" s="88"/>
      <c r="AG56" s="88"/>
      <c r="AH56" s="88"/>
      <c r="AI56" s="89"/>
      <c r="AJ56" s="89"/>
      <c r="AK56" s="89"/>
      <c r="AL56" s="89"/>
      <c r="AM56" s="89"/>
    </row>
    <row r="57" spans="1:39" s="13" customFormat="1" ht="19.5" thickBot="1" x14ac:dyDescent="0.35">
      <c r="A57" s="281">
        <v>920</v>
      </c>
      <c r="B57" s="59" t="s">
        <v>230</v>
      </c>
      <c r="C57" s="259">
        <v>96784</v>
      </c>
      <c r="D57" s="69"/>
      <c r="E57" s="115"/>
      <c r="F57" s="115">
        <f t="shared" si="2"/>
        <v>96784</v>
      </c>
      <c r="G57" s="115">
        <f t="shared" si="1"/>
        <v>0</v>
      </c>
      <c r="H57" s="88"/>
      <c r="I57" s="88"/>
      <c r="J57" s="88"/>
      <c r="K57" s="88"/>
      <c r="L57" s="88"/>
      <c r="M57" s="88"/>
      <c r="N57" s="88"/>
      <c r="O57" s="88"/>
      <c r="P57" s="88"/>
      <c r="Q57" s="88">
        <v>58961</v>
      </c>
      <c r="R57" s="88"/>
      <c r="S57" s="88">
        <v>37823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9"/>
      <c r="AJ57" s="89"/>
      <c r="AK57" s="89"/>
      <c r="AL57" s="89"/>
      <c r="AM57" s="89"/>
    </row>
    <row r="58" spans="1:39" s="13" customFormat="1" ht="19.5" thickBot="1" x14ac:dyDescent="0.35">
      <c r="A58" s="281">
        <v>930</v>
      </c>
      <c r="B58" s="59" t="s">
        <v>231</v>
      </c>
      <c r="C58" s="259">
        <v>29159</v>
      </c>
      <c r="D58" s="69" t="s">
        <v>381</v>
      </c>
      <c r="E58" s="115">
        <f>C58</f>
        <v>29159</v>
      </c>
      <c r="F58" s="115">
        <f t="shared" si="2"/>
        <v>0</v>
      </c>
      <c r="G58" s="115">
        <f t="shared" si="1"/>
        <v>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9"/>
      <c r="AJ58" s="89"/>
      <c r="AK58" s="89"/>
      <c r="AL58" s="89"/>
      <c r="AM58" s="89"/>
    </row>
    <row r="59" spans="1:39" s="13" customFormat="1" ht="19.5" thickBot="1" x14ac:dyDescent="0.35">
      <c r="A59" s="281">
        <v>940</v>
      </c>
      <c r="B59" s="59" t="s">
        <v>232</v>
      </c>
      <c r="C59" s="259">
        <v>100513</v>
      </c>
      <c r="D59" s="69"/>
      <c r="E59" s="115"/>
      <c r="F59" s="115">
        <f t="shared" si="2"/>
        <v>100513</v>
      </c>
      <c r="G59" s="115">
        <f t="shared" si="1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>
        <v>98786</v>
      </c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>
        <v>1727</v>
      </c>
      <c r="AF59" s="88"/>
      <c r="AG59" s="88"/>
      <c r="AH59" s="88"/>
      <c r="AI59" s="89"/>
      <c r="AJ59" s="89"/>
      <c r="AK59" s="89"/>
      <c r="AL59" s="89"/>
      <c r="AM59" s="89"/>
    </row>
    <row r="60" spans="1:39" s="13" customFormat="1" ht="19.5" thickBot="1" x14ac:dyDescent="0.35">
      <c r="A60" s="281">
        <v>950</v>
      </c>
      <c r="B60" s="59" t="s">
        <v>233</v>
      </c>
      <c r="C60" s="259">
        <v>21898</v>
      </c>
      <c r="D60" s="69"/>
      <c r="E60" s="115"/>
      <c r="F60" s="115">
        <f t="shared" si="2"/>
        <v>21898</v>
      </c>
      <c r="G60" s="115">
        <f t="shared" si="1"/>
        <v>0</v>
      </c>
      <c r="H60" s="88"/>
      <c r="I60" s="88"/>
      <c r="J60" s="88"/>
      <c r="K60" s="88"/>
      <c r="L60" s="88"/>
      <c r="M60" s="88"/>
      <c r="N60" s="88"/>
      <c r="O60" s="88">
        <v>16114</v>
      </c>
      <c r="P60" s="88"/>
      <c r="Q60" s="88"/>
      <c r="R60" s="88"/>
      <c r="S60" s="88">
        <v>5784</v>
      </c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89"/>
      <c r="AK60" s="89"/>
      <c r="AL60" s="89"/>
      <c r="AM60" s="89"/>
    </row>
    <row r="61" spans="1:39" s="13" customFormat="1" ht="19.5" thickBot="1" x14ac:dyDescent="0.35">
      <c r="A61" s="281">
        <v>960</v>
      </c>
      <c r="B61" s="59" t="s">
        <v>234</v>
      </c>
      <c r="C61" s="259">
        <v>24430</v>
      </c>
      <c r="D61" s="69" t="s">
        <v>381</v>
      </c>
      <c r="E61" s="115">
        <f>C61</f>
        <v>24430</v>
      </c>
      <c r="F61" s="115">
        <f t="shared" si="2"/>
        <v>0</v>
      </c>
      <c r="G61" s="115">
        <f t="shared" si="1"/>
        <v>0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9"/>
      <c r="AJ61" s="89"/>
      <c r="AK61" s="89"/>
      <c r="AL61" s="89"/>
      <c r="AM61" s="89"/>
    </row>
    <row r="62" spans="1:39" s="13" customFormat="1" ht="19.5" thickBot="1" x14ac:dyDescent="0.35">
      <c r="A62" s="281">
        <v>970</v>
      </c>
      <c r="B62" s="59" t="s">
        <v>235</v>
      </c>
      <c r="C62" s="259">
        <v>66136</v>
      </c>
      <c r="D62" s="69"/>
      <c r="E62" s="115"/>
      <c r="F62" s="115">
        <f t="shared" si="2"/>
        <v>66136</v>
      </c>
      <c r="G62" s="115">
        <f t="shared" si="1"/>
        <v>0</v>
      </c>
      <c r="H62" s="88"/>
      <c r="I62" s="88"/>
      <c r="J62" s="88"/>
      <c r="K62" s="88"/>
      <c r="L62" s="88"/>
      <c r="M62" s="88"/>
      <c r="N62" s="88">
        <v>6891</v>
      </c>
      <c r="O62" s="88"/>
      <c r="P62" s="88"/>
      <c r="Q62" s="88"/>
      <c r="R62" s="88"/>
      <c r="S62" s="88">
        <v>41289</v>
      </c>
      <c r="T62" s="88"/>
      <c r="U62" s="88"/>
      <c r="V62" s="88"/>
      <c r="W62" s="88">
        <v>11927</v>
      </c>
      <c r="X62" s="88"/>
      <c r="Y62" s="88"/>
      <c r="Z62" s="88"/>
      <c r="AA62" s="88"/>
      <c r="AB62" s="88">
        <v>6029</v>
      </c>
      <c r="AC62" s="88"/>
      <c r="AD62" s="88"/>
      <c r="AE62" s="88"/>
      <c r="AF62" s="88"/>
      <c r="AG62" s="88"/>
      <c r="AH62" s="88"/>
      <c r="AI62" s="89"/>
      <c r="AJ62" s="89"/>
      <c r="AK62" s="89"/>
      <c r="AL62" s="89"/>
      <c r="AM62" s="89"/>
    </row>
    <row r="63" spans="1:39" s="13" customFormat="1" ht="19.5" thickBot="1" x14ac:dyDescent="0.35">
      <c r="A63" s="281">
        <v>980</v>
      </c>
      <c r="B63" s="59" t="s">
        <v>236</v>
      </c>
      <c r="C63" s="259">
        <v>3951666</v>
      </c>
      <c r="D63" s="69"/>
      <c r="E63" s="115"/>
      <c r="F63" s="115">
        <f t="shared" si="2"/>
        <v>3951666</v>
      </c>
      <c r="G63" s="115">
        <f t="shared" si="1"/>
        <v>0</v>
      </c>
      <c r="H63" s="88"/>
      <c r="I63" s="88"/>
      <c r="J63" s="88"/>
      <c r="K63" s="88"/>
      <c r="L63" s="88"/>
      <c r="M63" s="88">
        <v>105049</v>
      </c>
      <c r="N63" s="88">
        <v>216723</v>
      </c>
      <c r="O63" s="88">
        <v>224986</v>
      </c>
      <c r="P63" s="88">
        <v>304868</v>
      </c>
      <c r="Q63" s="88">
        <v>302054</v>
      </c>
      <c r="R63" s="88">
        <v>294271</v>
      </c>
      <c r="S63" s="88">
        <v>371109</v>
      </c>
      <c r="T63" s="88">
        <v>358589</v>
      </c>
      <c r="U63" s="88">
        <v>998892</v>
      </c>
      <c r="V63" s="88">
        <v>210372</v>
      </c>
      <c r="W63" s="88">
        <v>282258</v>
      </c>
      <c r="X63" s="88">
        <v>278450</v>
      </c>
      <c r="Y63" s="88">
        <v>4045</v>
      </c>
      <c r="Z63" s="88"/>
      <c r="AA63" s="88"/>
      <c r="AB63" s="88"/>
      <c r="AC63" s="88"/>
      <c r="AD63" s="88"/>
      <c r="AE63" s="88"/>
      <c r="AF63" s="88"/>
      <c r="AG63" s="88"/>
      <c r="AH63" s="88"/>
      <c r="AI63" s="89"/>
      <c r="AJ63" s="89"/>
      <c r="AK63" s="89"/>
      <c r="AL63" s="89"/>
      <c r="AM63" s="89"/>
    </row>
    <row r="64" spans="1:39" s="13" customFormat="1" ht="19.5" thickBot="1" x14ac:dyDescent="0.35">
      <c r="A64" s="281">
        <v>990</v>
      </c>
      <c r="B64" s="59" t="s">
        <v>237</v>
      </c>
      <c r="C64" s="259">
        <v>1146439</v>
      </c>
      <c r="D64" s="69"/>
      <c r="E64" s="115"/>
      <c r="F64" s="115">
        <f t="shared" si="2"/>
        <v>1146439</v>
      </c>
      <c r="G64" s="115">
        <f t="shared" si="1"/>
        <v>0</v>
      </c>
      <c r="H64" s="88"/>
      <c r="I64" s="88"/>
      <c r="J64" s="88"/>
      <c r="K64" s="88"/>
      <c r="L64" s="88"/>
      <c r="M64" s="88">
        <v>17133</v>
      </c>
      <c r="N64" s="88"/>
      <c r="O64" s="88">
        <v>212646</v>
      </c>
      <c r="P64" s="88">
        <v>85461</v>
      </c>
      <c r="Q64" s="88">
        <v>193096</v>
      </c>
      <c r="R64" s="88">
        <v>83133</v>
      </c>
      <c r="S64" s="88">
        <v>81122</v>
      </c>
      <c r="T64" s="88">
        <v>118123</v>
      </c>
      <c r="U64" s="88"/>
      <c r="V64" s="88">
        <v>141746</v>
      </c>
      <c r="W64" s="88">
        <v>117881</v>
      </c>
      <c r="X64" s="88">
        <v>81730</v>
      </c>
      <c r="Y64" s="88">
        <v>14368</v>
      </c>
      <c r="Z64" s="88"/>
      <c r="AA64" s="88"/>
      <c r="AB64" s="88"/>
      <c r="AC64" s="88"/>
      <c r="AD64" s="88"/>
      <c r="AE64" s="88"/>
      <c r="AF64" s="88"/>
      <c r="AG64" s="88"/>
      <c r="AH64" s="88"/>
      <c r="AI64" s="89"/>
      <c r="AJ64" s="89"/>
      <c r="AK64" s="89"/>
      <c r="AL64" s="89"/>
      <c r="AM64" s="89"/>
    </row>
    <row r="65" spans="1:39" s="13" customFormat="1" ht="19.5" thickBot="1" x14ac:dyDescent="0.35">
      <c r="A65" s="281">
        <v>1000</v>
      </c>
      <c r="B65" s="59" t="s">
        <v>238</v>
      </c>
      <c r="C65" s="259">
        <v>1441436</v>
      </c>
      <c r="D65" s="69"/>
      <c r="E65" s="115"/>
      <c r="F65" s="115">
        <f t="shared" si="2"/>
        <v>1441436</v>
      </c>
      <c r="G65" s="115">
        <f t="shared" si="1"/>
        <v>0</v>
      </c>
      <c r="H65" s="88"/>
      <c r="I65" s="88"/>
      <c r="J65" s="88"/>
      <c r="K65" s="88">
        <v>165448</v>
      </c>
      <c r="L65" s="88">
        <v>79688</v>
      </c>
      <c r="M65" s="88">
        <v>98733</v>
      </c>
      <c r="N65" s="88">
        <v>103870</v>
      </c>
      <c r="O65" s="88">
        <v>105085</v>
      </c>
      <c r="P65" s="88">
        <v>97184</v>
      </c>
      <c r="Q65" s="88">
        <v>106708</v>
      </c>
      <c r="R65" s="88">
        <v>88780</v>
      </c>
      <c r="S65" s="88">
        <v>95508</v>
      </c>
      <c r="T65" s="88">
        <v>273456</v>
      </c>
      <c r="U65" s="88"/>
      <c r="V65" s="88"/>
      <c r="W65" s="88">
        <v>226976</v>
      </c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9"/>
      <c r="AJ65" s="89"/>
      <c r="AK65" s="89"/>
      <c r="AL65" s="89"/>
      <c r="AM65" s="89"/>
    </row>
    <row r="66" spans="1:39" s="13" customFormat="1" ht="19.5" thickBot="1" x14ac:dyDescent="0.35">
      <c r="A66" s="281">
        <v>1010</v>
      </c>
      <c r="B66" s="59" t="s">
        <v>239</v>
      </c>
      <c r="C66" s="259">
        <v>7114995</v>
      </c>
      <c r="D66" s="69"/>
      <c r="E66" s="115"/>
      <c r="F66" s="115">
        <f t="shared" si="2"/>
        <v>7114995</v>
      </c>
      <c r="G66" s="115">
        <f t="shared" si="1"/>
        <v>0</v>
      </c>
      <c r="H66" s="88"/>
      <c r="I66" s="88"/>
      <c r="J66" s="88"/>
      <c r="K66" s="88"/>
      <c r="L66" s="88"/>
      <c r="M66" s="88"/>
      <c r="N66" s="88"/>
      <c r="O66" s="88">
        <f>680432+185547</f>
        <v>865979</v>
      </c>
      <c r="P66" s="88">
        <v>689963</v>
      </c>
      <c r="Q66" s="88">
        <v>465356</v>
      </c>
      <c r="R66" s="88">
        <v>844219</v>
      </c>
      <c r="S66" s="88">
        <v>401778</v>
      </c>
      <c r="T66" s="88">
        <v>186768</v>
      </c>
      <c r="U66" s="88"/>
      <c r="V66" s="88">
        <v>1342805</v>
      </c>
      <c r="W66" s="88">
        <v>637937</v>
      </c>
      <c r="X66" s="88">
        <v>590274</v>
      </c>
      <c r="Y66" s="88">
        <v>613707</v>
      </c>
      <c r="Z66" s="88">
        <v>476209</v>
      </c>
      <c r="AA66" s="88"/>
      <c r="AB66" s="88"/>
      <c r="AC66" s="88"/>
      <c r="AD66" s="88"/>
      <c r="AE66" s="88"/>
      <c r="AF66" s="88"/>
      <c r="AG66" s="88"/>
      <c r="AH66" s="88"/>
      <c r="AI66" s="89"/>
      <c r="AJ66" s="89"/>
      <c r="AK66" s="89"/>
      <c r="AL66" s="89"/>
      <c r="AM66" s="89"/>
    </row>
    <row r="67" spans="1:39" s="13" customFormat="1" ht="19.5" thickBot="1" x14ac:dyDescent="0.35">
      <c r="A67" s="281">
        <v>1020</v>
      </c>
      <c r="B67" s="59" t="s">
        <v>240</v>
      </c>
      <c r="C67" s="259">
        <v>230981</v>
      </c>
      <c r="D67" s="69"/>
      <c r="E67" s="115"/>
      <c r="F67" s="115">
        <f t="shared" si="2"/>
        <v>230981</v>
      </c>
      <c r="G67" s="115">
        <f t="shared" si="1"/>
        <v>0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>
        <v>150740</v>
      </c>
      <c r="T67" s="88">
        <v>80241</v>
      </c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9"/>
      <c r="AJ67" s="89"/>
      <c r="AK67" s="89"/>
      <c r="AL67" s="89"/>
      <c r="AM67" s="89"/>
    </row>
    <row r="68" spans="1:39" s="13" customFormat="1" ht="19.5" thickBot="1" x14ac:dyDescent="0.35">
      <c r="A68" s="282">
        <v>1030</v>
      </c>
      <c r="B68" s="59" t="s">
        <v>241</v>
      </c>
      <c r="C68" s="259">
        <v>149347</v>
      </c>
      <c r="D68" s="69"/>
      <c r="E68" s="115"/>
      <c r="F68" s="115">
        <f t="shared" si="2"/>
        <v>149347</v>
      </c>
      <c r="G68" s="115">
        <f t="shared" si="1"/>
        <v>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>
        <v>61214</v>
      </c>
      <c r="U68" s="88"/>
      <c r="V68" s="88"/>
      <c r="W68" s="88"/>
      <c r="X68" s="88"/>
      <c r="Y68" s="88"/>
      <c r="Z68" s="88"/>
      <c r="AA68" s="88"/>
      <c r="AB68" s="88"/>
      <c r="AC68" s="88"/>
      <c r="AD68" s="88">
        <f>36774+44698</f>
        <v>81472</v>
      </c>
      <c r="AE68" s="88">
        <v>6661</v>
      </c>
      <c r="AF68" s="88"/>
      <c r="AG68" s="88"/>
      <c r="AH68" s="88"/>
      <c r="AI68" s="89"/>
      <c r="AJ68" s="89"/>
      <c r="AK68" s="89"/>
      <c r="AL68" s="89"/>
      <c r="AM68" s="89"/>
    </row>
    <row r="69" spans="1:39" s="13" customFormat="1" ht="19.5" thickBot="1" x14ac:dyDescent="0.35">
      <c r="A69" s="282">
        <v>1040</v>
      </c>
      <c r="B69" s="59" t="s">
        <v>242</v>
      </c>
      <c r="C69" s="259">
        <v>852019</v>
      </c>
      <c r="D69" s="69"/>
      <c r="E69" s="115"/>
      <c r="F69" s="115">
        <f t="shared" si="2"/>
        <v>852019</v>
      </c>
      <c r="G69" s="115">
        <f t="shared" si="1"/>
        <v>0</v>
      </c>
      <c r="H69" s="88"/>
      <c r="I69" s="88"/>
      <c r="J69" s="88"/>
      <c r="K69" s="88"/>
      <c r="L69" s="88"/>
      <c r="M69" s="88"/>
      <c r="N69" s="88"/>
      <c r="O69" s="88"/>
      <c r="P69" s="88">
        <v>197221</v>
      </c>
      <c r="Q69" s="88"/>
      <c r="R69" s="88">
        <v>185363</v>
      </c>
      <c r="S69" s="88"/>
      <c r="T69" s="88">
        <v>78940</v>
      </c>
      <c r="U69" s="88">
        <v>110102</v>
      </c>
      <c r="V69" s="88">
        <v>38138</v>
      </c>
      <c r="W69" s="88"/>
      <c r="X69" s="88"/>
      <c r="Y69" s="88"/>
      <c r="Z69" s="88"/>
      <c r="AA69" s="88">
        <v>242255</v>
      </c>
      <c r="AB69" s="88"/>
      <c r="AC69" s="88"/>
      <c r="AD69" s="88"/>
      <c r="AE69" s="88"/>
      <c r="AF69" s="88"/>
      <c r="AG69" s="88"/>
      <c r="AH69" s="88"/>
      <c r="AI69" s="89"/>
      <c r="AJ69" s="89"/>
      <c r="AK69" s="89"/>
      <c r="AL69" s="89"/>
      <c r="AM69" s="89"/>
    </row>
    <row r="70" spans="1:39" s="13" customFormat="1" ht="19.5" thickBot="1" x14ac:dyDescent="0.35">
      <c r="A70" s="282">
        <v>1050</v>
      </c>
      <c r="B70" s="59" t="s">
        <v>243</v>
      </c>
      <c r="C70" s="259">
        <v>201687</v>
      </c>
      <c r="D70" s="69"/>
      <c r="E70" s="115"/>
      <c r="F70" s="115">
        <f t="shared" si="2"/>
        <v>201687</v>
      </c>
      <c r="G70" s="115">
        <f t="shared" si="1"/>
        <v>0</v>
      </c>
      <c r="H70" s="88"/>
      <c r="I70" s="88"/>
      <c r="J70" s="88"/>
      <c r="K70" s="88"/>
      <c r="L70" s="88"/>
      <c r="M70" s="88"/>
      <c r="N70" s="88"/>
      <c r="O70" s="88"/>
      <c r="P70" s="88">
        <v>99853</v>
      </c>
      <c r="Q70" s="88"/>
      <c r="R70" s="88"/>
      <c r="S70" s="88"/>
      <c r="T70" s="88"/>
      <c r="U70" s="88"/>
      <c r="V70" s="88"/>
      <c r="W70" s="88">
        <v>70836</v>
      </c>
      <c r="X70" s="88"/>
      <c r="Y70" s="88"/>
      <c r="Z70" s="88"/>
      <c r="AA70" s="88"/>
      <c r="AB70" s="88"/>
      <c r="AC70" s="88"/>
      <c r="AD70" s="88"/>
      <c r="AE70" s="88">
        <v>30998</v>
      </c>
      <c r="AF70" s="88"/>
      <c r="AG70" s="88"/>
      <c r="AH70" s="88"/>
      <c r="AI70" s="89"/>
      <c r="AJ70" s="89"/>
      <c r="AK70" s="89"/>
      <c r="AL70" s="89"/>
      <c r="AM70" s="89"/>
    </row>
    <row r="71" spans="1:39" s="13" customFormat="1" ht="19.5" thickBot="1" x14ac:dyDescent="0.35">
      <c r="A71" s="282">
        <v>1060</v>
      </c>
      <c r="B71" s="59" t="s">
        <v>244</v>
      </c>
      <c r="C71" s="259">
        <v>81451</v>
      </c>
      <c r="D71" s="69"/>
      <c r="E71" s="115"/>
      <c r="F71" s="115">
        <f t="shared" si="2"/>
        <v>81451</v>
      </c>
      <c r="G71" s="115">
        <f t="shared" si="1"/>
        <v>0</v>
      </c>
      <c r="H71" s="88"/>
      <c r="I71" s="88"/>
      <c r="J71" s="88"/>
      <c r="K71" s="88"/>
      <c r="L71" s="88"/>
      <c r="M71" s="88">
        <v>22326</v>
      </c>
      <c r="N71" s="88"/>
      <c r="P71" s="88">
        <v>20291</v>
      </c>
      <c r="Q71" s="88"/>
      <c r="R71" s="88">
        <v>33986</v>
      </c>
      <c r="S71" s="88">
        <v>1639</v>
      </c>
      <c r="T71" s="88"/>
      <c r="U71" s="88"/>
      <c r="V71" s="88">
        <v>1412</v>
      </c>
      <c r="W71" s="88"/>
      <c r="X71" s="88"/>
      <c r="Y71" s="88"/>
      <c r="Z71" s="88">
        <v>1797</v>
      </c>
      <c r="AA71" s="88"/>
      <c r="AB71" s="88"/>
      <c r="AC71" s="88"/>
      <c r="AD71" s="88"/>
      <c r="AE71" s="88"/>
      <c r="AF71" s="88"/>
      <c r="AG71" s="88"/>
      <c r="AH71" s="88"/>
      <c r="AI71" s="89"/>
      <c r="AJ71" s="89"/>
      <c r="AK71" s="89"/>
      <c r="AL71" s="89"/>
      <c r="AM71" s="89"/>
    </row>
    <row r="72" spans="1:39" s="13" customFormat="1" ht="19.5" thickBot="1" x14ac:dyDescent="0.35">
      <c r="A72" s="282">
        <v>1070</v>
      </c>
      <c r="B72" s="59" t="s">
        <v>245</v>
      </c>
      <c r="C72" s="259">
        <v>40848</v>
      </c>
      <c r="D72" s="69"/>
      <c r="E72" s="115"/>
      <c r="F72" s="115">
        <f t="shared" si="2"/>
        <v>40848</v>
      </c>
      <c r="G72" s="115">
        <f t="shared" si="1"/>
        <v>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>
        <v>40848</v>
      </c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89"/>
      <c r="AK72" s="89"/>
      <c r="AL72" s="89"/>
      <c r="AM72" s="89"/>
    </row>
    <row r="73" spans="1:39" s="13" customFormat="1" ht="19.5" thickBot="1" x14ac:dyDescent="0.35">
      <c r="A73" s="282">
        <v>1080</v>
      </c>
      <c r="B73" s="59" t="s">
        <v>246</v>
      </c>
      <c r="C73" s="259">
        <v>242676</v>
      </c>
      <c r="D73" s="69"/>
      <c r="E73" s="115"/>
      <c r="F73" s="115">
        <f t="shared" si="2"/>
        <v>242676</v>
      </c>
      <c r="G73" s="115">
        <f t="shared" si="1"/>
        <v>0</v>
      </c>
      <c r="H73" s="88"/>
      <c r="I73" s="88"/>
      <c r="J73" s="88"/>
      <c r="K73" s="88"/>
      <c r="L73" s="88"/>
      <c r="M73" s="88"/>
      <c r="N73" s="88">
        <v>5541</v>
      </c>
      <c r="O73" s="88">
        <v>11185</v>
      </c>
      <c r="P73" s="88">
        <v>13395</v>
      </c>
      <c r="Q73" s="88">
        <v>14088</v>
      </c>
      <c r="R73" s="88">
        <v>23566</v>
      </c>
      <c r="S73" s="88">
        <v>18276</v>
      </c>
      <c r="T73" s="88">
        <v>25765</v>
      </c>
      <c r="U73" s="88">
        <v>29070</v>
      </c>
      <c r="V73" s="88">
        <v>53259</v>
      </c>
      <c r="W73" s="88"/>
      <c r="X73" s="88"/>
      <c r="Y73" s="88"/>
      <c r="Z73" s="88"/>
      <c r="AA73" s="88">
        <v>40254</v>
      </c>
      <c r="AB73" s="88">
        <v>8277</v>
      </c>
      <c r="AC73" s="88"/>
      <c r="AD73" s="88"/>
      <c r="AE73" s="88"/>
      <c r="AF73" s="88"/>
      <c r="AG73" s="88"/>
      <c r="AH73" s="88"/>
      <c r="AI73" s="89"/>
      <c r="AJ73" s="89"/>
      <c r="AK73" s="89"/>
      <c r="AL73" s="89"/>
      <c r="AM73" s="89"/>
    </row>
    <row r="74" spans="1:39" s="13" customFormat="1" ht="19.5" thickBot="1" x14ac:dyDescent="0.35">
      <c r="A74" s="282">
        <v>1110</v>
      </c>
      <c r="B74" s="59" t="s">
        <v>247</v>
      </c>
      <c r="C74" s="259">
        <v>986160</v>
      </c>
      <c r="D74" s="69"/>
      <c r="E74" s="115"/>
      <c r="F74" s="115">
        <f t="shared" si="2"/>
        <v>986160</v>
      </c>
      <c r="G74" s="115">
        <f t="shared" si="1"/>
        <v>0</v>
      </c>
      <c r="H74" s="88"/>
      <c r="I74" s="88"/>
      <c r="J74" s="88"/>
      <c r="K74" s="88"/>
      <c r="L74" s="88"/>
      <c r="M74" s="88">
        <v>87831</v>
      </c>
      <c r="N74" s="88"/>
      <c r="O74" s="88">
        <v>149064</v>
      </c>
      <c r="P74" s="88"/>
      <c r="Q74" s="88">
        <v>119569</v>
      </c>
      <c r="R74" s="88"/>
      <c r="S74" s="88">
        <v>173687</v>
      </c>
      <c r="T74" s="88"/>
      <c r="U74" s="88">
        <v>131009</v>
      </c>
      <c r="V74" s="88"/>
      <c r="W74" s="88"/>
      <c r="X74" s="88">
        <v>101716</v>
      </c>
      <c r="Y74" s="88"/>
      <c r="Z74" s="88"/>
      <c r="AA74" s="88">
        <v>157670</v>
      </c>
      <c r="AB74" s="88"/>
      <c r="AC74" s="88"/>
      <c r="AD74" s="88">
        <v>65614</v>
      </c>
      <c r="AE74" s="88"/>
      <c r="AF74" s="88"/>
      <c r="AG74" s="88"/>
      <c r="AH74" s="88"/>
      <c r="AI74" s="89"/>
      <c r="AJ74" s="89"/>
      <c r="AK74" s="89"/>
      <c r="AL74" s="89"/>
      <c r="AM74" s="89"/>
    </row>
    <row r="75" spans="1:39" s="13" customFormat="1" ht="19.5" thickBot="1" x14ac:dyDescent="0.35">
      <c r="A75" s="282">
        <v>1120</v>
      </c>
      <c r="B75" s="59" t="s">
        <v>248</v>
      </c>
      <c r="C75" s="259">
        <v>25643</v>
      </c>
      <c r="D75" s="69"/>
      <c r="E75" s="115"/>
      <c r="F75" s="115">
        <f t="shared" si="2"/>
        <v>25643</v>
      </c>
      <c r="G75" s="115">
        <f t="shared" si="1"/>
        <v>0</v>
      </c>
      <c r="H75" s="88"/>
      <c r="I75" s="88"/>
      <c r="J75" s="88"/>
      <c r="K75" s="88"/>
      <c r="L75" s="88"/>
      <c r="M75" s="88"/>
      <c r="N75" s="88">
        <v>11483</v>
      </c>
      <c r="O75" s="88"/>
      <c r="P75" s="88"/>
      <c r="Q75" s="88">
        <v>8612</v>
      </c>
      <c r="R75" s="88"/>
      <c r="S75" s="88">
        <v>5548</v>
      </c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9"/>
      <c r="AJ75" s="89"/>
      <c r="AK75" s="89"/>
      <c r="AL75" s="89"/>
      <c r="AM75" s="89"/>
    </row>
    <row r="76" spans="1:39" s="13" customFormat="1" ht="19.5" thickBot="1" x14ac:dyDescent="0.35">
      <c r="A76" s="282">
        <v>1130</v>
      </c>
      <c r="B76" s="59" t="s">
        <v>249</v>
      </c>
      <c r="C76" s="259">
        <v>122580</v>
      </c>
      <c r="D76" s="69"/>
      <c r="E76" s="115"/>
      <c r="F76" s="115">
        <f t="shared" si="2"/>
        <v>122580</v>
      </c>
      <c r="G76" s="115">
        <f t="shared" si="1"/>
        <v>0</v>
      </c>
      <c r="H76" s="88"/>
      <c r="I76" s="88"/>
      <c r="J76" s="88"/>
      <c r="K76" s="88"/>
      <c r="L76" s="88"/>
      <c r="M76" s="88"/>
      <c r="N76" s="88"/>
      <c r="O76" s="88">
        <v>47913</v>
      </c>
      <c r="P76" s="88"/>
      <c r="Q76" s="88"/>
      <c r="R76" s="88"/>
      <c r="S76" s="88"/>
      <c r="T76" s="88">
        <v>20619</v>
      </c>
      <c r="U76" s="88"/>
      <c r="V76" s="88">
        <f>43400+10648</f>
        <v>54048</v>
      </c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9"/>
      <c r="AJ76" s="89"/>
      <c r="AK76" s="89"/>
      <c r="AL76" s="89"/>
      <c r="AM76" s="89"/>
    </row>
    <row r="77" spans="1:39" s="13" customFormat="1" ht="19.5" thickBot="1" x14ac:dyDescent="0.35">
      <c r="A77" s="282">
        <v>1140</v>
      </c>
      <c r="B77" s="59" t="s">
        <v>250</v>
      </c>
      <c r="C77" s="259">
        <v>735181</v>
      </c>
      <c r="D77" s="69"/>
      <c r="E77" s="115"/>
      <c r="F77" s="115">
        <f t="shared" si="2"/>
        <v>735181</v>
      </c>
      <c r="G77" s="115">
        <f t="shared" si="1"/>
        <v>0</v>
      </c>
      <c r="H77" s="88"/>
      <c r="I77" s="88"/>
      <c r="J77" s="88"/>
      <c r="K77" s="88"/>
      <c r="L77" s="88">
        <v>16966</v>
      </c>
      <c r="M77" s="88"/>
      <c r="N77" s="88">
        <v>146551</v>
      </c>
      <c r="O77" s="88"/>
      <c r="P77" s="88">
        <v>65968</v>
      </c>
      <c r="Q77" s="88">
        <v>149629</v>
      </c>
      <c r="R77" s="88"/>
      <c r="S77" s="88">
        <v>190023</v>
      </c>
      <c r="T77" s="88"/>
      <c r="U77" s="88">
        <f>65481+69145</f>
        <v>134626</v>
      </c>
      <c r="V77" s="88"/>
      <c r="W77" s="88"/>
      <c r="X77" s="88">
        <v>31418</v>
      </c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9"/>
      <c r="AJ77" s="89"/>
      <c r="AK77" s="89"/>
      <c r="AL77" s="89"/>
      <c r="AM77" s="89"/>
    </row>
    <row r="78" spans="1:39" s="13" customFormat="1" ht="19.5" thickBot="1" x14ac:dyDescent="0.35">
      <c r="A78" s="282">
        <v>1150</v>
      </c>
      <c r="B78" s="59" t="s">
        <v>251</v>
      </c>
      <c r="C78" s="259">
        <v>425614</v>
      </c>
      <c r="D78" s="69"/>
      <c r="E78" s="115"/>
      <c r="F78" s="115">
        <f t="shared" ref="F78:F109" si="3">SUM(H78:AH78)</f>
        <v>425614</v>
      </c>
      <c r="G78" s="115">
        <f t="shared" si="1"/>
        <v>0</v>
      </c>
      <c r="H78" s="88"/>
      <c r="I78" s="88"/>
      <c r="J78" s="88"/>
      <c r="K78" s="88"/>
      <c r="L78" s="88"/>
      <c r="M78" s="88">
        <v>18999</v>
      </c>
      <c r="N78" s="88"/>
      <c r="O78" s="88">
        <v>67279</v>
      </c>
      <c r="P78" s="88"/>
      <c r="Q78" s="88">
        <f>39441+38285</f>
        <v>77726</v>
      </c>
      <c r="R78" s="88"/>
      <c r="S78" s="88"/>
      <c r="T78" s="88">
        <v>87832</v>
      </c>
      <c r="U78" s="88">
        <v>37102</v>
      </c>
      <c r="V78" s="88">
        <v>61992</v>
      </c>
      <c r="W78" s="88">
        <v>34340</v>
      </c>
      <c r="X78" s="88">
        <v>31621</v>
      </c>
      <c r="Y78" s="88">
        <v>8723</v>
      </c>
      <c r="Z78" s="88"/>
      <c r="AA78" s="88"/>
      <c r="AB78" s="88"/>
      <c r="AC78" s="88"/>
      <c r="AD78" s="88"/>
      <c r="AE78" s="88"/>
      <c r="AF78" s="88"/>
      <c r="AG78" s="88"/>
      <c r="AH78" s="88"/>
      <c r="AI78" s="89"/>
      <c r="AJ78" s="89"/>
      <c r="AK78" s="89"/>
      <c r="AL78" s="89"/>
      <c r="AM78" s="89"/>
    </row>
    <row r="79" spans="1:39" s="13" customFormat="1" ht="19.5" thickBot="1" x14ac:dyDescent="0.35">
      <c r="A79" s="282">
        <v>1160</v>
      </c>
      <c r="B79" s="59" t="s">
        <v>252</v>
      </c>
      <c r="C79" s="259">
        <v>70517</v>
      </c>
      <c r="D79" s="69"/>
      <c r="E79" s="115"/>
      <c r="F79" s="115">
        <f t="shared" si="3"/>
        <v>70517</v>
      </c>
      <c r="G79" s="115">
        <f t="shared" ref="G79:G142" si="4">IF(ISBLANK(E79),C79-F79,C79-E79)</f>
        <v>0</v>
      </c>
      <c r="H79" s="88"/>
      <c r="I79" s="88"/>
      <c r="J79" s="88"/>
      <c r="K79" s="88"/>
      <c r="L79" s="88"/>
      <c r="M79" s="88">
        <v>35356</v>
      </c>
      <c r="N79" s="88"/>
      <c r="O79" s="88"/>
      <c r="P79" s="88"/>
      <c r="Q79" s="88"/>
      <c r="R79" s="88"/>
      <c r="S79" s="88">
        <v>35161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9"/>
      <c r="AJ79" s="89"/>
      <c r="AK79" s="89"/>
      <c r="AL79" s="89"/>
      <c r="AM79" s="89"/>
    </row>
    <row r="80" spans="1:39" s="13" customFormat="1" ht="19.5" thickBot="1" x14ac:dyDescent="0.35">
      <c r="A80" s="282">
        <v>1180</v>
      </c>
      <c r="B80" s="59" t="s">
        <v>253</v>
      </c>
      <c r="C80" s="259">
        <v>576483</v>
      </c>
      <c r="D80" s="69"/>
      <c r="E80" s="115"/>
      <c r="F80" s="115">
        <f t="shared" si="3"/>
        <v>576483</v>
      </c>
      <c r="G80" s="115">
        <f t="shared" si="4"/>
        <v>0</v>
      </c>
      <c r="H80" s="88"/>
      <c r="I80" s="88"/>
      <c r="J80" s="88"/>
      <c r="K80" s="88"/>
      <c r="L80" s="88"/>
      <c r="M80" s="88"/>
      <c r="N80" s="88"/>
      <c r="O80" s="88"/>
      <c r="P80" s="88">
        <v>168264</v>
      </c>
      <c r="Q80" s="88"/>
      <c r="R80" s="88"/>
      <c r="S80" s="88">
        <v>168019</v>
      </c>
      <c r="T80" s="88"/>
      <c r="U80" s="88"/>
      <c r="V80" s="88"/>
      <c r="W80" s="88">
        <v>91681</v>
      </c>
      <c r="X80" s="88"/>
      <c r="Y80" s="88"/>
      <c r="Z80" s="88"/>
      <c r="AA80" s="88"/>
      <c r="AB80" s="88">
        <v>148519</v>
      </c>
      <c r="AC80" s="88"/>
      <c r="AD80" s="88"/>
      <c r="AE80" s="88"/>
      <c r="AF80" s="88"/>
      <c r="AG80" s="88"/>
      <c r="AH80" s="88"/>
      <c r="AI80" s="89"/>
      <c r="AJ80" s="89"/>
      <c r="AK80" s="89"/>
      <c r="AL80" s="89"/>
      <c r="AM80" s="89"/>
    </row>
    <row r="81" spans="1:39" s="13" customFormat="1" ht="19.5" thickBot="1" x14ac:dyDescent="0.35">
      <c r="A81" s="282">
        <v>1195</v>
      </c>
      <c r="B81" s="59" t="s">
        <v>254</v>
      </c>
      <c r="C81" s="259">
        <v>322688</v>
      </c>
      <c r="D81" s="69"/>
      <c r="E81" s="115"/>
      <c r="F81" s="115">
        <f t="shared" si="3"/>
        <v>322688</v>
      </c>
      <c r="G81" s="115">
        <f t="shared" si="4"/>
        <v>0</v>
      </c>
      <c r="H81" s="88"/>
      <c r="I81" s="88"/>
      <c r="J81" s="88"/>
      <c r="K81" s="88"/>
      <c r="L81" s="88"/>
      <c r="M81" s="88">
        <v>47762</v>
      </c>
      <c r="N81" s="88"/>
      <c r="O81" s="88">
        <v>41805</v>
      </c>
      <c r="P81" s="88">
        <v>39099</v>
      </c>
      <c r="Q81" s="88">
        <v>46044</v>
      </c>
      <c r="R81" s="88"/>
      <c r="S81" s="88" t="s">
        <v>410</v>
      </c>
      <c r="T81" s="88">
        <v>58309</v>
      </c>
      <c r="U81" s="88">
        <v>26169</v>
      </c>
      <c r="V81" s="88">
        <v>32414</v>
      </c>
      <c r="W81" s="88"/>
      <c r="X81" s="88">
        <v>31086</v>
      </c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9"/>
      <c r="AJ81" s="89"/>
      <c r="AK81" s="89"/>
      <c r="AL81" s="89"/>
      <c r="AM81" s="89"/>
    </row>
    <row r="82" spans="1:39" s="13" customFormat="1" ht="19.5" thickBot="1" x14ac:dyDescent="0.35">
      <c r="A82" s="282">
        <v>1220</v>
      </c>
      <c r="B82" s="59" t="s">
        <v>255</v>
      </c>
      <c r="C82" s="259">
        <v>106711</v>
      </c>
      <c r="D82" s="69"/>
      <c r="E82" s="115"/>
      <c r="F82" s="115">
        <f t="shared" si="3"/>
        <v>106711</v>
      </c>
      <c r="G82" s="115">
        <f t="shared" si="4"/>
        <v>0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>
        <v>106711</v>
      </c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9"/>
      <c r="AJ82" s="89"/>
      <c r="AK82" s="89"/>
      <c r="AL82" s="89"/>
      <c r="AM82" s="89"/>
    </row>
    <row r="83" spans="1:39" s="13" customFormat="1" ht="19.5" thickBot="1" x14ac:dyDescent="0.35">
      <c r="A83" s="282">
        <v>1330</v>
      </c>
      <c r="B83" s="59" t="s">
        <v>256</v>
      </c>
      <c r="C83" s="259">
        <v>18615</v>
      </c>
      <c r="D83" s="69"/>
      <c r="E83" s="115"/>
      <c r="F83" s="115">
        <f t="shared" si="3"/>
        <v>18615</v>
      </c>
      <c r="G83" s="115">
        <f t="shared" si="4"/>
        <v>0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>
        <v>17418</v>
      </c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>
        <v>1197</v>
      </c>
      <c r="AE83" s="88"/>
      <c r="AF83" s="88"/>
      <c r="AG83" s="88"/>
      <c r="AH83" s="88"/>
      <c r="AI83" s="89"/>
      <c r="AJ83" s="89"/>
      <c r="AK83" s="89"/>
      <c r="AL83" s="89"/>
      <c r="AM83" s="89"/>
    </row>
    <row r="84" spans="1:39" s="13" customFormat="1" ht="19.5" thickBot="1" x14ac:dyDescent="0.35">
      <c r="A84" s="282">
        <v>1340</v>
      </c>
      <c r="B84" s="59" t="s">
        <v>257</v>
      </c>
      <c r="C84" s="259">
        <v>59894</v>
      </c>
      <c r="D84" s="69"/>
      <c r="E84" s="115"/>
      <c r="F84" s="115">
        <f t="shared" si="3"/>
        <v>59894</v>
      </c>
      <c r="G84" s="115">
        <f t="shared" si="4"/>
        <v>0</v>
      </c>
      <c r="H84" s="88"/>
      <c r="I84" s="88"/>
      <c r="J84" s="88"/>
      <c r="K84" s="88"/>
      <c r="L84" s="88"/>
      <c r="M84" s="88"/>
      <c r="N84" s="88"/>
      <c r="O84" s="88"/>
      <c r="P84" s="88"/>
      <c r="Q84" s="88">
        <v>37036</v>
      </c>
      <c r="R84" s="88"/>
      <c r="S84" s="88">
        <v>17223</v>
      </c>
      <c r="T84" s="88"/>
      <c r="U84" s="88"/>
      <c r="V84" s="88"/>
      <c r="W84" s="88">
        <v>5635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9"/>
      <c r="AJ84" s="89"/>
      <c r="AK84" s="89"/>
      <c r="AL84" s="89"/>
      <c r="AM84" s="89"/>
    </row>
    <row r="85" spans="1:39" s="13" customFormat="1" ht="19.5" thickBot="1" x14ac:dyDescent="0.35">
      <c r="A85" s="282">
        <v>1350</v>
      </c>
      <c r="B85" s="59" t="s">
        <v>258</v>
      </c>
      <c r="C85" s="259">
        <v>141568</v>
      </c>
      <c r="D85" s="69"/>
      <c r="E85" s="115"/>
      <c r="F85" s="115">
        <f t="shared" si="3"/>
        <v>141568</v>
      </c>
      <c r="G85" s="115">
        <f t="shared" si="4"/>
        <v>0</v>
      </c>
      <c r="H85" s="88"/>
      <c r="I85" s="88"/>
      <c r="J85" s="88"/>
      <c r="K85" s="88"/>
      <c r="L85" s="88"/>
      <c r="M85" s="88">
        <v>40143</v>
      </c>
      <c r="N85" s="88"/>
      <c r="O85" s="88">
        <v>18550</v>
      </c>
      <c r="P85" s="88"/>
      <c r="Q85" s="88"/>
      <c r="R85" s="88">
        <v>24898</v>
      </c>
      <c r="S85" s="88">
        <v>17525</v>
      </c>
      <c r="T85" s="88">
        <v>22811</v>
      </c>
      <c r="U85" s="88"/>
      <c r="V85" s="88">
        <v>17641</v>
      </c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9"/>
      <c r="AJ85" s="89"/>
      <c r="AK85" s="89"/>
      <c r="AL85" s="89"/>
      <c r="AM85" s="89"/>
    </row>
    <row r="86" spans="1:39" s="13" customFormat="1" ht="19.5" thickBot="1" x14ac:dyDescent="0.35">
      <c r="A86" s="282">
        <v>1360</v>
      </c>
      <c r="B86" s="59" t="s">
        <v>259</v>
      </c>
      <c r="C86" s="259">
        <v>183609</v>
      </c>
      <c r="D86" s="69"/>
      <c r="E86" s="115"/>
      <c r="F86" s="115">
        <f t="shared" si="3"/>
        <v>183609</v>
      </c>
      <c r="G86" s="115">
        <f t="shared" si="4"/>
        <v>0</v>
      </c>
      <c r="H86" s="88"/>
      <c r="I86" s="88"/>
      <c r="J86" s="88"/>
      <c r="K86" s="88"/>
      <c r="L86" s="88"/>
      <c r="M86" s="88"/>
      <c r="N86" s="88"/>
      <c r="O86" s="88">
        <v>48732</v>
      </c>
      <c r="P86" s="88"/>
      <c r="Q86" s="88"/>
      <c r="R86" s="88"/>
      <c r="S86" s="88">
        <v>55012</v>
      </c>
      <c r="T86" s="88"/>
      <c r="U86" s="88"/>
      <c r="V86" s="88"/>
      <c r="W86" s="88"/>
      <c r="X86" s="88"/>
      <c r="Y86" s="88">
        <v>66213</v>
      </c>
      <c r="Z86" s="88">
        <v>13652</v>
      </c>
      <c r="AA86" s="88"/>
      <c r="AB86" s="88"/>
      <c r="AC86" s="88"/>
      <c r="AD86" s="88"/>
      <c r="AE86" s="88"/>
      <c r="AF86" s="88"/>
      <c r="AG86" s="88"/>
      <c r="AH86" s="88"/>
      <c r="AI86" s="89"/>
      <c r="AJ86" s="89"/>
      <c r="AK86" s="89"/>
      <c r="AL86" s="89"/>
      <c r="AM86" s="89"/>
    </row>
    <row r="87" spans="1:39" s="13" customFormat="1" ht="19.5" thickBot="1" x14ac:dyDescent="0.35">
      <c r="A87" s="282">
        <v>1380</v>
      </c>
      <c r="B87" s="59" t="s">
        <v>260</v>
      </c>
      <c r="C87" s="259">
        <v>21189</v>
      </c>
      <c r="D87" s="69"/>
      <c r="E87" s="115"/>
      <c r="F87" s="115">
        <f t="shared" si="3"/>
        <v>21189</v>
      </c>
      <c r="G87" s="115">
        <f t="shared" si="4"/>
        <v>0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>
        <v>21189</v>
      </c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9"/>
      <c r="AJ87" s="89"/>
      <c r="AK87" s="89"/>
      <c r="AL87" s="89"/>
      <c r="AM87" s="89"/>
    </row>
    <row r="88" spans="1:39" s="13" customFormat="1" ht="19.5" thickBot="1" x14ac:dyDescent="0.35">
      <c r="A88" s="282">
        <v>1390</v>
      </c>
      <c r="B88" s="59" t="s">
        <v>261</v>
      </c>
      <c r="C88" s="259">
        <v>308563</v>
      </c>
      <c r="D88" s="69"/>
      <c r="E88" s="115"/>
      <c r="F88" s="115">
        <f t="shared" si="3"/>
        <v>308563</v>
      </c>
      <c r="G88" s="115">
        <f t="shared" si="4"/>
        <v>0</v>
      </c>
      <c r="H88" s="88"/>
      <c r="I88" s="88"/>
      <c r="J88" s="88"/>
      <c r="K88" s="88"/>
      <c r="L88" s="88"/>
      <c r="M88" s="88"/>
      <c r="N88" s="88">
        <v>134107</v>
      </c>
      <c r="O88" s="88"/>
      <c r="P88" s="88"/>
      <c r="Q88" s="88"/>
      <c r="R88" s="88"/>
      <c r="S88" s="88">
        <v>151893</v>
      </c>
      <c r="T88" s="88">
        <v>21995</v>
      </c>
      <c r="U88" s="88"/>
      <c r="V88" s="88"/>
      <c r="W88" s="88"/>
      <c r="X88" s="88"/>
      <c r="Y88" s="88">
        <v>541</v>
      </c>
      <c r="Z88" s="88">
        <v>27</v>
      </c>
      <c r="AA88" s="88"/>
      <c r="AB88" s="88"/>
      <c r="AC88" s="88"/>
      <c r="AD88" s="88"/>
      <c r="AE88" s="88"/>
      <c r="AF88" s="88"/>
      <c r="AG88" s="88"/>
      <c r="AH88" s="88"/>
      <c r="AI88" s="89"/>
      <c r="AJ88" s="89"/>
      <c r="AK88" s="89"/>
      <c r="AL88" s="89"/>
      <c r="AM88" s="89"/>
    </row>
    <row r="89" spans="1:39" s="13" customFormat="1" ht="19.5" thickBot="1" x14ac:dyDescent="0.35">
      <c r="A89" s="282">
        <v>1400</v>
      </c>
      <c r="B89" s="59" t="s">
        <v>262</v>
      </c>
      <c r="C89" s="259">
        <v>39305</v>
      </c>
      <c r="D89" s="69"/>
      <c r="E89" s="115"/>
      <c r="F89" s="115">
        <f t="shared" si="3"/>
        <v>39305</v>
      </c>
      <c r="G89" s="115">
        <f t="shared" si="4"/>
        <v>0</v>
      </c>
      <c r="H89" s="88"/>
      <c r="I89" s="88"/>
      <c r="J89" s="88"/>
      <c r="K89" s="88"/>
      <c r="L89" s="88">
        <v>7938</v>
      </c>
      <c r="M89" s="88"/>
      <c r="N89" s="88"/>
      <c r="O89" s="88">
        <v>5642</v>
      </c>
      <c r="P89" s="88"/>
      <c r="Q89" s="88">
        <v>7214</v>
      </c>
      <c r="R89" s="88"/>
      <c r="S89" s="88">
        <v>5575</v>
      </c>
      <c r="T89" s="88">
        <v>4140</v>
      </c>
      <c r="U89" s="88">
        <v>6593</v>
      </c>
      <c r="V89" s="88">
        <v>1388</v>
      </c>
      <c r="W89" s="88"/>
      <c r="X89" s="88">
        <v>815</v>
      </c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9"/>
      <c r="AJ89" s="89"/>
      <c r="AK89" s="89"/>
      <c r="AL89" s="89"/>
      <c r="AM89" s="89"/>
    </row>
    <row r="90" spans="1:39" s="13" customFormat="1" ht="19.5" thickBot="1" x14ac:dyDescent="0.35">
      <c r="A90" s="282">
        <v>1410</v>
      </c>
      <c r="B90" s="61" t="s">
        <v>263</v>
      </c>
      <c r="C90" s="259">
        <v>46849</v>
      </c>
      <c r="D90" s="69" t="s">
        <v>384</v>
      </c>
      <c r="E90" s="115">
        <f>C90</f>
        <v>46849</v>
      </c>
      <c r="F90" s="115">
        <f t="shared" si="3"/>
        <v>0</v>
      </c>
      <c r="G90" s="115">
        <f t="shared" si="4"/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9"/>
      <c r="AJ90" s="89"/>
      <c r="AK90" s="89"/>
      <c r="AL90" s="89"/>
      <c r="AM90" s="89"/>
    </row>
    <row r="91" spans="1:39" s="13" customFormat="1" ht="19.5" thickBot="1" x14ac:dyDescent="0.35">
      <c r="A91" s="282">
        <v>1420</v>
      </c>
      <c r="B91" s="59" t="s">
        <v>264</v>
      </c>
      <c r="C91" s="259">
        <v>10228885</v>
      </c>
      <c r="D91" s="69"/>
      <c r="E91" s="115"/>
      <c r="F91" s="115">
        <f t="shared" si="3"/>
        <v>10228885</v>
      </c>
      <c r="G91" s="115">
        <f t="shared" si="4"/>
        <v>0</v>
      </c>
      <c r="H91" s="88"/>
      <c r="I91" s="88"/>
      <c r="J91" s="88"/>
      <c r="K91" s="88"/>
      <c r="L91" s="88"/>
      <c r="M91" s="88">
        <v>89922</v>
      </c>
      <c r="N91" s="88">
        <v>715073</v>
      </c>
      <c r="O91" s="88">
        <v>811719</v>
      </c>
      <c r="P91" s="88">
        <v>847150</v>
      </c>
      <c r="Q91" s="88">
        <v>873074</v>
      </c>
      <c r="R91" s="88">
        <v>2125019</v>
      </c>
      <c r="S91" s="88">
        <v>1409326</v>
      </c>
      <c r="T91" s="88">
        <v>952853</v>
      </c>
      <c r="U91" s="88"/>
      <c r="V91" s="88">
        <v>1158208</v>
      </c>
      <c r="W91" s="88"/>
      <c r="X91" s="88">
        <f>933230+313311</f>
        <v>1246541</v>
      </c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9"/>
      <c r="AJ91" s="89"/>
      <c r="AK91" s="89"/>
      <c r="AL91" s="89"/>
      <c r="AM91" s="89"/>
    </row>
    <row r="92" spans="1:39" s="13" customFormat="1" ht="19.5" thickBot="1" x14ac:dyDescent="0.35">
      <c r="A92" s="282">
        <v>1430</v>
      </c>
      <c r="B92" s="59" t="s">
        <v>265</v>
      </c>
      <c r="C92" s="259">
        <v>21992</v>
      </c>
      <c r="D92" s="69"/>
      <c r="E92" s="115"/>
      <c r="F92" s="115">
        <f t="shared" si="3"/>
        <v>21992</v>
      </c>
      <c r="G92" s="115">
        <f t="shared" si="4"/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>
        <v>21992</v>
      </c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9"/>
      <c r="AJ92" s="89"/>
      <c r="AK92" s="89"/>
      <c r="AL92" s="89"/>
      <c r="AM92" s="89"/>
    </row>
    <row r="93" spans="1:39" s="13" customFormat="1" ht="19.5" thickBot="1" x14ac:dyDescent="0.35">
      <c r="A93" s="282">
        <v>1440</v>
      </c>
      <c r="B93" s="59" t="s">
        <v>266</v>
      </c>
      <c r="C93" s="259">
        <v>14005</v>
      </c>
      <c r="D93" s="69"/>
      <c r="E93" s="115"/>
      <c r="F93" s="115">
        <f t="shared" si="3"/>
        <v>11184</v>
      </c>
      <c r="G93" s="115">
        <f t="shared" si="4"/>
        <v>2821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>
        <v>11184</v>
      </c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9"/>
      <c r="AJ93" s="89"/>
      <c r="AK93" s="89"/>
      <c r="AL93" s="89"/>
      <c r="AM93" s="89"/>
    </row>
    <row r="94" spans="1:39" s="13" customFormat="1" ht="19.5" thickBot="1" x14ac:dyDescent="0.35">
      <c r="A94" s="282">
        <v>1450</v>
      </c>
      <c r="B94" s="59" t="s">
        <v>267</v>
      </c>
      <c r="C94" s="259">
        <v>28440</v>
      </c>
      <c r="D94" s="69" t="s">
        <v>381</v>
      </c>
      <c r="E94" s="115">
        <f>C94</f>
        <v>28440</v>
      </c>
      <c r="F94" s="115">
        <f t="shared" si="3"/>
        <v>0</v>
      </c>
      <c r="G94" s="115">
        <f t="shared" si="4"/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9"/>
      <c r="AJ94" s="89"/>
      <c r="AK94" s="89"/>
      <c r="AL94" s="89"/>
      <c r="AM94" s="89"/>
    </row>
    <row r="95" spans="1:39" s="13" customFormat="1" ht="19.5" thickBot="1" x14ac:dyDescent="0.35">
      <c r="A95" s="282">
        <v>1460</v>
      </c>
      <c r="B95" s="59" t="s">
        <v>268</v>
      </c>
      <c r="C95" s="259">
        <v>29937</v>
      </c>
      <c r="D95" s="69" t="s">
        <v>381</v>
      </c>
      <c r="E95" s="115">
        <f>C95</f>
        <v>29937</v>
      </c>
      <c r="F95" s="115">
        <f t="shared" si="3"/>
        <v>0</v>
      </c>
      <c r="G95" s="115">
        <f t="shared" si="4"/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9"/>
      <c r="AJ95" s="89"/>
      <c r="AK95" s="89"/>
      <c r="AL95" s="89"/>
      <c r="AM95" s="89"/>
    </row>
    <row r="96" spans="1:39" s="13" customFormat="1" ht="19.5" thickBot="1" x14ac:dyDescent="0.35">
      <c r="A96" s="282">
        <v>1480</v>
      </c>
      <c r="B96" s="59" t="s">
        <v>269</v>
      </c>
      <c r="C96" s="259">
        <v>27446</v>
      </c>
      <c r="D96" s="69" t="s">
        <v>381</v>
      </c>
      <c r="E96" s="115">
        <f>C96</f>
        <v>27446</v>
      </c>
      <c r="F96" s="115">
        <f t="shared" si="3"/>
        <v>0</v>
      </c>
      <c r="G96" s="115">
        <f t="shared" si="4"/>
        <v>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9"/>
      <c r="AJ96" s="89"/>
      <c r="AK96" s="89"/>
      <c r="AL96" s="89"/>
      <c r="AM96" s="89"/>
    </row>
    <row r="97" spans="1:39" s="13" customFormat="1" ht="19.5" thickBot="1" x14ac:dyDescent="0.35">
      <c r="A97" s="282">
        <v>1490</v>
      </c>
      <c r="B97" s="59" t="s">
        <v>270</v>
      </c>
      <c r="C97" s="259">
        <v>39102</v>
      </c>
      <c r="D97" s="69" t="s">
        <v>381</v>
      </c>
      <c r="E97" s="115">
        <f>C97</f>
        <v>39102</v>
      </c>
      <c r="F97" s="115">
        <f t="shared" si="3"/>
        <v>0</v>
      </c>
      <c r="G97" s="115">
        <f t="shared" si="4"/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9"/>
      <c r="AJ97" s="89"/>
      <c r="AK97" s="89"/>
      <c r="AL97" s="89"/>
      <c r="AM97" s="89"/>
    </row>
    <row r="98" spans="1:39" s="13" customFormat="1" ht="19.5" thickBot="1" x14ac:dyDescent="0.35">
      <c r="A98" s="282">
        <v>1500</v>
      </c>
      <c r="B98" s="59" t="s">
        <v>271</v>
      </c>
      <c r="C98" s="259">
        <v>118133</v>
      </c>
      <c r="D98" s="69" t="s">
        <v>381</v>
      </c>
      <c r="E98" s="115">
        <f>C98</f>
        <v>118133</v>
      </c>
      <c r="F98" s="115">
        <f t="shared" si="3"/>
        <v>0</v>
      </c>
      <c r="G98" s="115">
        <f t="shared" si="4"/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9"/>
      <c r="AJ98" s="89"/>
      <c r="AK98" s="89"/>
      <c r="AL98" s="89"/>
      <c r="AM98" s="89"/>
    </row>
    <row r="99" spans="1:39" s="13" customFormat="1" ht="19.5" thickBot="1" x14ac:dyDescent="0.35">
      <c r="A99" s="282">
        <v>1510</v>
      </c>
      <c r="B99" s="59" t="s">
        <v>272</v>
      </c>
      <c r="C99" s="259">
        <v>263248</v>
      </c>
      <c r="D99" s="69"/>
      <c r="E99" s="115"/>
      <c r="F99" s="115">
        <f t="shared" si="3"/>
        <v>263248</v>
      </c>
      <c r="G99" s="115">
        <f t="shared" si="4"/>
        <v>0</v>
      </c>
      <c r="H99" s="88"/>
      <c r="I99" s="88"/>
      <c r="J99" s="88"/>
      <c r="K99" s="88"/>
      <c r="L99" s="88">
        <v>33883</v>
      </c>
      <c r="M99" s="88">
        <v>23207</v>
      </c>
      <c r="N99" s="88"/>
      <c r="O99" s="88">
        <f>20383+20271</f>
        <v>40654</v>
      </c>
      <c r="P99" s="88">
        <v>20011</v>
      </c>
      <c r="Q99" s="88">
        <v>20289</v>
      </c>
      <c r="R99" s="88"/>
      <c r="S99" s="88">
        <v>82297</v>
      </c>
      <c r="T99" s="88">
        <v>4154</v>
      </c>
      <c r="U99" s="88"/>
      <c r="V99" s="88"/>
      <c r="W99" s="88"/>
      <c r="X99" s="88"/>
      <c r="Y99" s="88">
        <v>38753</v>
      </c>
      <c r="Z99" s="88"/>
      <c r="AA99" s="88"/>
      <c r="AB99" s="88"/>
      <c r="AC99" s="88"/>
      <c r="AD99" s="88"/>
      <c r="AE99" s="88"/>
      <c r="AF99" s="88"/>
      <c r="AG99" s="88"/>
      <c r="AH99" s="88"/>
      <c r="AI99" s="89"/>
      <c r="AJ99" s="89"/>
      <c r="AK99" s="89"/>
      <c r="AL99" s="89"/>
      <c r="AM99" s="89"/>
    </row>
    <row r="100" spans="1:39" s="13" customFormat="1" ht="19.5" thickBot="1" x14ac:dyDescent="0.35">
      <c r="A100" s="282">
        <v>1520</v>
      </c>
      <c r="B100" s="59" t="s">
        <v>273</v>
      </c>
      <c r="C100" s="259">
        <v>431615</v>
      </c>
      <c r="D100" s="69"/>
      <c r="E100" s="115"/>
      <c r="F100" s="115">
        <f t="shared" si="3"/>
        <v>431615</v>
      </c>
      <c r="G100" s="115">
        <f t="shared" si="4"/>
        <v>0</v>
      </c>
      <c r="H100" s="88"/>
      <c r="I100" s="88"/>
      <c r="J100" s="88"/>
      <c r="K100" s="88"/>
      <c r="L100" s="88"/>
      <c r="M100" s="88">
        <v>99072</v>
      </c>
      <c r="N100" s="88"/>
      <c r="O100" s="88">
        <v>32836</v>
      </c>
      <c r="P100" s="88">
        <v>33960</v>
      </c>
      <c r="Q100" s="88">
        <v>34274</v>
      </c>
      <c r="R100" s="88">
        <v>34035</v>
      </c>
      <c r="S100" s="88">
        <v>39289</v>
      </c>
      <c r="T100" s="88"/>
      <c r="U100" s="88">
        <v>18420</v>
      </c>
      <c r="V100" s="88">
        <v>123407</v>
      </c>
      <c r="W100" s="88">
        <v>2613</v>
      </c>
      <c r="X100" s="88"/>
      <c r="Y100" s="88"/>
      <c r="Z100" s="88"/>
      <c r="AA100" s="88">
        <v>13709</v>
      </c>
      <c r="AB100" s="88"/>
      <c r="AC100" s="88"/>
      <c r="AD100" s="88"/>
      <c r="AE100" s="88"/>
      <c r="AF100" s="88"/>
      <c r="AG100" s="88"/>
      <c r="AH100" s="88"/>
      <c r="AI100" s="89"/>
      <c r="AJ100" s="89"/>
      <c r="AK100" s="89"/>
      <c r="AL100" s="89"/>
      <c r="AM100" s="89"/>
    </row>
    <row r="101" spans="1:39" s="13" customFormat="1" ht="19.5" thickBot="1" x14ac:dyDescent="0.35">
      <c r="A101" s="282">
        <v>1530</v>
      </c>
      <c r="B101" s="59" t="s">
        <v>274</v>
      </c>
      <c r="C101" s="259">
        <v>92929</v>
      </c>
      <c r="D101" s="69"/>
      <c r="E101" s="115"/>
      <c r="F101" s="115">
        <f t="shared" si="3"/>
        <v>92929</v>
      </c>
      <c r="G101" s="115">
        <f t="shared" si="4"/>
        <v>0</v>
      </c>
      <c r="H101" s="88"/>
      <c r="I101" s="88"/>
      <c r="J101" s="88"/>
      <c r="K101" s="88"/>
      <c r="L101" s="88"/>
      <c r="M101" s="88"/>
      <c r="N101" s="88"/>
      <c r="O101" s="88">
        <v>35923</v>
      </c>
      <c r="P101" s="88"/>
      <c r="Q101" s="88"/>
      <c r="R101" s="88"/>
      <c r="S101" s="88">
        <v>49557</v>
      </c>
      <c r="T101" s="88"/>
      <c r="U101" s="88"/>
      <c r="V101" s="88">
        <v>2103</v>
      </c>
      <c r="W101" s="88"/>
      <c r="X101" s="88"/>
      <c r="Y101" s="88"/>
      <c r="Z101" s="88"/>
      <c r="AA101" s="88"/>
      <c r="AB101" s="88">
        <v>5346</v>
      </c>
      <c r="AC101" s="88"/>
      <c r="AD101" s="88"/>
      <c r="AE101" s="88"/>
      <c r="AF101" s="88"/>
      <c r="AG101" s="88"/>
      <c r="AH101" s="88"/>
      <c r="AI101" s="89"/>
      <c r="AJ101" s="89"/>
      <c r="AK101" s="89"/>
      <c r="AL101" s="89"/>
      <c r="AM101" s="89"/>
    </row>
    <row r="102" spans="1:39" s="13" customFormat="1" ht="19.5" thickBot="1" x14ac:dyDescent="0.35">
      <c r="A102" s="282">
        <v>1540</v>
      </c>
      <c r="B102" s="59" t="s">
        <v>275</v>
      </c>
      <c r="C102" s="259">
        <v>206151</v>
      </c>
      <c r="D102" s="69"/>
      <c r="E102" s="115"/>
      <c r="F102" s="115">
        <f t="shared" si="3"/>
        <v>206151</v>
      </c>
      <c r="G102" s="115">
        <f t="shared" si="4"/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>
        <v>189320</v>
      </c>
      <c r="U102" s="88"/>
      <c r="V102" s="88"/>
      <c r="W102" s="88"/>
      <c r="X102" s="88">
        <v>16831</v>
      </c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9"/>
      <c r="AJ102" s="89"/>
      <c r="AK102" s="89"/>
      <c r="AL102" s="89"/>
      <c r="AM102" s="89"/>
    </row>
    <row r="103" spans="1:39" s="13" customFormat="1" ht="19.5" thickBot="1" x14ac:dyDescent="0.35">
      <c r="A103" s="282">
        <v>1550</v>
      </c>
      <c r="B103" s="59" t="s">
        <v>276</v>
      </c>
      <c r="C103" s="259">
        <v>2821274</v>
      </c>
      <c r="D103" s="69"/>
      <c r="E103" s="115"/>
      <c r="F103" s="115">
        <f t="shared" si="3"/>
        <v>2821274</v>
      </c>
      <c r="G103" s="115">
        <f t="shared" si="4"/>
        <v>0</v>
      </c>
      <c r="H103" s="88"/>
      <c r="I103" s="88"/>
      <c r="J103" s="88"/>
      <c r="K103" s="88"/>
      <c r="L103" s="88"/>
      <c r="M103" s="88"/>
      <c r="N103" s="88"/>
      <c r="O103" s="88">
        <v>227858</v>
      </c>
      <c r="P103" s="88"/>
      <c r="Q103" s="88">
        <v>434983</v>
      </c>
      <c r="R103" s="88"/>
      <c r="S103" s="88">
        <v>399984</v>
      </c>
      <c r="T103" s="88"/>
      <c r="U103" s="88">
        <v>469778</v>
      </c>
      <c r="V103" s="88"/>
      <c r="W103" s="88"/>
      <c r="X103" s="88">
        <v>255837</v>
      </c>
      <c r="Y103" s="88"/>
      <c r="Z103" s="88">
        <v>900677</v>
      </c>
      <c r="AA103" s="88"/>
      <c r="AB103" s="88">
        <v>132157</v>
      </c>
      <c r="AC103" s="88"/>
      <c r="AD103" s="88"/>
      <c r="AE103" s="88"/>
      <c r="AF103" s="88"/>
      <c r="AG103" s="88"/>
      <c r="AH103" s="88"/>
      <c r="AI103" s="89"/>
      <c r="AJ103" s="89"/>
      <c r="AK103" s="89"/>
      <c r="AL103" s="89"/>
      <c r="AM103" s="89"/>
    </row>
    <row r="104" spans="1:39" s="13" customFormat="1" ht="19.5" thickBot="1" x14ac:dyDescent="0.35">
      <c r="A104" s="282">
        <v>1560</v>
      </c>
      <c r="B104" s="59" t="s">
        <v>277</v>
      </c>
      <c r="C104" s="259">
        <v>1554905</v>
      </c>
      <c r="D104" s="69"/>
      <c r="E104" s="115"/>
      <c r="F104" s="115">
        <f t="shared" si="3"/>
        <v>1554905</v>
      </c>
      <c r="G104" s="115">
        <f t="shared" si="4"/>
        <v>0</v>
      </c>
      <c r="H104" s="88"/>
      <c r="I104" s="88"/>
      <c r="J104" s="88"/>
      <c r="K104" s="88"/>
      <c r="L104" s="88"/>
      <c r="M104" s="88"/>
      <c r="N104" s="88">
        <v>77889</v>
      </c>
      <c r="O104" s="88">
        <f>121799+86974</f>
        <v>208773</v>
      </c>
      <c r="P104" s="88"/>
      <c r="Q104" s="88"/>
      <c r="R104" s="88">
        <v>140620</v>
      </c>
      <c r="S104" s="88">
        <f>232893+127964</f>
        <v>360857</v>
      </c>
      <c r="T104" s="218">
        <v>130913</v>
      </c>
      <c r="U104" s="88"/>
      <c r="V104" s="88">
        <v>278826</v>
      </c>
      <c r="W104" s="88">
        <v>132505</v>
      </c>
      <c r="X104" s="88">
        <v>117587</v>
      </c>
      <c r="Y104" s="88">
        <v>106935</v>
      </c>
      <c r="Z104" s="88"/>
      <c r="AA104" s="88"/>
      <c r="AB104" s="88"/>
      <c r="AC104" s="88"/>
      <c r="AD104" s="88"/>
      <c r="AE104" s="88"/>
      <c r="AF104" s="88"/>
      <c r="AG104" s="88"/>
      <c r="AH104" s="88"/>
      <c r="AI104" s="89"/>
      <c r="AJ104" s="89"/>
      <c r="AK104" s="89"/>
      <c r="AL104" s="89"/>
      <c r="AM104" s="89"/>
    </row>
    <row r="105" spans="1:39" s="13" customFormat="1" ht="19.5" thickBot="1" x14ac:dyDescent="0.35">
      <c r="A105" s="282">
        <v>1570</v>
      </c>
      <c r="B105" s="59" t="s">
        <v>278</v>
      </c>
      <c r="C105" s="259">
        <v>86276</v>
      </c>
      <c r="D105" s="69"/>
      <c r="E105" s="115"/>
      <c r="F105" s="115">
        <f t="shared" si="3"/>
        <v>86276</v>
      </c>
      <c r="G105" s="115">
        <f t="shared" si="4"/>
        <v>0</v>
      </c>
      <c r="H105" s="88"/>
      <c r="I105" s="88"/>
      <c r="J105" s="88"/>
      <c r="K105" s="88"/>
      <c r="L105" s="88"/>
      <c r="M105" s="88"/>
      <c r="N105" s="88"/>
      <c r="O105" s="88"/>
      <c r="P105" s="88">
        <v>19335</v>
      </c>
      <c r="Q105" s="88"/>
      <c r="R105" s="88"/>
      <c r="S105" s="88">
        <v>20301</v>
      </c>
      <c r="T105" s="88"/>
      <c r="U105" s="88"/>
      <c r="V105" s="88">
        <v>19581</v>
      </c>
      <c r="W105" s="88"/>
      <c r="X105" s="88"/>
      <c r="Y105" s="88"/>
      <c r="Z105" s="88">
        <v>27059</v>
      </c>
      <c r="AA105" s="88"/>
      <c r="AB105" s="88"/>
      <c r="AC105" s="88"/>
      <c r="AD105" s="88"/>
      <c r="AE105" s="88"/>
      <c r="AF105" s="88"/>
      <c r="AG105" s="88"/>
      <c r="AH105" s="88"/>
      <c r="AI105" s="89"/>
      <c r="AJ105" s="89"/>
      <c r="AK105" s="89"/>
      <c r="AL105" s="89"/>
      <c r="AM105" s="89"/>
    </row>
    <row r="106" spans="1:39" s="13" customFormat="1" ht="19.5" thickBot="1" x14ac:dyDescent="0.35">
      <c r="A106" s="282">
        <v>1580</v>
      </c>
      <c r="B106" s="59" t="s">
        <v>279</v>
      </c>
      <c r="C106" s="259">
        <v>366331</v>
      </c>
      <c r="D106" s="69"/>
      <c r="E106" s="115"/>
      <c r="F106" s="115">
        <f t="shared" si="3"/>
        <v>366331</v>
      </c>
      <c r="G106" s="115">
        <f t="shared" si="4"/>
        <v>0</v>
      </c>
      <c r="H106" s="88"/>
      <c r="I106" s="88"/>
      <c r="J106" s="88"/>
      <c r="K106" s="88"/>
      <c r="L106" s="88"/>
      <c r="M106" s="88">
        <v>41747</v>
      </c>
      <c r="N106" s="88">
        <v>64302</v>
      </c>
      <c r="O106" s="88">
        <v>28661</v>
      </c>
      <c r="P106" s="88">
        <v>33902</v>
      </c>
      <c r="Q106" s="88">
        <v>34647</v>
      </c>
      <c r="R106" s="88">
        <v>24693</v>
      </c>
      <c r="S106" s="88">
        <v>38739</v>
      </c>
      <c r="T106" s="88">
        <v>29148</v>
      </c>
      <c r="U106" s="88">
        <f>48052+634</f>
        <v>48686</v>
      </c>
      <c r="V106" s="88"/>
      <c r="W106" s="88"/>
      <c r="X106" s="88">
        <v>21806</v>
      </c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9"/>
      <c r="AJ106" s="89"/>
      <c r="AK106" s="89"/>
      <c r="AL106" s="89"/>
      <c r="AM106" s="89"/>
    </row>
    <row r="107" spans="1:39" s="13" customFormat="1" ht="19.5" thickBot="1" x14ac:dyDescent="0.35">
      <c r="A107" s="282">
        <v>1590</v>
      </c>
      <c r="B107" s="59" t="s">
        <v>280</v>
      </c>
      <c r="C107" s="259">
        <v>44475</v>
      </c>
      <c r="D107" s="69"/>
      <c r="E107" s="115"/>
      <c r="F107" s="115">
        <f t="shared" si="3"/>
        <v>44475</v>
      </c>
      <c r="G107" s="115">
        <f t="shared" si="4"/>
        <v>0</v>
      </c>
      <c r="H107" s="88"/>
      <c r="I107" s="88"/>
      <c r="J107" s="88"/>
      <c r="K107" s="88"/>
      <c r="L107" s="88"/>
      <c r="M107" s="88"/>
      <c r="N107" s="88"/>
      <c r="O107" s="88"/>
      <c r="P107" s="88">
        <v>33571</v>
      </c>
      <c r="Q107" s="88"/>
      <c r="R107" s="88">
        <v>10904</v>
      </c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9"/>
      <c r="AJ107" s="89"/>
      <c r="AK107" s="89"/>
      <c r="AL107" s="89"/>
      <c r="AM107" s="89"/>
    </row>
    <row r="108" spans="1:39" s="13" customFormat="1" ht="19.5" thickBot="1" x14ac:dyDescent="0.35">
      <c r="A108" s="282">
        <v>1600</v>
      </c>
      <c r="B108" s="59" t="s">
        <v>281</v>
      </c>
      <c r="C108" s="259">
        <v>32130</v>
      </c>
      <c r="D108" s="69"/>
      <c r="E108" s="115"/>
      <c r="F108" s="115">
        <f t="shared" si="3"/>
        <v>32130</v>
      </c>
      <c r="G108" s="115">
        <f t="shared" si="4"/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>
        <v>32130</v>
      </c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9"/>
      <c r="AJ108" s="89"/>
      <c r="AK108" s="89"/>
      <c r="AL108" s="89"/>
      <c r="AM108" s="89"/>
    </row>
    <row r="109" spans="1:39" s="13" customFormat="1" ht="19.5" thickBot="1" x14ac:dyDescent="0.35">
      <c r="A109" s="282">
        <v>1620</v>
      </c>
      <c r="B109" s="59" t="s">
        <v>282</v>
      </c>
      <c r="C109" s="259">
        <v>106441</v>
      </c>
      <c r="D109" s="69"/>
      <c r="E109" s="115"/>
      <c r="F109" s="115">
        <f t="shared" si="3"/>
        <v>106441</v>
      </c>
      <c r="G109" s="115">
        <f t="shared" si="4"/>
        <v>0</v>
      </c>
      <c r="H109" s="88"/>
      <c r="I109" s="88"/>
      <c r="J109" s="88"/>
      <c r="K109" s="88"/>
      <c r="L109" s="88"/>
      <c r="M109" s="88">
        <v>11605</v>
      </c>
      <c r="N109" s="88"/>
      <c r="O109" s="88"/>
      <c r="P109" s="88">
        <v>35000</v>
      </c>
      <c r="Q109" s="88"/>
      <c r="R109" s="88"/>
      <c r="S109" s="88"/>
      <c r="T109" s="88">
        <v>50766</v>
      </c>
      <c r="U109" s="88"/>
      <c r="V109" s="88"/>
      <c r="W109" s="88"/>
      <c r="X109" s="88">
        <v>9070</v>
      </c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9"/>
      <c r="AJ109" s="89"/>
      <c r="AK109" s="89"/>
      <c r="AL109" s="89"/>
      <c r="AM109" s="89"/>
    </row>
    <row r="110" spans="1:39" s="13" customFormat="1" ht="19.5" thickBot="1" x14ac:dyDescent="0.35">
      <c r="A110" s="282">
        <v>1750</v>
      </c>
      <c r="B110" s="59" t="s">
        <v>423</v>
      </c>
      <c r="C110" s="259">
        <v>0</v>
      </c>
      <c r="D110" s="69"/>
      <c r="E110" s="115"/>
      <c r="F110" s="115">
        <f t="shared" ref="F110:F141" si="5">SUM(H110:AH110)</f>
        <v>0</v>
      </c>
      <c r="G110" s="115">
        <f t="shared" si="4"/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9"/>
      <c r="AJ110" s="89"/>
      <c r="AK110" s="89"/>
      <c r="AL110" s="89"/>
      <c r="AM110" s="89"/>
    </row>
    <row r="111" spans="1:39" s="13" customFormat="1" ht="19.5" thickBot="1" x14ac:dyDescent="0.35">
      <c r="A111" s="282">
        <v>1760</v>
      </c>
      <c r="B111" s="59" t="s">
        <v>284</v>
      </c>
      <c r="C111" s="259">
        <v>18524</v>
      </c>
      <c r="D111" s="69"/>
      <c r="E111" s="115"/>
      <c r="F111" s="115">
        <f t="shared" si="5"/>
        <v>18524</v>
      </c>
      <c r="G111" s="115">
        <f t="shared" si="4"/>
        <v>0</v>
      </c>
      <c r="H111" s="88"/>
      <c r="I111" s="88"/>
      <c r="J111" s="88"/>
      <c r="K111" s="88"/>
      <c r="L111" s="88"/>
      <c r="M111" s="88">
        <v>4636</v>
      </c>
      <c r="N111" s="88"/>
      <c r="O111" s="88"/>
      <c r="P111" s="88">
        <v>5879</v>
      </c>
      <c r="Q111" s="88"/>
      <c r="R111" s="88"/>
      <c r="S111" s="88">
        <v>4714</v>
      </c>
      <c r="T111" s="88"/>
      <c r="U111" s="88">
        <v>3295</v>
      </c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9"/>
      <c r="AJ111" s="89"/>
      <c r="AK111" s="89"/>
      <c r="AL111" s="89"/>
      <c r="AM111" s="89"/>
    </row>
    <row r="112" spans="1:39" s="13" customFormat="1" ht="19.5" thickBot="1" x14ac:dyDescent="0.35">
      <c r="A112" s="282">
        <v>1780</v>
      </c>
      <c r="B112" s="59" t="s">
        <v>285</v>
      </c>
      <c r="C112" s="259">
        <v>56032</v>
      </c>
      <c r="D112" s="69" t="s">
        <v>381</v>
      </c>
      <c r="E112" s="115">
        <f>C112</f>
        <v>56032</v>
      </c>
      <c r="F112" s="115">
        <f t="shared" si="5"/>
        <v>0</v>
      </c>
      <c r="G112" s="115">
        <f t="shared" si="4"/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9"/>
      <c r="AJ112" s="89"/>
      <c r="AK112" s="89"/>
      <c r="AL112" s="89"/>
      <c r="AM112" s="89"/>
    </row>
    <row r="113" spans="1:39" s="13" customFormat="1" ht="19.5" thickBot="1" x14ac:dyDescent="0.35">
      <c r="A113" s="282">
        <v>1790</v>
      </c>
      <c r="B113" s="59" t="s">
        <v>286</v>
      </c>
      <c r="C113" s="259">
        <v>74604</v>
      </c>
      <c r="D113" s="69" t="s">
        <v>381</v>
      </c>
      <c r="E113" s="115">
        <f>C113</f>
        <v>74604</v>
      </c>
      <c r="F113" s="115">
        <f t="shared" si="5"/>
        <v>0</v>
      </c>
      <c r="G113" s="115">
        <f t="shared" si="4"/>
        <v>0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9"/>
      <c r="AJ113" s="89"/>
      <c r="AK113" s="89"/>
      <c r="AL113" s="89"/>
      <c r="AM113" s="89"/>
    </row>
    <row r="114" spans="1:39" s="13" customFormat="1" ht="19.5" thickBot="1" x14ac:dyDescent="0.35">
      <c r="A114" s="282">
        <v>1810</v>
      </c>
      <c r="B114" s="59" t="s">
        <v>287</v>
      </c>
      <c r="C114" s="259">
        <v>19495</v>
      </c>
      <c r="D114" s="69" t="s">
        <v>381</v>
      </c>
      <c r="E114" s="115">
        <f>C114</f>
        <v>19495</v>
      </c>
      <c r="F114" s="115">
        <f t="shared" si="5"/>
        <v>0</v>
      </c>
      <c r="G114" s="115">
        <f t="shared" si="4"/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9"/>
      <c r="AJ114" s="89"/>
      <c r="AK114" s="89"/>
      <c r="AL114" s="89"/>
      <c r="AM114" s="89"/>
    </row>
    <row r="115" spans="1:39" s="13" customFormat="1" ht="19.5" thickBot="1" x14ac:dyDescent="0.35">
      <c r="A115" s="282">
        <v>1828</v>
      </c>
      <c r="B115" s="59" t="s">
        <v>288</v>
      </c>
      <c r="C115" s="259">
        <v>430559</v>
      </c>
      <c r="D115" s="69"/>
      <c r="E115" s="115"/>
      <c r="F115" s="115">
        <f t="shared" si="5"/>
        <v>430559</v>
      </c>
      <c r="G115" s="115">
        <f t="shared" si="4"/>
        <v>0</v>
      </c>
      <c r="H115" s="88"/>
      <c r="I115" s="88"/>
      <c r="J115" s="88"/>
      <c r="K115" s="88">
        <v>30613</v>
      </c>
      <c r="L115" s="88">
        <v>33949</v>
      </c>
      <c r="M115" s="88">
        <v>53794</v>
      </c>
      <c r="N115" s="88"/>
      <c r="O115" s="88">
        <f>11035+50034</f>
        <v>61069</v>
      </c>
      <c r="P115" s="88">
        <v>34924</v>
      </c>
      <c r="Q115" s="88">
        <v>51733</v>
      </c>
      <c r="R115" s="88">
        <v>36257</v>
      </c>
      <c r="S115" s="88">
        <v>35397</v>
      </c>
      <c r="T115" s="88">
        <v>49823</v>
      </c>
      <c r="U115" s="88"/>
      <c r="V115" s="88">
        <v>43000</v>
      </c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9"/>
      <c r="AJ115" s="89"/>
      <c r="AK115" s="89"/>
      <c r="AL115" s="89"/>
      <c r="AM115" s="89"/>
    </row>
    <row r="116" spans="1:39" s="13" customFormat="1" ht="19.5" thickBot="1" x14ac:dyDescent="0.35">
      <c r="A116" s="282">
        <v>1850</v>
      </c>
      <c r="B116" s="59" t="s">
        <v>289</v>
      </c>
      <c r="C116" s="259">
        <v>51384</v>
      </c>
      <c r="D116" s="69" t="s">
        <v>383</v>
      </c>
      <c r="E116" s="115">
        <f>C116</f>
        <v>51384</v>
      </c>
      <c r="F116" s="115">
        <f t="shared" si="5"/>
        <v>0</v>
      </c>
      <c r="G116" s="115">
        <f t="shared" si="4"/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9"/>
      <c r="AJ116" s="89"/>
      <c r="AK116" s="89"/>
      <c r="AL116" s="89"/>
      <c r="AM116" s="89"/>
    </row>
    <row r="117" spans="1:39" s="13" customFormat="1" ht="19.5" thickBot="1" x14ac:dyDescent="0.35">
      <c r="A117" s="282">
        <v>1860</v>
      </c>
      <c r="B117" s="59" t="s">
        <v>290</v>
      </c>
      <c r="C117" s="259">
        <v>25560</v>
      </c>
      <c r="D117" s="69" t="s">
        <v>383</v>
      </c>
      <c r="E117" s="115">
        <f>C117</f>
        <v>25560</v>
      </c>
      <c r="F117" s="115">
        <f t="shared" si="5"/>
        <v>0</v>
      </c>
      <c r="G117" s="115">
        <f t="shared" si="4"/>
        <v>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9"/>
      <c r="AJ117" s="89"/>
      <c r="AK117" s="89"/>
      <c r="AL117" s="89"/>
      <c r="AM117" s="89"/>
    </row>
    <row r="118" spans="1:39" s="13" customFormat="1" ht="19.5" thickBot="1" x14ac:dyDescent="0.35">
      <c r="A118" s="282">
        <v>1870</v>
      </c>
      <c r="B118" s="59" t="s">
        <v>291</v>
      </c>
      <c r="C118" s="259">
        <v>27644</v>
      </c>
      <c r="D118" s="69" t="s">
        <v>383</v>
      </c>
      <c r="E118" s="115">
        <f>C118</f>
        <v>27644</v>
      </c>
      <c r="F118" s="115">
        <f t="shared" si="5"/>
        <v>0</v>
      </c>
      <c r="G118" s="115">
        <f t="shared" si="4"/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9"/>
      <c r="AJ118" s="89"/>
      <c r="AK118" s="89"/>
      <c r="AL118" s="89"/>
      <c r="AM118" s="89"/>
    </row>
    <row r="119" spans="1:39" s="13" customFormat="1" ht="19.5" thickBot="1" x14ac:dyDescent="0.35">
      <c r="A119" s="282">
        <v>1980</v>
      </c>
      <c r="B119" s="59" t="s">
        <v>292</v>
      </c>
      <c r="C119" s="259">
        <v>28487</v>
      </c>
      <c r="D119" s="69"/>
      <c r="E119" s="115"/>
      <c r="F119" s="115">
        <f t="shared" si="5"/>
        <v>28487</v>
      </c>
      <c r="G119" s="115">
        <f t="shared" si="4"/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>
        <v>28487</v>
      </c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9"/>
      <c r="AJ119" s="89"/>
      <c r="AK119" s="89"/>
      <c r="AL119" s="89"/>
      <c r="AM119" s="89"/>
    </row>
    <row r="120" spans="1:39" s="13" customFormat="1" ht="19.5" thickBot="1" x14ac:dyDescent="0.35">
      <c r="A120" s="282">
        <v>1990</v>
      </c>
      <c r="B120" s="59" t="s">
        <v>293</v>
      </c>
      <c r="C120" s="259">
        <v>87284</v>
      </c>
      <c r="D120" s="69"/>
      <c r="E120" s="115"/>
      <c r="F120" s="115">
        <f t="shared" si="5"/>
        <v>87284</v>
      </c>
      <c r="G120" s="115">
        <f t="shared" si="4"/>
        <v>0</v>
      </c>
      <c r="H120" s="88"/>
      <c r="I120" s="88"/>
      <c r="J120" s="88"/>
      <c r="K120" s="88">
        <v>20468</v>
      </c>
      <c r="L120" s="88"/>
      <c r="M120" s="88">
        <v>7646</v>
      </c>
      <c r="N120" s="88">
        <v>7637</v>
      </c>
      <c r="O120" s="88">
        <v>7689</v>
      </c>
      <c r="P120" s="88">
        <v>7689</v>
      </c>
      <c r="Q120" s="88">
        <v>7687</v>
      </c>
      <c r="R120" s="88">
        <v>7689</v>
      </c>
      <c r="S120" s="88"/>
      <c r="T120" s="88">
        <v>7883</v>
      </c>
      <c r="U120" s="88">
        <f>7689+5207</f>
        <v>12896</v>
      </c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9"/>
      <c r="AJ120" s="89"/>
      <c r="AK120" s="89"/>
      <c r="AL120" s="89"/>
      <c r="AM120" s="89"/>
    </row>
    <row r="121" spans="1:39" s="13" customFormat="1" ht="19.5" thickBot="1" x14ac:dyDescent="0.35">
      <c r="A121" s="282">
        <v>2000</v>
      </c>
      <c r="B121" s="59" t="s">
        <v>294</v>
      </c>
      <c r="C121" s="259">
        <v>3401109</v>
      </c>
      <c r="D121" s="69"/>
      <c r="E121" s="115"/>
      <c r="F121" s="115">
        <f t="shared" si="5"/>
        <v>3401109</v>
      </c>
      <c r="G121" s="115">
        <f t="shared" si="4"/>
        <v>0</v>
      </c>
      <c r="H121" s="88"/>
      <c r="I121" s="88"/>
      <c r="J121" s="88"/>
      <c r="K121" s="88"/>
      <c r="L121" s="88"/>
      <c r="M121" s="88">
        <v>76932</v>
      </c>
      <c r="N121" s="88">
        <v>306810</v>
      </c>
      <c r="O121" s="88">
        <v>253839</v>
      </c>
      <c r="P121" s="88">
        <v>243763</v>
      </c>
      <c r="Q121" s="88">
        <v>293650</v>
      </c>
      <c r="R121" s="88">
        <v>234627</v>
      </c>
      <c r="S121" s="88">
        <v>228409</v>
      </c>
      <c r="T121" s="88"/>
      <c r="U121" s="88">
        <f>209847+302313</f>
        <v>512160</v>
      </c>
      <c r="V121" s="88"/>
      <c r="W121" s="88">
        <v>379178</v>
      </c>
      <c r="X121" s="88">
        <v>350387</v>
      </c>
      <c r="Y121" s="88">
        <v>218553</v>
      </c>
      <c r="Z121" s="88"/>
      <c r="AA121" s="88">
        <v>302801</v>
      </c>
      <c r="AB121" s="88"/>
      <c r="AC121" s="88"/>
      <c r="AD121" s="88"/>
      <c r="AE121" s="88"/>
      <c r="AF121" s="88"/>
      <c r="AG121" s="88"/>
      <c r="AH121" s="88"/>
      <c r="AI121" s="89"/>
      <c r="AJ121" s="89"/>
      <c r="AK121" s="89"/>
      <c r="AL121" s="89"/>
      <c r="AM121" s="89"/>
    </row>
    <row r="122" spans="1:39" s="13" customFormat="1" ht="19.5" thickBot="1" x14ac:dyDescent="0.35">
      <c r="A122" s="282">
        <v>2010</v>
      </c>
      <c r="B122" s="59" t="s">
        <v>295</v>
      </c>
      <c r="C122" s="259">
        <v>16173</v>
      </c>
      <c r="D122" s="69"/>
      <c r="E122" s="115"/>
      <c r="F122" s="115">
        <f t="shared" si="5"/>
        <v>16173</v>
      </c>
      <c r="G122" s="115">
        <f t="shared" si="4"/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>
        <v>15862</v>
      </c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>
        <v>311</v>
      </c>
      <c r="AE122" s="88"/>
      <c r="AF122" s="88"/>
      <c r="AG122" s="88"/>
      <c r="AH122" s="88"/>
      <c r="AI122" s="89"/>
      <c r="AJ122" s="89"/>
      <c r="AK122" s="89"/>
      <c r="AL122" s="89"/>
      <c r="AM122" s="89"/>
    </row>
    <row r="123" spans="1:39" s="13" customFormat="1" ht="19.5" thickBot="1" x14ac:dyDescent="0.35">
      <c r="A123" s="282">
        <v>2020</v>
      </c>
      <c r="B123" s="59" t="s">
        <v>296</v>
      </c>
      <c r="C123" s="259">
        <v>238151</v>
      </c>
      <c r="D123" s="69"/>
      <c r="E123" s="115"/>
      <c r="F123" s="115">
        <f t="shared" si="5"/>
        <v>238151</v>
      </c>
      <c r="G123" s="115">
        <f t="shared" si="4"/>
        <v>0</v>
      </c>
      <c r="H123" s="88"/>
      <c r="I123" s="88"/>
      <c r="J123" s="88"/>
      <c r="K123" s="88"/>
      <c r="L123" s="88"/>
      <c r="M123" s="88"/>
      <c r="N123" s="88"/>
      <c r="O123" s="88"/>
      <c r="P123" s="88">
        <v>123527</v>
      </c>
      <c r="Q123" s="88"/>
      <c r="R123" s="88"/>
      <c r="S123" s="88">
        <v>114624</v>
      </c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9"/>
      <c r="AJ123" s="89"/>
      <c r="AK123" s="89"/>
      <c r="AL123" s="89"/>
      <c r="AM123" s="89"/>
    </row>
    <row r="124" spans="1:39" s="13" customFormat="1" ht="19.5" thickBot="1" x14ac:dyDescent="0.35">
      <c r="A124" s="282">
        <v>2035</v>
      </c>
      <c r="B124" s="59" t="s">
        <v>297</v>
      </c>
      <c r="C124" s="259">
        <v>846268</v>
      </c>
      <c r="D124" s="69"/>
      <c r="E124" s="115"/>
      <c r="F124" s="115">
        <f t="shared" si="5"/>
        <v>846268</v>
      </c>
      <c r="G124" s="115">
        <f t="shared" si="4"/>
        <v>0</v>
      </c>
      <c r="H124" s="88"/>
      <c r="I124" s="88"/>
      <c r="J124" s="88"/>
      <c r="K124" s="88"/>
      <c r="L124" s="88">
        <v>69663</v>
      </c>
      <c r="M124" s="88">
        <v>64438</v>
      </c>
      <c r="N124" s="88">
        <v>63662</v>
      </c>
      <c r="O124" s="88">
        <v>65002</v>
      </c>
      <c r="P124" s="88">
        <v>64297</v>
      </c>
      <c r="Q124" s="88">
        <v>76470</v>
      </c>
      <c r="R124" s="88">
        <v>79726</v>
      </c>
      <c r="S124" s="88">
        <v>73344</v>
      </c>
      <c r="T124" s="88">
        <v>74174</v>
      </c>
      <c r="U124" s="88">
        <v>81179</v>
      </c>
      <c r="V124" s="88">
        <v>73200</v>
      </c>
      <c r="W124" s="88">
        <v>61113</v>
      </c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9"/>
      <c r="AJ124" s="89"/>
      <c r="AK124" s="89"/>
      <c r="AL124" s="89"/>
      <c r="AM124" s="89"/>
    </row>
    <row r="125" spans="1:39" s="13" customFormat="1" ht="19.5" thickBot="1" x14ac:dyDescent="0.35">
      <c r="A125" s="282">
        <v>2055</v>
      </c>
      <c r="B125" s="59" t="s">
        <v>298</v>
      </c>
      <c r="C125" s="259">
        <v>111342</v>
      </c>
      <c r="D125" s="69"/>
      <c r="E125" s="115"/>
      <c r="F125" s="115">
        <f t="shared" si="5"/>
        <v>111342</v>
      </c>
      <c r="G125" s="115">
        <f t="shared" si="4"/>
        <v>0</v>
      </c>
      <c r="H125" s="88"/>
      <c r="I125" s="88"/>
      <c r="J125" s="88"/>
      <c r="K125" s="88"/>
      <c r="L125" s="88"/>
      <c r="M125" s="88"/>
      <c r="N125" s="88"/>
      <c r="O125" s="88">
        <v>36328</v>
      </c>
      <c r="P125" s="88"/>
      <c r="Q125" s="88"/>
      <c r="R125" s="88"/>
      <c r="S125" s="88">
        <v>75014</v>
      </c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9"/>
      <c r="AJ125" s="89"/>
      <c r="AK125" s="89"/>
      <c r="AL125" s="89"/>
      <c r="AM125" s="89"/>
    </row>
    <row r="126" spans="1:39" s="13" customFormat="1" ht="19.5" thickBot="1" x14ac:dyDescent="0.35">
      <c r="A126" s="282">
        <v>2070</v>
      </c>
      <c r="B126" s="59" t="s">
        <v>299</v>
      </c>
      <c r="C126" s="259">
        <v>74478</v>
      </c>
      <c r="D126" s="69"/>
      <c r="E126" s="115"/>
      <c r="F126" s="115">
        <f t="shared" si="5"/>
        <v>74478</v>
      </c>
      <c r="G126" s="115">
        <f t="shared" si="4"/>
        <v>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>
        <v>49324</v>
      </c>
      <c r="R126" s="88"/>
      <c r="S126" s="88"/>
      <c r="T126" s="88"/>
      <c r="U126" s="88">
        <v>23395</v>
      </c>
      <c r="V126" s="88">
        <v>374</v>
      </c>
      <c r="W126" s="88"/>
      <c r="X126" s="88"/>
      <c r="Y126" s="88"/>
      <c r="Z126" s="88"/>
      <c r="AA126" s="88">
        <v>1385</v>
      </c>
      <c r="AB126" s="88"/>
      <c r="AC126" s="88"/>
      <c r="AD126" s="88"/>
      <c r="AE126" s="88"/>
      <c r="AF126" s="88"/>
      <c r="AG126" s="88"/>
      <c r="AH126" s="88"/>
      <c r="AI126" s="89"/>
      <c r="AJ126" s="89"/>
      <c r="AK126" s="89"/>
      <c r="AL126" s="89"/>
      <c r="AM126" s="89"/>
    </row>
    <row r="127" spans="1:39" s="13" customFormat="1" ht="19.5" thickBot="1" x14ac:dyDescent="0.35">
      <c r="A127" s="282">
        <v>2180</v>
      </c>
      <c r="B127" s="59" t="s">
        <v>300</v>
      </c>
      <c r="C127" s="259">
        <v>1262201</v>
      </c>
      <c r="D127" s="69"/>
      <c r="E127" s="115"/>
      <c r="F127" s="115">
        <f t="shared" si="5"/>
        <v>1262201</v>
      </c>
      <c r="G127" s="115">
        <f t="shared" si="4"/>
        <v>0</v>
      </c>
      <c r="H127" s="88"/>
      <c r="I127" s="88"/>
      <c r="J127" s="88"/>
      <c r="K127" s="88"/>
      <c r="L127" s="88">
        <v>106185</v>
      </c>
      <c r="M127" s="88">
        <v>89554</v>
      </c>
      <c r="N127" s="88">
        <v>115613</v>
      </c>
      <c r="O127" s="88">
        <v>104867</v>
      </c>
      <c r="P127" s="88">
        <v>108303</v>
      </c>
      <c r="Q127" s="88">
        <v>91077</v>
      </c>
      <c r="R127" s="88">
        <v>97603</v>
      </c>
      <c r="S127" s="88">
        <v>101095</v>
      </c>
      <c r="T127" s="88">
        <v>110352</v>
      </c>
      <c r="U127" s="88">
        <v>109657</v>
      </c>
      <c r="V127" s="88">
        <v>91935</v>
      </c>
      <c r="W127" s="88">
        <v>104906</v>
      </c>
      <c r="X127" s="88">
        <v>31054</v>
      </c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9"/>
      <c r="AJ127" s="89"/>
      <c r="AK127" s="89"/>
      <c r="AL127" s="89"/>
      <c r="AM127" s="89"/>
    </row>
    <row r="128" spans="1:39" s="13" customFormat="1" ht="19.5" thickBot="1" x14ac:dyDescent="0.35">
      <c r="A128" s="282">
        <v>2190</v>
      </c>
      <c r="B128" s="59" t="s">
        <v>301</v>
      </c>
      <c r="C128" s="259">
        <v>83644</v>
      </c>
      <c r="D128" s="69"/>
      <c r="E128" s="115"/>
      <c r="F128" s="115">
        <f t="shared" si="5"/>
        <v>83644</v>
      </c>
      <c r="G128" s="115">
        <f t="shared" si="4"/>
        <v>0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>
        <v>18926</v>
      </c>
      <c r="R128" s="88"/>
      <c r="S128" s="88"/>
      <c r="T128" s="88">
        <v>20383</v>
      </c>
      <c r="U128" s="88"/>
      <c r="V128" s="88"/>
      <c r="W128" s="88"/>
      <c r="X128" s="88"/>
      <c r="Y128" s="88"/>
      <c r="Z128" s="88"/>
      <c r="AA128" s="88"/>
      <c r="AB128" s="88"/>
      <c r="AC128" s="88">
        <v>37960</v>
      </c>
      <c r="AD128" s="88"/>
      <c r="AE128" s="88">
        <v>6375</v>
      </c>
      <c r="AF128" s="88"/>
      <c r="AG128" s="88"/>
      <c r="AH128" s="88"/>
      <c r="AI128" s="89"/>
      <c r="AJ128" s="89"/>
      <c r="AK128" s="89"/>
      <c r="AL128" s="89"/>
      <c r="AM128" s="89"/>
    </row>
    <row r="129" spans="1:39" s="13" customFormat="1" ht="19.5" thickBot="1" x14ac:dyDescent="0.35">
      <c r="A129" s="282">
        <v>2395</v>
      </c>
      <c r="B129" s="59" t="s">
        <v>302</v>
      </c>
      <c r="C129" s="259">
        <v>201178</v>
      </c>
      <c r="D129" s="69" t="s">
        <v>409</v>
      </c>
      <c r="E129" s="115">
        <f>C129</f>
        <v>201178</v>
      </c>
      <c r="F129" s="115">
        <f t="shared" si="5"/>
        <v>0</v>
      </c>
      <c r="G129" s="115">
        <f t="shared" si="4"/>
        <v>0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9"/>
      <c r="AJ129" s="89"/>
      <c r="AK129" s="89"/>
      <c r="AL129" s="89"/>
      <c r="AM129" s="89"/>
    </row>
    <row r="130" spans="1:39" s="13" customFormat="1" ht="19.5" thickBot="1" x14ac:dyDescent="0.35">
      <c r="A130" s="282">
        <v>2405</v>
      </c>
      <c r="B130" s="59" t="s">
        <v>303</v>
      </c>
      <c r="C130" s="259">
        <v>610057</v>
      </c>
      <c r="D130" s="69"/>
      <c r="E130" s="115"/>
      <c r="F130" s="115">
        <f t="shared" si="5"/>
        <v>610057</v>
      </c>
      <c r="G130" s="115">
        <f t="shared" si="4"/>
        <v>0</v>
      </c>
      <c r="H130" s="88"/>
      <c r="I130" s="88"/>
      <c r="J130" s="88"/>
      <c r="K130" s="88"/>
      <c r="L130" s="88">
        <v>11604</v>
      </c>
      <c r="M130" s="88">
        <v>52570</v>
      </c>
      <c r="N130" s="88">
        <v>51310</v>
      </c>
      <c r="O130" s="88">
        <v>55043</v>
      </c>
      <c r="P130" s="88">
        <v>52206</v>
      </c>
      <c r="Q130" s="88">
        <v>52351</v>
      </c>
      <c r="R130" s="88">
        <v>51009</v>
      </c>
      <c r="S130" s="88">
        <v>53954</v>
      </c>
      <c r="T130" s="88">
        <v>45521</v>
      </c>
      <c r="U130" s="88">
        <v>39607</v>
      </c>
      <c r="V130" s="88">
        <v>43453</v>
      </c>
      <c r="W130" s="88">
        <f>52278+49151</f>
        <v>101429</v>
      </c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9"/>
      <c r="AJ130" s="89"/>
      <c r="AK130" s="89"/>
      <c r="AL130" s="89"/>
      <c r="AM130" s="89"/>
    </row>
    <row r="131" spans="1:39" s="13" customFormat="1" ht="19.5" thickBot="1" x14ac:dyDescent="0.35">
      <c r="A131" s="282">
        <v>2505</v>
      </c>
      <c r="B131" s="59" t="s">
        <v>304</v>
      </c>
      <c r="C131" s="259">
        <v>12143</v>
      </c>
      <c r="D131" s="69" t="s">
        <v>409</v>
      </c>
      <c r="E131" s="115">
        <f>C131</f>
        <v>12143</v>
      </c>
      <c r="F131" s="115">
        <f t="shared" si="5"/>
        <v>0</v>
      </c>
      <c r="G131" s="115">
        <f t="shared" si="4"/>
        <v>0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9"/>
      <c r="AJ131" s="89"/>
      <c r="AK131" s="89"/>
      <c r="AL131" s="89"/>
      <c r="AM131" s="89"/>
    </row>
    <row r="132" spans="1:39" s="13" customFormat="1" ht="19.5" thickBot="1" x14ac:dyDescent="0.35">
      <c r="A132" s="282">
        <v>2515</v>
      </c>
      <c r="B132" s="59" t="s">
        <v>305</v>
      </c>
      <c r="C132" s="259">
        <v>121783</v>
      </c>
      <c r="D132" s="69" t="s">
        <v>409</v>
      </c>
      <c r="E132" s="115">
        <f>C132</f>
        <v>121783</v>
      </c>
      <c r="F132" s="115">
        <f t="shared" si="5"/>
        <v>0</v>
      </c>
      <c r="G132" s="115">
        <f t="shared" si="4"/>
        <v>0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9"/>
      <c r="AJ132" s="89"/>
      <c r="AK132" s="89"/>
      <c r="AL132" s="89"/>
      <c r="AM132" s="89"/>
    </row>
    <row r="133" spans="1:39" s="13" customFormat="1" ht="19.5" thickBot="1" x14ac:dyDescent="0.35">
      <c r="A133" s="282">
        <v>2520</v>
      </c>
      <c r="B133" s="59" t="s">
        <v>306</v>
      </c>
      <c r="C133" s="259">
        <v>849244</v>
      </c>
      <c r="D133" s="69"/>
      <c r="E133" s="115"/>
      <c r="F133" s="115">
        <f t="shared" si="5"/>
        <v>849244</v>
      </c>
      <c r="G133" s="115">
        <f t="shared" si="4"/>
        <v>0</v>
      </c>
      <c r="H133" s="88"/>
      <c r="I133" s="88"/>
      <c r="J133" s="88"/>
      <c r="K133" s="88"/>
      <c r="L133" s="88">
        <v>95464</v>
      </c>
      <c r="M133" s="88"/>
      <c r="N133" s="88"/>
      <c r="O133" s="88">
        <v>69428</v>
      </c>
      <c r="P133" s="88">
        <v>88548</v>
      </c>
      <c r="Q133" s="88">
        <f>80884+87538</f>
        <v>168422</v>
      </c>
      <c r="R133" s="88"/>
      <c r="S133" s="88">
        <v>81739</v>
      </c>
      <c r="T133" s="88">
        <v>197021</v>
      </c>
      <c r="U133" s="88"/>
      <c r="V133" s="88"/>
      <c r="W133" s="88">
        <v>148622</v>
      </c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9"/>
      <c r="AJ133" s="89"/>
      <c r="AK133" s="89"/>
      <c r="AL133" s="89"/>
      <c r="AM133" s="89"/>
    </row>
    <row r="134" spans="1:39" s="13" customFormat="1" ht="19.5" thickBot="1" x14ac:dyDescent="0.35">
      <c r="A134" s="282">
        <v>2530</v>
      </c>
      <c r="B134" s="59" t="s">
        <v>307</v>
      </c>
      <c r="C134" s="259">
        <v>593872</v>
      </c>
      <c r="D134" s="69"/>
      <c r="E134" s="115"/>
      <c r="F134" s="115">
        <f t="shared" si="5"/>
        <v>593872</v>
      </c>
      <c r="G134" s="115">
        <f t="shared" si="4"/>
        <v>0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>
        <v>242695</v>
      </c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>
        <v>351177</v>
      </c>
      <c r="AE134" s="88"/>
      <c r="AF134" s="88"/>
      <c r="AG134" s="88"/>
      <c r="AH134" s="88"/>
      <c r="AI134" s="89"/>
      <c r="AJ134" s="89"/>
      <c r="AK134" s="89"/>
      <c r="AL134" s="89"/>
      <c r="AM134" s="89"/>
    </row>
    <row r="135" spans="1:39" s="13" customFormat="1" ht="19.5" thickBot="1" x14ac:dyDescent="0.35">
      <c r="A135" s="282">
        <v>2535</v>
      </c>
      <c r="B135" s="59" t="s">
        <v>308</v>
      </c>
      <c r="C135" s="259">
        <v>129978</v>
      </c>
      <c r="D135" s="69"/>
      <c r="E135" s="115"/>
      <c r="F135" s="115">
        <f t="shared" si="5"/>
        <v>129978</v>
      </c>
      <c r="G135" s="115">
        <f t="shared" si="4"/>
        <v>0</v>
      </c>
      <c r="H135" s="88"/>
      <c r="I135" s="88"/>
      <c r="J135" s="88"/>
      <c r="K135" s="88"/>
      <c r="L135" s="88"/>
      <c r="M135" s="88"/>
      <c r="N135" s="88"/>
      <c r="O135" s="88">
        <v>44470</v>
      </c>
      <c r="P135" s="88"/>
      <c r="Q135" s="88"/>
      <c r="R135" s="88"/>
      <c r="S135" s="88"/>
      <c r="T135" s="88">
        <v>63237</v>
      </c>
      <c r="U135" s="88"/>
      <c r="V135" s="88"/>
      <c r="W135" s="88"/>
      <c r="X135" s="88"/>
      <c r="Y135" s="88">
        <v>22271</v>
      </c>
      <c r="Z135" s="88"/>
      <c r="AA135" s="88"/>
      <c r="AB135" s="88"/>
      <c r="AC135" s="88"/>
      <c r="AD135" s="88"/>
      <c r="AE135" s="88"/>
      <c r="AF135" s="88"/>
      <c r="AG135" s="88"/>
      <c r="AH135" s="88"/>
      <c r="AI135" s="89"/>
      <c r="AJ135" s="89"/>
      <c r="AK135" s="89"/>
      <c r="AL135" s="89"/>
      <c r="AM135" s="89"/>
    </row>
    <row r="136" spans="1:39" s="13" customFormat="1" ht="19.5" thickBot="1" x14ac:dyDescent="0.35">
      <c r="A136" s="282">
        <v>2540</v>
      </c>
      <c r="B136" s="59" t="s">
        <v>309</v>
      </c>
      <c r="C136" s="259">
        <v>105602</v>
      </c>
      <c r="D136" s="70"/>
      <c r="E136" s="115"/>
      <c r="F136" s="115">
        <f t="shared" si="5"/>
        <v>105602</v>
      </c>
      <c r="G136" s="115">
        <f t="shared" si="4"/>
        <v>0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>
        <v>98147</v>
      </c>
      <c r="T136" s="88">
        <v>7455</v>
      </c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9"/>
      <c r="AJ136" s="89"/>
      <c r="AK136" s="89"/>
      <c r="AL136" s="89"/>
      <c r="AM136" s="89"/>
    </row>
    <row r="137" spans="1:39" s="13" customFormat="1" ht="19.5" thickBot="1" x14ac:dyDescent="0.35">
      <c r="A137" s="282">
        <v>2560</v>
      </c>
      <c r="B137" s="59" t="s">
        <v>310</v>
      </c>
      <c r="C137" s="259">
        <v>38682</v>
      </c>
      <c r="D137" s="69"/>
      <c r="E137" s="115"/>
      <c r="F137" s="115">
        <f t="shared" si="5"/>
        <v>38682</v>
      </c>
      <c r="G137" s="115">
        <f t="shared" si="4"/>
        <v>0</v>
      </c>
      <c r="H137" s="88"/>
      <c r="I137" s="88"/>
      <c r="J137" s="88"/>
      <c r="K137" s="88"/>
      <c r="L137" s="88"/>
      <c r="M137" s="88"/>
      <c r="N137" s="88">
        <v>22399</v>
      </c>
      <c r="O137" s="88"/>
      <c r="P137" s="88"/>
      <c r="Q137" s="88"/>
      <c r="R137" s="88"/>
      <c r="S137" s="88">
        <v>16283</v>
      </c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9"/>
      <c r="AJ137" s="89"/>
      <c r="AK137" s="89"/>
      <c r="AL137" s="89"/>
      <c r="AM137" s="89"/>
    </row>
    <row r="138" spans="1:39" s="13" customFormat="1" ht="19.5" thickBot="1" x14ac:dyDescent="0.35">
      <c r="A138" s="282">
        <v>2570</v>
      </c>
      <c r="B138" s="59" t="s">
        <v>311</v>
      </c>
      <c r="C138" s="259">
        <v>32036</v>
      </c>
      <c r="D138" s="69"/>
      <c r="E138" s="115"/>
      <c r="F138" s="115">
        <f t="shared" si="5"/>
        <v>32036</v>
      </c>
      <c r="G138" s="115">
        <f t="shared" si="4"/>
        <v>0</v>
      </c>
      <c r="H138" s="88"/>
      <c r="I138" s="88"/>
      <c r="J138" s="88"/>
      <c r="K138" s="88">
        <v>5951</v>
      </c>
      <c r="L138" s="88">
        <v>2175</v>
      </c>
      <c r="M138" s="88">
        <v>3776</v>
      </c>
      <c r="N138" s="88">
        <v>2976</v>
      </c>
      <c r="O138" s="88">
        <v>2976</v>
      </c>
      <c r="P138" s="88">
        <v>2976</v>
      </c>
      <c r="Q138" s="88">
        <v>2975</v>
      </c>
      <c r="R138" s="88">
        <v>2976</v>
      </c>
      <c r="S138" s="88">
        <v>3464</v>
      </c>
      <c r="T138" s="88">
        <v>1791</v>
      </c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9"/>
      <c r="AJ138" s="89"/>
      <c r="AK138" s="89"/>
      <c r="AL138" s="89"/>
      <c r="AM138" s="89"/>
    </row>
    <row r="139" spans="1:39" s="13" customFormat="1" ht="19.5" thickBot="1" x14ac:dyDescent="0.35">
      <c r="A139" s="282">
        <v>2580</v>
      </c>
      <c r="B139" s="59" t="s">
        <v>312</v>
      </c>
      <c r="C139" s="259">
        <v>30063</v>
      </c>
      <c r="D139" s="69"/>
      <c r="E139" s="115"/>
      <c r="F139" s="115">
        <f t="shared" si="5"/>
        <v>30063</v>
      </c>
      <c r="G139" s="115">
        <f t="shared" si="4"/>
        <v>0</v>
      </c>
      <c r="H139" s="88"/>
      <c r="I139" s="88"/>
      <c r="J139" s="88"/>
      <c r="K139" s="88"/>
      <c r="L139" s="88"/>
      <c r="M139" s="88"/>
      <c r="N139" s="88"/>
      <c r="O139" s="88"/>
      <c r="P139" s="88">
        <v>15539</v>
      </c>
      <c r="Q139" s="88"/>
      <c r="R139" s="88"/>
      <c r="S139" s="88"/>
      <c r="T139" s="88">
        <v>10422</v>
      </c>
      <c r="U139" s="88"/>
      <c r="V139" s="88">
        <v>4083</v>
      </c>
      <c r="W139" s="88"/>
      <c r="X139" s="88"/>
      <c r="Y139" s="88"/>
      <c r="Z139" s="88"/>
      <c r="AA139" s="88"/>
      <c r="AB139" s="88"/>
      <c r="AC139" s="88"/>
      <c r="AD139" s="88">
        <v>19</v>
      </c>
      <c r="AE139" s="88"/>
      <c r="AF139" s="88"/>
      <c r="AG139" s="88"/>
      <c r="AH139" s="88"/>
      <c r="AI139" s="89"/>
      <c r="AJ139" s="89"/>
      <c r="AK139" s="89"/>
      <c r="AL139" s="89"/>
      <c r="AM139" s="89"/>
    </row>
    <row r="140" spans="1:39" s="13" customFormat="1" ht="19.5" thickBot="1" x14ac:dyDescent="0.35">
      <c r="A140" s="282">
        <v>2590</v>
      </c>
      <c r="B140" s="59" t="s">
        <v>313</v>
      </c>
      <c r="C140" s="259">
        <v>28804</v>
      </c>
      <c r="D140" s="69"/>
      <c r="E140" s="115"/>
      <c r="F140" s="115">
        <f t="shared" si="5"/>
        <v>28804</v>
      </c>
      <c r="G140" s="115">
        <f t="shared" si="4"/>
        <v>0</v>
      </c>
      <c r="H140" s="88"/>
      <c r="I140" s="88"/>
      <c r="J140" s="88"/>
      <c r="K140" s="88"/>
      <c r="L140" s="88"/>
      <c r="M140" s="88"/>
      <c r="N140" s="88"/>
      <c r="O140" s="88">
        <v>23828</v>
      </c>
      <c r="P140" s="88"/>
      <c r="Q140" s="88"/>
      <c r="R140" s="88">
        <v>4976</v>
      </c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9"/>
      <c r="AJ140" s="89"/>
      <c r="AK140" s="89"/>
      <c r="AL140" s="89"/>
      <c r="AM140" s="89"/>
    </row>
    <row r="141" spans="1:39" s="13" customFormat="1" ht="19.5" thickBot="1" x14ac:dyDescent="0.35">
      <c r="A141" s="282">
        <v>2600</v>
      </c>
      <c r="B141" s="59" t="s">
        <v>314</v>
      </c>
      <c r="C141" s="259">
        <v>101963</v>
      </c>
      <c r="D141" s="69"/>
      <c r="E141" s="115"/>
      <c r="F141" s="115">
        <f t="shared" si="5"/>
        <v>101963</v>
      </c>
      <c r="G141" s="115">
        <f t="shared" si="4"/>
        <v>0</v>
      </c>
      <c r="H141" s="88"/>
      <c r="I141" s="88"/>
      <c r="J141" s="88"/>
      <c r="K141" s="88"/>
      <c r="L141" s="88"/>
      <c r="M141" s="88"/>
      <c r="N141" s="88"/>
      <c r="O141" s="88">
        <v>38450</v>
      </c>
      <c r="P141" s="88"/>
      <c r="Q141" s="88">
        <v>36837</v>
      </c>
      <c r="R141" s="88"/>
      <c r="S141" s="88">
        <v>18803</v>
      </c>
      <c r="T141" s="88"/>
      <c r="U141" s="88">
        <v>7873</v>
      </c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9"/>
      <c r="AJ141" s="89"/>
      <c r="AK141" s="89"/>
      <c r="AL141" s="89"/>
      <c r="AM141" s="89"/>
    </row>
    <row r="142" spans="1:39" s="13" customFormat="1" ht="19.5" thickBot="1" x14ac:dyDescent="0.35">
      <c r="A142" s="282">
        <v>2610</v>
      </c>
      <c r="B142" s="59" t="s">
        <v>315</v>
      </c>
      <c r="C142" s="259">
        <v>153822</v>
      </c>
      <c r="D142" s="69"/>
      <c r="E142" s="115"/>
      <c r="F142" s="115">
        <f t="shared" ref="F142:F173" si="6">SUM(H142:AH142)</f>
        <v>153822</v>
      </c>
      <c r="G142" s="115">
        <f t="shared" si="4"/>
        <v>0</v>
      </c>
      <c r="H142" s="88"/>
      <c r="I142" s="88"/>
      <c r="J142" s="88"/>
      <c r="K142" s="88"/>
      <c r="L142" s="88">
        <v>29261</v>
      </c>
      <c r="M142" s="88">
        <v>3682</v>
      </c>
      <c r="N142" s="88">
        <v>49131</v>
      </c>
      <c r="O142" s="88"/>
      <c r="P142" s="88">
        <v>32546</v>
      </c>
      <c r="Q142" s="88"/>
      <c r="R142" s="88">
        <v>18613</v>
      </c>
      <c r="S142" s="88">
        <v>20589</v>
      </c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9"/>
      <c r="AJ142" s="89"/>
      <c r="AK142" s="89"/>
      <c r="AL142" s="89"/>
      <c r="AM142" s="89"/>
    </row>
    <row r="143" spans="1:39" s="13" customFormat="1" ht="19.5" thickBot="1" x14ac:dyDescent="0.35">
      <c r="A143" s="282">
        <v>2620</v>
      </c>
      <c r="B143" s="59" t="s">
        <v>316</v>
      </c>
      <c r="C143" s="259">
        <v>83112</v>
      </c>
      <c r="D143" s="69"/>
      <c r="E143" s="115"/>
      <c r="F143" s="115">
        <f t="shared" si="6"/>
        <v>83112</v>
      </c>
      <c r="G143" s="115">
        <f t="shared" ref="G143:G198" si="7">IF(ISBLANK(E143),C143-F143,C143-E143)</f>
        <v>0</v>
      </c>
      <c r="H143" s="88"/>
      <c r="I143" s="88"/>
      <c r="J143" s="88"/>
      <c r="K143" s="88"/>
      <c r="L143" s="88">
        <v>10487</v>
      </c>
      <c r="M143" s="88"/>
      <c r="N143" s="88"/>
      <c r="O143" s="88"/>
      <c r="P143" s="88"/>
      <c r="Q143" s="88">
        <v>56029</v>
      </c>
      <c r="R143" s="88"/>
      <c r="S143" s="88"/>
      <c r="T143" s="88">
        <v>16596</v>
      </c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9"/>
      <c r="AJ143" s="89"/>
      <c r="AK143" s="89"/>
      <c r="AL143" s="89"/>
      <c r="AM143" s="89"/>
    </row>
    <row r="144" spans="1:39" s="13" customFormat="1" ht="19.5" thickBot="1" x14ac:dyDescent="0.35">
      <c r="A144" s="282">
        <v>2630</v>
      </c>
      <c r="B144" s="59" t="s">
        <v>317</v>
      </c>
      <c r="C144" s="259">
        <v>42270</v>
      </c>
      <c r="D144" s="69" t="s">
        <v>383</v>
      </c>
      <c r="E144" s="115">
        <f>C144</f>
        <v>42270</v>
      </c>
      <c r="F144" s="115">
        <f t="shared" si="6"/>
        <v>0</v>
      </c>
      <c r="G144" s="115">
        <f t="shared" si="7"/>
        <v>0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9"/>
      <c r="AJ144" s="89"/>
      <c r="AK144" s="89"/>
      <c r="AL144" s="89"/>
      <c r="AM144" s="89"/>
    </row>
    <row r="145" spans="1:39" s="13" customFormat="1" ht="19.5" thickBot="1" x14ac:dyDescent="0.35">
      <c r="A145" s="282">
        <v>2640</v>
      </c>
      <c r="B145" s="59" t="s">
        <v>412</v>
      </c>
      <c r="C145" s="259">
        <v>65143</v>
      </c>
      <c r="D145" s="69"/>
      <c r="E145" s="115"/>
      <c r="F145" s="115">
        <f t="shared" si="6"/>
        <v>65143</v>
      </c>
      <c r="G145" s="115">
        <f t="shared" si="7"/>
        <v>0</v>
      </c>
      <c r="H145" s="88"/>
      <c r="I145" s="88"/>
      <c r="J145" s="88"/>
      <c r="K145" s="88"/>
      <c r="L145" s="88"/>
      <c r="M145" s="88"/>
      <c r="N145" s="88">
        <v>18681</v>
      </c>
      <c r="O145" s="88"/>
      <c r="P145" s="88"/>
      <c r="Q145" s="88"/>
      <c r="R145" s="88"/>
      <c r="S145" s="88">
        <v>46462</v>
      </c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9"/>
      <c r="AJ145" s="89"/>
      <c r="AK145" s="89"/>
      <c r="AL145" s="89"/>
      <c r="AM145" s="89"/>
    </row>
    <row r="146" spans="1:39" s="13" customFormat="1" ht="19.5" thickBot="1" x14ac:dyDescent="0.35">
      <c r="A146" s="282">
        <v>2650</v>
      </c>
      <c r="B146" s="59" t="s">
        <v>319</v>
      </c>
      <c r="C146" s="259">
        <v>84774</v>
      </c>
      <c r="D146" s="69"/>
      <c r="E146" s="115"/>
      <c r="F146" s="115">
        <f t="shared" si="6"/>
        <v>84774</v>
      </c>
      <c r="G146" s="115">
        <f t="shared" si="7"/>
        <v>0</v>
      </c>
      <c r="H146" s="88"/>
      <c r="I146" s="88"/>
      <c r="J146" s="88"/>
      <c r="K146" s="88"/>
      <c r="L146" s="88">
        <v>21210</v>
      </c>
      <c r="M146" s="88"/>
      <c r="N146" s="88"/>
      <c r="O146" s="88"/>
      <c r="P146" s="88">
        <v>27884</v>
      </c>
      <c r="Q146" s="88"/>
      <c r="R146" s="88"/>
      <c r="S146" s="88">
        <v>21113</v>
      </c>
      <c r="T146" s="88"/>
      <c r="U146" s="88">
        <v>14567</v>
      </c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9"/>
      <c r="AJ146" s="89"/>
      <c r="AK146" s="89"/>
      <c r="AL146" s="89"/>
      <c r="AM146" s="89"/>
    </row>
    <row r="147" spans="1:39" s="13" customFormat="1" ht="19.5" thickBot="1" x14ac:dyDescent="0.35">
      <c r="A147" s="282">
        <v>2660</v>
      </c>
      <c r="B147" s="59" t="s">
        <v>320</v>
      </c>
      <c r="C147" s="259">
        <v>531526</v>
      </c>
      <c r="D147" s="69"/>
      <c r="E147" s="115"/>
      <c r="F147" s="115">
        <f t="shared" si="6"/>
        <v>531526</v>
      </c>
      <c r="G147" s="115">
        <f t="shared" si="7"/>
        <v>0</v>
      </c>
      <c r="H147" s="88"/>
      <c r="I147" s="88"/>
      <c r="J147" s="88"/>
      <c r="K147" s="88"/>
      <c r="L147" s="88"/>
      <c r="M147" s="88">
        <v>24677</v>
      </c>
      <c r="N147" s="88">
        <v>40392</v>
      </c>
      <c r="O147" s="88">
        <v>42325</v>
      </c>
      <c r="P147" s="88"/>
      <c r="Q147" s="88">
        <f>51837+50857</f>
        <v>102694</v>
      </c>
      <c r="R147" s="88">
        <v>43198</v>
      </c>
      <c r="S147" s="88">
        <v>42145</v>
      </c>
      <c r="T147" s="88">
        <v>55094</v>
      </c>
      <c r="U147" s="88">
        <f>44874+40557</f>
        <v>85431</v>
      </c>
      <c r="V147" s="88">
        <v>40654</v>
      </c>
      <c r="W147" s="88"/>
      <c r="X147" s="88">
        <f>1693+42455</f>
        <v>44148</v>
      </c>
      <c r="Y147" s="88"/>
      <c r="Z147" s="88">
        <v>10768</v>
      </c>
      <c r="AA147" s="88"/>
      <c r="AB147" s="88"/>
      <c r="AC147" s="88"/>
      <c r="AD147" s="88"/>
      <c r="AE147" s="88"/>
      <c r="AF147" s="88"/>
      <c r="AG147" s="88"/>
      <c r="AH147" s="88"/>
      <c r="AI147" s="89"/>
      <c r="AJ147" s="89"/>
      <c r="AK147" s="89"/>
      <c r="AL147" s="89"/>
      <c r="AM147" s="89"/>
    </row>
    <row r="148" spans="1:39" s="13" customFormat="1" ht="19.5" thickBot="1" x14ac:dyDescent="0.35">
      <c r="A148" s="282">
        <v>2670</v>
      </c>
      <c r="B148" s="59" t="s">
        <v>321</v>
      </c>
      <c r="C148" s="259">
        <v>107604</v>
      </c>
      <c r="D148" s="69"/>
      <c r="E148" s="115"/>
      <c r="F148" s="115">
        <f t="shared" si="6"/>
        <v>107604</v>
      </c>
      <c r="G148" s="115">
        <f t="shared" si="7"/>
        <v>0</v>
      </c>
      <c r="H148" s="88"/>
      <c r="I148" s="88"/>
      <c r="J148" s="88"/>
      <c r="K148" s="88">
        <v>14650</v>
      </c>
      <c r="L148" s="88"/>
      <c r="M148" s="88"/>
      <c r="N148" s="88"/>
      <c r="O148" s="88">
        <v>30098</v>
      </c>
      <c r="P148" s="88"/>
      <c r="Q148" s="88"/>
      <c r="R148" s="88">
        <v>62856</v>
      </c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9"/>
      <c r="AJ148" s="89"/>
      <c r="AK148" s="89"/>
      <c r="AL148" s="89"/>
      <c r="AM148" s="89"/>
    </row>
    <row r="149" spans="1:39" s="13" customFormat="1" ht="19.5" thickBot="1" x14ac:dyDescent="0.35">
      <c r="A149" s="282">
        <v>2680</v>
      </c>
      <c r="B149" s="59" t="s">
        <v>322</v>
      </c>
      <c r="C149" s="259">
        <v>44969</v>
      </c>
      <c r="D149" s="69"/>
      <c r="E149" s="115"/>
      <c r="F149" s="115">
        <f t="shared" si="6"/>
        <v>44969</v>
      </c>
      <c r="G149" s="115">
        <f t="shared" si="7"/>
        <v>0</v>
      </c>
      <c r="H149" s="88"/>
      <c r="I149" s="88"/>
      <c r="J149" s="88"/>
      <c r="K149" s="88"/>
      <c r="L149" s="88">
        <v>16882</v>
      </c>
      <c r="M149" s="88"/>
      <c r="N149" s="88"/>
      <c r="O149" s="88">
        <v>8561</v>
      </c>
      <c r="P149" s="88"/>
      <c r="Q149" s="88"/>
      <c r="R149" s="88">
        <v>9656</v>
      </c>
      <c r="S149" s="88"/>
      <c r="T149" s="88">
        <v>5518</v>
      </c>
      <c r="U149" s="88"/>
      <c r="V149" s="88">
        <v>4352</v>
      </c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9"/>
      <c r="AJ149" s="89"/>
      <c r="AK149" s="89"/>
      <c r="AL149" s="89"/>
      <c r="AM149" s="89"/>
    </row>
    <row r="150" spans="1:39" s="13" customFormat="1" ht="19.5" thickBot="1" x14ac:dyDescent="0.35">
      <c r="A150" s="282">
        <v>2690</v>
      </c>
      <c r="B150" s="59" t="s">
        <v>323</v>
      </c>
      <c r="C150" s="259">
        <v>5823541</v>
      </c>
      <c r="D150" s="69"/>
      <c r="E150" s="115"/>
      <c r="F150" s="115">
        <f t="shared" si="6"/>
        <v>5823541</v>
      </c>
      <c r="G150" s="115">
        <f t="shared" si="7"/>
        <v>0</v>
      </c>
      <c r="H150" s="88"/>
      <c r="I150" s="88"/>
      <c r="J150" s="88"/>
      <c r="K150" s="88"/>
      <c r="L150" s="88"/>
      <c r="M150" s="88">
        <v>250102</v>
      </c>
      <c r="N150" s="88"/>
      <c r="O150" s="88">
        <v>979209</v>
      </c>
      <c r="P150" s="88">
        <v>619831</v>
      </c>
      <c r="Q150" s="88">
        <v>488995</v>
      </c>
      <c r="R150" s="88">
        <v>593363</v>
      </c>
      <c r="S150" s="88">
        <v>483204</v>
      </c>
      <c r="T150" s="88">
        <v>901720</v>
      </c>
      <c r="U150" s="88"/>
      <c r="V150" s="88">
        <v>656787</v>
      </c>
      <c r="W150" s="88">
        <v>395936</v>
      </c>
      <c r="X150" s="88">
        <v>454394</v>
      </c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9"/>
      <c r="AJ150" s="89"/>
      <c r="AK150" s="89"/>
      <c r="AL150" s="89"/>
      <c r="AM150" s="89"/>
    </row>
    <row r="151" spans="1:39" s="13" customFormat="1" ht="19.5" thickBot="1" x14ac:dyDescent="0.35">
      <c r="A151" s="282">
        <v>2700</v>
      </c>
      <c r="B151" s="59" t="s">
        <v>324</v>
      </c>
      <c r="C151" s="259">
        <v>998269</v>
      </c>
      <c r="D151" s="69"/>
      <c r="E151" s="115"/>
      <c r="F151" s="115">
        <f t="shared" si="6"/>
        <v>998269</v>
      </c>
      <c r="G151" s="115">
        <f t="shared" si="7"/>
        <v>0</v>
      </c>
      <c r="H151" s="88"/>
      <c r="I151" s="88"/>
      <c r="J151" s="88"/>
      <c r="K151" s="88"/>
      <c r="L151" s="88"/>
      <c r="M151" s="88"/>
      <c r="N151" s="88"/>
      <c r="O151" s="88"/>
      <c r="P151" s="88">
        <v>22501</v>
      </c>
      <c r="Q151" s="88"/>
      <c r="R151" s="88"/>
      <c r="S151" s="88">
        <f>114969+74693</f>
        <v>189662</v>
      </c>
      <c r="T151" s="88">
        <v>138360</v>
      </c>
      <c r="U151" s="88">
        <v>97100</v>
      </c>
      <c r="V151" s="88">
        <v>31051</v>
      </c>
      <c r="W151" s="88"/>
      <c r="X151" s="88"/>
      <c r="Y151" s="88"/>
      <c r="Z151" s="88">
        <v>47595</v>
      </c>
      <c r="AA151" s="88">
        <v>75453</v>
      </c>
      <c r="AB151" s="88">
        <v>55889</v>
      </c>
      <c r="AC151" s="88">
        <v>73018</v>
      </c>
      <c r="AD151" s="88">
        <v>57112</v>
      </c>
      <c r="AE151" s="88">
        <v>157764</v>
      </c>
      <c r="AF151" s="88">
        <v>52764</v>
      </c>
      <c r="AG151" s="88"/>
      <c r="AH151" s="88"/>
      <c r="AI151" s="89"/>
      <c r="AJ151" s="89"/>
      <c r="AK151" s="89"/>
      <c r="AL151" s="89"/>
      <c r="AM151" s="89"/>
    </row>
    <row r="152" spans="1:39" s="13" customFormat="1" ht="19.5" thickBot="1" x14ac:dyDescent="0.35">
      <c r="A152" s="282">
        <v>2710</v>
      </c>
      <c r="B152" s="59" t="s">
        <v>325</v>
      </c>
      <c r="C152" s="259">
        <v>54150</v>
      </c>
      <c r="D152" s="69"/>
      <c r="E152" s="115"/>
      <c r="F152" s="115">
        <f t="shared" si="6"/>
        <v>54150</v>
      </c>
      <c r="G152" s="115">
        <f t="shared" si="7"/>
        <v>0</v>
      </c>
      <c r="H152" s="88"/>
      <c r="I152" s="88"/>
      <c r="J152" s="88"/>
      <c r="K152" s="88"/>
      <c r="L152" s="88">
        <v>13537</v>
      </c>
      <c r="M152" s="88"/>
      <c r="N152" s="88">
        <v>13523</v>
      </c>
      <c r="O152" s="88"/>
      <c r="P152" s="88"/>
      <c r="Q152" s="88">
        <v>13537</v>
      </c>
      <c r="R152" s="88"/>
      <c r="S152" s="88">
        <v>13553</v>
      </c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9"/>
      <c r="AJ152" s="89"/>
      <c r="AK152" s="89"/>
      <c r="AL152" s="89"/>
      <c r="AM152" s="89"/>
    </row>
    <row r="153" spans="1:39" s="13" customFormat="1" ht="19.5" thickBot="1" x14ac:dyDescent="0.35">
      <c r="A153" s="282">
        <v>2720</v>
      </c>
      <c r="B153" s="59" t="s">
        <v>326</v>
      </c>
      <c r="C153" s="259">
        <v>32882</v>
      </c>
      <c r="D153" s="69" t="s">
        <v>385</v>
      </c>
      <c r="E153" s="115">
        <f>C153</f>
        <v>32882</v>
      </c>
      <c r="F153" s="115">
        <f t="shared" si="6"/>
        <v>0</v>
      </c>
      <c r="G153" s="115">
        <f t="shared" si="7"/>
        <v>0</v>
      </c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9"/>
      <c r="AJ153" s="89"/>
      <c r="AK153" s="89"/>
      <c r="AL153" s="89"/>
      <c r="AM153" s="89"/>
    </row>
    <row r="154" spans="1:39" s="13" customFormat="1" ht="19.5" thickBot="1" x14ac:dyDescent="0.35">
      <c r="A154" s="282">
        <v>2730</v>
      </c>
      <c r="B154" s="59" t="s">
        <v>327</v>
      </c>
      <c r="C154" s="259">
        <v>236605</v>
      </c>
      <c r="D154" s="69"/>
      <c r="E154" s="115"/>
      <c r="F154" s="115">
        <f t="shared" si="6"/>
        <v>236605</v>
      </c>
      <c r="G154" s="115">
        <f t="shared" si="7"/>
        <v>0</v>
      </c>
      <c r="H154" s="88"/>
      <c r="I154" s="88"/>
      <c r="J154" s="88"/>
      <c r="K154" s="88"/>
      <c r="L154" s="88"/>
      <c r="M154" s="88"/>
      <c r="N154" s="88"/>
      <c r="O154" s="88">
        <v>37007</v>
      </c>
      <c r="P154" s="88"/>
      <c r="Q154" s="88"/>
      <c r="R154" s="88"/>
      <c r="S154" s="88"/>
      <c r="T154" s="88"/>
      <c r="U154" s="88"/>
      <c r="V154" s="88">
        <v>160882</v>
      </c>
      <c r="W154" s="88"/>
      <c r="X154" s="88"/>
      <c r="Y154" s="88">
        <v>38716</v>
      </c>
      <c r="Z154" s="88"/>
      <c r="AA154" s="88"/>
      <c r="AB154" s="88"/>
      <c r="AC154" s="88"/>
      <c r="AD154" s="88"/>
      <c r="AE154" s="88"/>
      <c r="AF154" s="88"/>
      <c r="AG154" s="88"/>
      <c r="AH154" s="88"/>
      <c r="AI154" s="89"/>
      <c r="AJ154" s="89"/>
      <c r="AK154" s="89"/>
      <c r="AL154" s="89"/>
      <c r="AM154" s="89"/>
    </row>
    <row r="155" spans="1:39" s="13" customFormat="1" ht="19.5" thickBot="1" x14ac:dyDescent="0.35">
      <c r="A155" s="282">
        <v>2740</v>
      </c>
      <c r="B155" s="59" t="s">
        <v>328</v>
      </c>
      <c r="C155" s="259">
        <v>296564</v>
      </c>
      <c r="D155" s="69"/>
      <c r="E155" s="115"/>
      <c r="F155" s="115">
        <f t="shared" si="6"/>
        <v>296564</v>
      </c>
      <c r="G155" s="115">
        <f t="shared" si="7"/>
        <v>0</v>
      </c>
      <c r="H155" s="88"/>
      <c r="I155" s="88"/>
      <c r="J155" s="88"/>
      <c r="K155" s="88"/>
      <c r="L155" s="88">
        <v>30206</v>
      </c>
      <c r="M155" s="88">
        <v>23828</v>
      </c>
      <c r="N155" s="88">
        <v>25911</v>
      </c>
      <c r="O155" s="88">
        <v>25020</v>
      </c>
      <c r="P155" s="88">
        <v>35432</v>
      </c>
      <c r="Q155" s="88">
        <v>10794</v>
      </c>
      <c r="R155" s="88">
        <v>27730</v>
      </c>
      <c r="S155" s="88">
        <v>25554</v>
      </c>
      <c r="T155" s="88">
        <v>25346</v>
      </c>
      <c r="U155" s="88">
        <v>23352</v>
      </c>
      <c r="V155" s="88">
        <v>23922</v>
      </c>
      <c r="W155" s="88"/>
      <c r="X155" s="88">
        <v>19469</v>
      </c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9"/>
      <c r="AJ155" s="89"/>
      <c r="AK155" s="89"/>
      <c r="AL155" s="89"/>
      <c r="AM155" s="89"/>
    </row>
    <row r="156" spans="1:39" s="13" customFormat="1" ht="19.5" thickBot="1" x14ac:dyDescent="0.35">
      <c r="A156" s="282">
        <v>2750</v>
      </c>
      <c r="B156" s="59" t="s">
        <v>329</v>
      </c>
      <c r="C156" s="259">
        <v>70609</v>
      </c>
      <c r="D156" s="69"/>
      <c r="E156" s="115"/>
      <c r="F156" s="115">
        <f t="shared" si="6"/>
        <v>70609</v>
      </c>
      <c r="G156" s="115">
        <f t="shared" si="7"/>
        <v>0</v>
      </c>
      <c r="H156" s="88"/>
      <c r="I156" s="88"/>
      <c r="J156" s="88"/>
      <c r="K156" s="88"/>
      <c r="L156" s="88">
        <v>5016</v>
      </c>
      <c r="M156" s="88"/>
      <c r="N156" s="88"/>
      <c r="O156" s="88"/>
      <c r="P156" s="88"/>
      <c r="Q156" s="88">
        <v>27101</v>
      </c>
      <c r="R156" s="88"/>
      <c r="S156" s="88"/>
      <c r="T156" s="88">
        <v>36636</v>
      </c>
      <c r="U156" s="88"/>
      <c r="V156" s="88"/>
      <c r="W156" s="88"/>
      <c r="X156" s="88"/>
      <c r="Y156" s="88"/>
      <c r="Z156" s="88">
        <v>1856</v>
      </c>
      <c r="AA156" s="88"/>
      <c r="AB156" s="88"/>
      <c r="AC156" s="88"/>
      <c r="AD156" s="88"/>
      <c r="AE156" s="88"/>
      <c r="AF156" s="88"/>
      <c r="AG156" s="88"/>
      <c r="AH156" s="88"/>
      <c r="AI156" s="89"/>
      <c r="AJ156" s="89"/>
      <c r="AK156" s="89"/>
      <c r="AL156" s="89"/>
      <c r="AM156" s="89"/>
    </row>
    <row r="157" spans="1:39" s="13" customFormat="1" ht="19.5" thickBot="1" x14ac:dyDescent="0.35">
      <c r="A157" s="282">
        <v>2760</v>
      </c>
      <c r="B157" s="59" t="s">
        <v>330</v>
      </c>
      <c r="C157" s="259">
        <v>36364</v>
      </c>
      <c r="D157" s="69" t="s">
        <v>384</v>
      </c>
      <c r="E157" s="115">
        <f>C157</f>
        <v>36364</v>
      </c>
      <c r="F157" s="115">
        <f t="shared" si="6"/>
        <v>0</v>
      </c>
      <c r="G157" s="115">
        <f t="shared" si="7"/>
        <v>0</v>
      </c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9"/>
      <c r="AJ157" s="89"/>
      <c r="AK157" s="89"/>
      <c r="AL157" s="89"/>
      <c r="AM157" s="89"/>
    </row>
    <row r="158" spans="1:39" s="13" customFormat="1" ht="19.5" thickBot="1" x14ac:dyDescent="0.35">
      <c r="A158" s="282">
        <v>2770</v>
      </c>
      <c r="B158" s="59" t="s">
        <v>331</v>
      </c>
      <c r="C158" s="259">
        <v>163789</v>
      </c>
      <c r="D158" s="69"/>
      <c r="E158" s="115"/>
      <c r="F158" s="115">
        <f t="shared" si="6"/>
        <v>163789</v>
      </c>
      <c r="G158" s="115">
        <f t="shared" si="7"/>
        <v>0</v>
      </c>
      <c r="H158" s="88"/>
      <c r="I158" s="88"/>
      <c r="J158" s="88"/>
      <c r="K158" s="88"/>
      <c r="L158" s="88"/>
      <c r="M158" s="88"/>
      <c r="N158" s="88">
        <v>60123</v>
      </c>
      <c r="O158" s="88"/>
      <c r="P158" s="88">
        <v>23884</v>
      </c>
      <c r="Q158" s="88"/>
      <c r="R158" s="88"/>
      <c r="S158" s="88">
        <v>36322</v>
      </c>
      <c r="T158" s="88">
        <v>39700</v>
      </c>
      <c r="U158" s="88"/>
      <c r="V158" s="88"/>
      <c r="W158" s="88"/>
      <c r="X158" s="88"/>
      <c r="Y158" s="88"/>
      <c r="Z158" s="88">
        <v>3760</v>
      </c>
      <c r="AA158" s="88"/>
      <c r="AB158" s="88"/>
      <c r="AC158" s="88"/>
      <c r="AD158" s="88"/>
      <c r="AE158" s="88"/>
      <c r="AF158" s="88"/>
      <c r="AG158" s="88"/>
      <c r="AH158" s="88"/>
      <c r="AI158" s="89"/>
      <c r="AJ158" s="89"/>
      <c r="AK158" s="89"/>
      <c r="AL158" s="89"/>
      <c r="AM158" s="89"/>
    </row>
    <row r="159" spans="1:39" s="13" customFormat="1" ht="19.5" thickBot="1" x14ac:dyDescent="0.35">
      <c r="A159" s="282">
        <v>2780</v>
      </c>
      <c r="B159" s="59" t="s">
        <v>332</v>
      </c>
      <c r="C159" s="259">
        <v>23269</v>
      </c>
      <c r="D159" s="69" t="s">
        <v>384</v>
      </c>
      <c r="E159" s="115">
        <f>C159</f>
        <v>23269</v>
      </c>
      <c r="F159" s="115">
        <f t="shared" si="6"/>
        <v>0</v>
      </c>
      <c r="G159" s="115">
        <f t="shared" si="7"/>
        <v>0</v>
      </c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9"/>
      <c r="AJ159" s="89"/>
      <c r="AK159" s="89"/>
      <c r="AL159" s="89"/>
      <c r="AM159" s="89"/>
    </row>
    <row r="160" spans="1:39" s="13" customFormat="1" ht="19.5" thickBot="1" x14ac:dyDescent="0.35">
      <c r="A160" s="282">
        <v>2790</v>
      </c>
      <c r="B160" s="59" t="s">
        <v>333</v>
      </c>
      <c r="C160" s="259">
        <v>104780</v>
      </c>
      <c r="D160" s="69"/>
      <c r="E160" s="115"/>
      <c r="F160" s="115">
        <f t="shared" si="6"/>
        <v>104780</v>
      </c>
      <c r="G160" s="115">
        <f t="shared" si="7"/>
        <v>0</v>
      </c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>
        <v>104780</v>
      </c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9"/>
      <c r="AJ160" s="89"/>
      <c r="AK160" s="89"/>
      <c r="AL160" s="89"/>
      <c r="AM160" s="89"/>
    </row>
    <row r="161" spans="1:39" s="13" customFormat="1" ht="19.5" thickBot="1" x14ac:dyDescent="0.35">
      <c r="A161" s="282">
        <v>2800</v>
      </c>
      <c r="B161" s="59" t="s">
        <v>334</v>
      </c>
      <c r="C161" s="259">
        <v>130462</v>
      </c>
      <c r="D161" s="69"/>
      <c r="E161" s="115"/>
      <c r="F161" s="115">
        <f t="shared" si="6"/>
        <v>130462</v>
      </c>
      <c r="G161" s="115">
        <f t="shared" si="7"/>
        <v>0</v>
      </c>
      <c r="H161" s="88"/>
      <c r="I161" s="88"/>
      <c r="J161" s="88"/>
      <c r="K161" s="88"/>
      <c r="L161" s="88"/>
      <c r="M161" s="88"/>
      <c r="N161" s="88">
        <v>23712</v>
      </c>
      <c r="O161" s="88"/>
      <c r="P161" s="88"/>
      <c r="Q161" s="88">
        <v>30917</v>
      </c>
      <c r="R161" s="88"/>
      <c r="S161" s="88">
        <v>50124</v>
      </c>
      <c r="T161" s="88"/>
      <c r="U161" s="88"/>
      <c r="V161" s="88"/>
      <c r="W161" s="88"/>
      <c r="X161" s="88"/>
      <c r="Y161" s="88"/>
      <c r="Z161" s="88"/>
      <c r="AA161" s="88"/>
      <c r="AB161" s="88"/>
      <c r="AC161" s="88">
        <v>25709</v>
      </c>
      <c r="AD161" s="88"/>
      <c r="AE161" s="88"/>
      <c r="AF161" s="88"/>
      <c r="AG161" s="88"/>
      <c r="AH161" s="88"/>
      <c r="AI161" s="89"/>
      <c r="AJ161" s="89"/>
      <c r="AK161" s="89"/>
      <c r="AL161" s="89"/>
      <c r="AM161" s="89"/>
    </row>
    <row r="162" spans="1:39" s="13" customFormat="1" ht="19.5" thickBot="1" x14ac:dyDescent="0.35">
      <c r="A162" s="282">
        <v>2810</v>
      </c>
      <c r="B162" s="59" t="s">
        <v>335</v>
      </c>
      <c r="C162" s="259">
        <v>531449</v>
      </c>
      <c r="D162" s="69"/>
      <c r="E162" s="115"/>
      <c r="F162" s="115">
        <f t="shared" si="6"/>
        <v>531449</v>
      </c>
      <c r="G162" s="115">
        <f t="shared" si="7"/>
        <v>0</v>
      </c>
      <c r="H162" s="88"/>
      <c r="I162" s="88"/>
      <c r="J162" s="88"/>
      <c r="K162" s="88">
        <v>69014</v>
      </c>
      <c r="L162" s="88"/>
      <c r="M162" s="88">
        <v>86016</v>
      </c>
      <c r="N162" s="88"/>
      <c r="O162" s="88">
        <f>63401+8123</f>
        <v>71524</v>
      </c>
      <c r="P162" s="88"/>
      <c r="Q162" s="88">
        <v>98611</v>
      </c>
      <c r="R162" s="88"/>
      <c r="S162" s="88">
        <v>94907</v>
      </c>
      <c r="T162" s="88"/>
      <c r="U162" s="88">
        <v>31659</v>
      </c>
      <c r="V162" s="88"/>
      <c r="W162" s="88">
        <v>79718</v>
      </c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9"/>
      <c r="AJ162" s="89"/>
      <c r="AK162" s="89"/>
      <c r="AL162" s="89"/>
      <c r="AM162" s="89"/>
    </row>
    <row r="163" spans="1:39" s="13" customFormat="1" ht="19.5" thickBot="1" x14ac:dyDescent="0.35">
      <c r="A163" s="282">
        <v>2820</v>
      </c>
      <c r="B163" s="59" t="s">
        <v>336</v>
      </c>
      <c r="C163" s="259">
        <v>16530</v>
      </c>
      <c r="D163" s="69"/>
      <c r="E163" s="115"/>
      <c r="F163" s="115">
        <f t="shared" si="6"/>
        <v>16530</v>
      </c>
      <c r="G163" s="115">
        <f t="shared" si="7"/>
        <v>0</v>
      </c>
      <c r="H163" s="88"/>
      <c r="I163" s="88"/>
      <c r="J163" s="88"/>
      <c r="K163" s="88"/>
      <c r="L163" s="88"/>
      <c r="M163" s="88"/>
      <c r="N163" s="88">
        <v>16530</v>
      </c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9"/>
      <c r="AJ163" s="89"/>
      <c r="AK163" s="89"/>
      <c r="AL163" s="89"/>
      <c r="AM163" s="89"/>
    </row>
    <row r="164" spans="1:39" s="13" customFormat="1" ht="19.5" thickBot="1" x14ac:dyDescent="0.35">
      <c r="A164" s="282">
        <v>2830</v>
      </c>
      <c r="B164" s="59" t="s">
        <v>337</v>
      </c>
      <c r="C164" s="259">
        <v>60180</v>
      </c>
      <c r="D164" s="69"/>
      <c r="E164" s="115"/>
      <c r="F164" s="115">
        <f t="shared" si="6"/>
        <v>60180</v>
      </c>
      <c r="G164" s="115">
        <f t="shared" si="7"/>
        <v>0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>
        <v>60180</v>
      </c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9"/>
      <c r="AJ164" s="89"/>
      <c r="AK164" s="89"/>
      <c r="AL164" s="89"/>
      <c r="AM164" s="89"/>
    </row>
    <row r="165" spans="1:39" s="13" customFormat="1" ht="19.5" thickBot="1" x14ac:dyDescent="0.35">
      <c r="A165" s="282">
        <v>2840</v>
      </c>
      <c r="B165" s="59" t="s">
        <v>338</v>
      </c>
      <c r="C165" s="259">
        <v>49294</v>
      </c>
      <c r="D165" s="69"/>
      <c r="E165" s="115"/>
      <c r="F165" s="115">
        <f t="shared" si="6"/>
        <v>49294</v>
      </c>
      <c r="G165" s="115">
        <f t="shared" si="7"/>
        <v>0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>
        <v>49294</v>
      </c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9"/>
      <c r="AJ165" s="89"/>
      <c r="AK165" s="89"/>
      <c r="AL165" s="89"/>
      <c r="AM165" s="89"/>
    </row>
    <row r="166" spans="1:39" s="13" customFormat="1" ht="19.5" thickBot="1" x14ac:dyDescent="0.35">
      <c r="A166" s="282">
        <v>2862</v>
      </c>
      <c r="B166" s="59" t="s">
        <v>339</v>
      </c>
      <c r="C166" s="259">
        <v>39580</v>
      </c>
      <c r="D166" s="69" t="s">
        <v>383</v>
      </c>
      <c r="E166" s="115">
        <f>C166</f>
        <v>39580</v>
      </c>
      <c r="F166" s="115">
        <f t="shared" si="6"/>
        <v>0</v>
      </c>
      <c r="G166" s="115">
        <f t="shared" si="7"/>
        <v>0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9"/>
      <c r="AJ166" s="89"/>
      <c r="AK166" s="89"/>
      <c r="AL166" s="89"/>
      <c r="AM166" s="89"/>
    </row>
    <row r="167" spans="1:39" s="13" customFormat="1" ht="19.5" thickBot="1" x14ac:dyDescent="0.35">
      <c r="A167" s="282">
        <v>2865</v>
      </c>
      <c r="B167" s="59" t="s">
        <v>340</v>
      </c>
      <c r="C167" s="259">
        <v>27989</v>
      </c>
      <c r="D167" s="69" t="s">
        <v>383</v>
      </c>
      <c r="E167" s="115">
        <f>C167</f>
        <v>27989</v>
      </c>
      <c r="F167" s="115">
        <f t="shared" si="6"/>
        <v>0</v>
      </c>
      <c r="G167" s="115">
        <f t="shared" si="7"/>
        <v>0</v>
      </c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9"/>
      <c r="AJ167" s="89"/>
      <c r="AK167" s="89"/>
      <c r="AL167" s="89"/>
      <c r="AM167" s="89"/>
    </row>
    <row r="168" spans="1:39" s="13" customFormat="1" ht="19.5" thickBot="1" x14ac:dyDescent="0.35">
      <c r="A168" s="282">
        <v>3000</v>
      </c>
      <c r="B168" s="59" t="s">
        <v>341</v>
      </c>
      <c r="C168" s="259">
        <v>243143</v>
      </c>
      <c r="D168" s="69"/>
      <c r="E168" s="115"/>
      <c r="F168" s="115">
        <f t="shared" si="6"/>
        <v>243143</v>
      </c>
      <c r="G168" s="115">
        <f t="shared" si="7"/>
        <v>0</v>
      </c>
      <c r="H168" s="88"/>
      <c r="I168" s="88"/>
      <c r="J168" s="88"/>
      <c r="K168" s="88"/>
      <c r="L168" s="88"/>
      <c r="M168" s="88">
        <v>53316</v>
      </c>
      <c r="N168" s="88">
        <v>38813</v>
      </c>
      <c r="O168" s="88"/>
      <c r="P168" s="88"/>
      <c r="Q168" s="88">
        <v>58675</v>
      </c>
      <c r="R168" s="88"/>
      <c r="S168" s="88">
        <v>53463</v>
      </c>
      <c r="T168" s="88"/>
      <c r="U168" s="88"/>
      <c r="V168" s="88">
        <v>38876</v>
      </c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9"/>
      <c r="AJ168" s="89"/>
      <c r="AK168" s="89"/>
      <c r="AL168" s="89"/>
      <c r="AM168" s="89"/>
    </row>
    <row r="169" spans="1:39" s="13" customFormat="1" ht="19.5" thickBot="1" x14ac:dyDescent="0.35">
      <c r="A169" s="282">
        <v>3010</v>
      </c>
      <c r="B169" s="59" t="s">
        <v>342</v>
      </c>
      <c r="C169" s="259">
        <v>78711</v>
      </c>
      <c r="D169" s="69"/>
      <c r="E169" s="115"/>
      <c r="F169" s="115">
        <f t="shared" si="6"/>
        <v>78711</v>
      </c>
      <c r="G169" s="115">
        <f t="shared" si="7"/>
        <v>0</v>
      </c>
      <c r="H169" s="88"/>
      <c r="I169" s="88"/>
      <c r="J169" s="88"/>
      <c r="K169" s="88"/>
      <c r="L169" s="88"/>
      <c r="M169" s="88"/>
      <c r="N169" s="88"/>
      <c r="O169" s="88">
        <v>31785</v>
      </c>
      <c r="P169" s="88"/>
      <c r="Q169" s="88"/>
      <c r="R169" s="88"/>
      <c r="S169" s="88"/>
      <c r="T169" s="88"/>
      <c r="U169" s="88"/>
      <c r="V169" s="88"/>
      <c r="W169" s="88"/>
      <c r="X169" s="88">
        <v>34420</v>
      </c>
      <c r="Y169" s="88"/>
      <c r="Z169" s="88">
        <v>12506</v>
      </c>
      <c r="AA169" s="88"/>
      <c r="AB169" s="88"/>
      <c r="AC169" s="88"/>
      <c r="AD169" s="88"/>
      <c r="AE169" s="88"/>
      <c r="AF169" s="88"/>
      <c r="AG169" s="88"/>
      <c r="AH169" s="88"/>
      <c r="AI169" s="89"/>
      <c r="AJ169" s="89"/>
      <c r="AK169" s="89"/>
      <c r="AL169" s="89"/>
      <c r="AM169" s="89"/>
    </row>
    <row r="170" spans="1:39" s="13" customFormat="1" ht="19.5" thickBot="1" x14ac:dyDescent="0.35">
      <c r="A170" s="282">
        <v>3020</v>
      </c>
      <c r="B170" s="59" t="s">
        <v>343</v>
      </c>
      <c r="C170" s="259">
        <v>265817</v>
      </c>
      <c r="D170" s="69"/>
      <c r="E170" s="115"/>
      <c r="F170" s="115">
        <f t="shared" si="6"/>
        <v>265817</v>
      </c>
      <c r="G170" s="115">
        <f t="shared" si="7"/>
        <v>0</v>
      </c>
      <c r="H170" s="88"/>
      <c r="I170" s="88"/>
      <c r="J170" s="88"/>
      <c r="K170" s="88"/>
      <c r="L170" s="88"/>
      <c r="M170" s="88"/>
      <c r="N170" s="88">
        <v>135506</v>
      </c>
      <c r="O170" s="88"/>
      <c r="P170" s="88"/>
      <c r="Q170" s="88">
        <v>89362</v>
      </c>
      <c r="R170" s="88"/>
      <c r="S170" s="88"/>
      <c r="T170" s="88"/>
      <c r="U170" s="88"/>
      <c r="V170" s="88"/>
      <c r="W170" s="88">
        <v>40949</v>
      </c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9"/>
      <c r="AJ170" s="89"/>
      <c r="AK170" s="89"/>
      <c r="AL170" s="89"/>
      <c r="AM170" s="89"/>
    </row>
    <row r="171" spans="1:39" s="13" customFormat="1" ht="19.5" thickBot="1" x14ac:dyDescent="0.35">
      <c r="A171" s="282">
        <v>3030</v>
      </c>
      <c r="B171" s="59" t="s">
        <v>344</v>
      </c>
      <c r="C171" s="259">
        <v>62036</v>
      </c>
      <c r="D171" s="69" t="s">
        <v>383</v>
      </c>
      <c r="E171" s="115">
        <f>C171</f>
        <v>62036</v>
      </c>
      <c r="F171" s="115">
        <f t="shared" si="6"/>
        <v>0</v>
      </c>
      <c r="G171" s="115">
        <f t="shared" si="7"/>
        <v>0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9"/>
      <c r="AJ171" s="89"/>
      <c r="AK171" s="89"/>
      <c r="AL171" s="89"/>
      <c r="AM171" s="89"/>
    </row>
    <row r="172" spans="1:39" s="13" customFormat="1" ht="19.5" thickBot="1" x14ac:dyDescent="0.35">
      <c r="A172" s="282">
        <v>3040</v>
      </c>
      <c r="B172" s="59" t="s">
        <v>345</v>
      </c>
      <c r="C172" s="259">
        <v>22520</v>
      </c>
      <c r="D172" s="69" t="s">
        <v>381</v>
      </c>
      <c r="E172" s="115">
        <f>C172</f>
        <v>22520</v>
      </c>
      <c r="F172" s="115">
        <f t="shared" si="6"/>
        <v>0</v>
      </c>
      <c r="G172" s="115">
        <f t="shared" si="7"/>
        <v>0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9"/>
      <c r="AJ172" s="89"/>
      <c r="AK172" s="89"/>
      <c r="AL172" s="89"/>
      <c r="AM172" s="89"/>
    </row>
    <row r="173" spans="1:39" s="13" customFormat="1" ht="19.5" thickBot="1" x14ac:dyDescent="0.35">
      <c r="A173" s="282">
        <v>3050</v>
      </c>
      <c r="B173" s="59" t="s">
        <v>346</v>
      </c>
      <c r="C173" s="259">
        <v>17327</v>
      </c>
      <c r="D173" s="69" t="s">
        <v>383</v>
      </c>
      <c r="E173" s="115">
        <f>C173</f>
        <v>17327</v>
      </c>
      <c r="F173" s="115">
        <f t="shared" si="6"/>
        <v>0</v>
      </c>
      <c r="G173" s="115">
        <f t="shared" si="7"/>
        <v>0</v>
      </c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9"/>
      <c r="AJ173" s="89"/>
      <c r="AK173" s="89"/>
      <c r="AL173" s="89"/>
      <c r="AM173" s="89"/>
    </row>
    <row r="174" spans="1:39" s="13" customFormat="1" ht="19.5" thickBot="1" x14ac:dyDescent="0.35">
      <c r="A174" s="282">
        <v>3060</v>
      </c>
      <c r="B174" s="59" t="s">
        <v>347</v>
      </c>
      <c r="C174" s="259">
        <v>0</v>
      </c>
      <c r="D174" s="69"/>
      <c r="E174" s="115"/>
      <c r="F174" s="115">
        <f t="shared" ref="F174:F198" si="8">SUM(H174:AH174)</f>
        <v>0</v>
      </c>
      <c r="G174" s="115">
        <f t="shared" si="7"/>
        <v>0</v>
      </c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9"/>
      <c r="AJ174" s="89"/>
      <c r="AK174" s="89"/>
      <c r="AL174" s="89"/>
      <c r="AM174" s="89"/>
    </row>
    <row r="175" spans="1:39" s="13" customFormat="1" ht="19.5" thickBot="1" x14ac:dyDescent="0.35">
      <c r="A175" s="282">
        <v>3070</v>
      </c>
      <c r="B175" s="59" t="s">
        <v>348</v>
      </c>
      <c r="C175" s="259">
        <v>21647</v>
      </c>
      <c r="D175" s="69" t="s">
        <v>381</v>
      </c>
      <c r="E175" s="115">
        <f>C175</f>
        <v>21647</v>
      </c>
      <c r="F175" s="115">
        <f t="shared" si="8"/>
        <v>0</v>
      </c>
      <c r="G175" s="115">
        <f t="shared" si="7"/>
        <v>0</v>
      </c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9"/>
      <c r="AJ175" s="89"/>
      <c r="AK175" s="89"/>
      <c r="AL175" s="89"/>
      <c r="AM175" s="89"/>
    </row>
    <row r="176" spans="1:39" s="13" customFormat="1" ht="19.5" thickBot="1" x14ac:dyDescent="0.35">
      <c r="A176" s="282">
        <v>3080</v>
      </c>
      <c r="B176" s="59" t="s">
        <v>349</v>
      </c>
      <c r="C176" s="259">
        <v>423356</v>
      </c>
      <c r="D176" s="69" t="s">
        <v>409</v>
      </c>
      <c r="E176" s="115">
        <f>C176</f>
        <v>423356</v>
      </c>
      <c r="F176" s="115">
        <f t="shared" si="8"/>
        <v>0</v>
      </c>
      <c r="G176" s="115">
        <f t="shared" si="7"/>
        <v>0</v>
      </c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9"/>
      <c r="AJ176" s="89"/>
      <c r="AK176" s="89"/>
      <c r="AL176" s="89"/>
      <c r="AM176" s="89"/>
    </row>
    <row r="177" spans="1:39" s="13" customFormat="1" ht="19.5" thickBot="1" x14ac:dyDescent="0.35">
      <c r="A177" s="282">
        <v>3085</v>
      </c>
      <c r="B177" s="59" t="s">
        <v>350</v>
      </c>
      <c r="C177" s="259">
        <v>141572</v>
      </c>
      <c r="D177" s="69"/>
      <c r="E177" s="115"/>
      <c r="F177" s="115">
        <f t="shared" si="8"/>
        <v>141572</v>
      </c>
      <c r="G177" s="115">
        <f t="shared" si="7"/>
        <v>0</v>
      </c>
      <c r="H177" s="88"/>
      <c r="I177" s="88"/>
      <c r="J177" s="88"/>
      <c r="K177" s="88"/>
      <c r="L177" s="88"/>
      <c r="M177" s="88"/>
      <c r="N177" s="88"/>
      <c r="O177" s="88"/>
      <c r="P177" s="88">
        <v>73185</v>
      </c>
      <c r="Q177" s="88"/>
      <c r="R177" s="88"/>
      <c r="S177" s="88"/>
      <c r="T177" s="88">
        <v>37947</v>
      </c>
      <c r="U177" s="88"/>
      <c r="V177" s="88">
        <v>18586</v>
      </c>
      <c r="W177" s="88"/>
      <c r="X177" s="88"/>
      <c r="Y177" s="88"/>
      <c r="Z177" s="88"/>
      <c r="AA177" s="88"/>
      <c r="AB177" s="88"/>
      <c r="AC177" s="88"/>
      <c r="AD177" s="88"/>
      <c r="AE177" s="88">
        <v>11854</v>
      </c>
      <c r="AF177" s="88"/>
      <c r="AG177" s="88"/>
      <c r="AH177" s="88"/>
      <c r="AI177" s="89"/>
      <c r="AJ177" s="89"/>
      <c r="AK177" s="89"/>
      <c r="AL177" s="89"/>
      <c r="AM177" s="89"/>
    </row>
    <row r="178" spans="1:39" s="13" customFormat="1" ht="19.5" thickBot="1" x14ac:dyDescent="0.35">
      <c r="A178" s="282">
        <v>3090</v>
      </c>
      <c r="B178" s="59" t="s">
        <v>351</v>
      </c>
      <c r="C178" s="259">
        <v>231734</v>
      </c>
      <c r="D178" s="69"/>
      <c r="E178" s="115"/>
      <c r="F178" s="115">
        <f t="shared" si="8"/>
        <v>231734</v>
      </c>
      <c r="G178" s="115">
        <f t="shared" si="7"/>
        <v>0</v>
      </c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>
        <v>111332</v>
      </c>
      <c r="S178" s="88"/>
      <c r="T178" s="88">
        <v>42857</v>
      </c>
      <c r="U178" s="88"/>
      <c r="V178" s="88"/>
      <c r="W178" s="88"/>
      <c r="X178" s="88"/>
      <c r="Y178" s="88"/>
      <c r="Z178" s="88"/>
      <c r="AA178" s="88">
        <v>77545</v>
      </c>
      <c r="AB178" s="88"/>
      <c r="AC178" s="88"/>
      <c r="AD178" s="88"/>
      <c r="AE178" s="88"/>
      <c r="AF178" s="88"/>
      <c r="AG178" s="88"/>
      <c r="AH178" s="88"/>
      <c r="AI178" s="89"/>
      <c r="AJ178" s="89"/>
      <c r="AK178" s="89"/>
      <c r="AL178" s="89"/>
      <c r="AM178" s="89"/>
    </row>
    <row r="179" spans="1:39" s="13" customFormat="1" ht="19.5" thickBot="1" x14ac:dyDescent="0.35">
      <c r="A179" s="282">
        <v>3100</v>
      </c>
      <c r="B179" s="59" t="s">
        <v>352</v>
      </c>
      <c r="C179" s="259">
        <v>224590</v>
      </c>
      <c r="D179" s="69"/>
      <c r="E179" s="115"/>
      <c r="F179" s="115">
        <f t="shared" si="8"/>
        <v>224590</v>
      </c>
      <c r="G179" s="115">
        <f t="shared" si="7"/>
        <v>0</v>
      </c>
      <c r="H179" s="88"/>
      <c r="I179" s="88"/>
      <c r="J179" s="88"/>
      <c r="K179" s="88">
        <v>6650</v>
      </c>
      <c r="L179" s="88">
        <v>22590</v>
      </c>
      <c r="M179" s="88">
        <v>19987</v>
      </c>
      <c r="N179" s="88"/>
      <c r="O179" s="88">
        <v>38289</v>
      </c>
      <c r="P179" s="88">
        <v>19401</v>
      </c>
      <c r="Q179" s="88">
        <v>18521</v>
      </c>
      <c r="R179" s="88">
        <v>17828</v>
      </c>
      <c r="S179" s="88">
        <v>18762</v>
      </c>
      <c r="T179" s="88"/>
      <c r="U179" s="88">
        <v>36397</v>
      </c>
      <c r="V179" s="88">
        <v>16274</v>
      </c>
      <c r="W179" s="88">
        <v>9891</v>
      </c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9"/>
      <c r="AJ179" s="89"/>
      <c r="AK179" s="89"/>
      <c r="AL179" s="89"/>
      <c r="AM179" s="89"/>
    </row>
    <row r="180" spans="1:39" s="13" customFormat="1" ht="19.5" thickBot="1" x14ac:dyDescent="0.35">
      <c r="A180" s="282">
        <v>3110</v>
      </c>
      <c r="B180" s="59" t="s">
        <v>353</v>
      </c>
      <c r="C180" s="259">
        <v>201634</v>
      </c>
      <c r="D180" s="69"/>
      <c r="E180" s="115"/>
      <c r="F180" s="115">
        <f t="shared" si="8"/>
        <v>201634</v>
      </c>
      <c r="G180" s="115">
        <f t="shared" si="7"/>
        <v>0</v>
      </c>
      <c r="H180" s="88"/>
      <c r="I180" s="88"/>
      <c r="J180" s="88"/>
      <c r="K180" s="88"/>
      <c r="L180" s="88"/>
      <c r="M180" s="88"/>
      <c r="N180" s="88"/>
      <c r="O180" s="88">
        <v>117401</v>
      </c>
      <c r="P180" s="88"/>
      <c r="Q180" s="88"/>
      <c r="R180" s="88"/>
      <c r="S180" s="88">
        <v>84233</v>
      </c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9"/>
      <c r="AJ180" s="89"/>
      <c r="AK180" s="89"/>
      <c r="AL180" s="89"/>
      <c r="AM180" s="89"/>
    </row>
    <row r="181" spans="1:39" s="13" customFormat="1" ht="19.5" thickBot="1" x14ac:dyDescent="0.35">
      <c r="A181" s="282">
        <v>3120</v>
      </c>
      <c r="B181" s="59" t="s">
        <v>354</v>
      </c>
      <c r="C181" s="259">
        <v>4962987</v>
      </c>
      <c r="D181" s="69"/>
      <c r="E181" s="115"/>
      <c r="F181" s="115">
        <f t="shared" si="8"/>
        <v>4962987</v>
      </c>
      <c r="G181" s="115">
        <f t="shared" si="7"/>
        <v>0</v>
      </c>
      <c r="H181" s="88"/>
      <c r="I181" s="88"/>
      <c r="J181" s="88"/>
      <c r="K181" s="88"/>
      <c r="L181" s="88"/>
      <c r="M181" s="88">
        <v>304564</v>
      </c>
      <c r="N181" s="88"/>
      <c r="O181" s="88">
        <v>1047128</v>
      </c>
      <c r="P181" s="88">
        <v>335896</v>
      </c>
      <c r="Q181" s="88">
        <v>398550</v>
      </c>
      <c r="R181" s="88">
        <v>354479</v>
      </c>
      <c r="S181" s="88">
        <v>340135</v>
      </c>
      <c r="T181" s="88">
        <v>472312</v>
      </c>
      <c r="U181" s="88">
        <v>264484</v>
      </c>
      <c r="V181" s="88">
        <v>561061</v>
      </c>
      <c r="W181" s="88">
        <v>524397</v>
      </c>
      <c r="X181" s="88">
        <v>359981</v>
      </c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9"/>
      <c r="AJ181" s="89"/>
      <c r="AK181" s="89"/>
      <c r="AL181" s="89"/>
      <c r="AM181" s="89"/>
    </row>
    <row r="182" spans="1:39" s="13" customFormat="1" ht="19.5" thickBot="1" x14ac:dyDescent="0.35">
      <c r="A182" s="282">
        <v>3130</v>
      </c>
      <c r="B182" s="59" t="s">
        <v>355</v>
      </c>
      <c r="C182" s="259">
        <v>143319</v>
      </c>
      <c r="D182" s="69" t="s">
        <v>409</v>
      </c>
      <c r="E182" s="115">
        <f>C182</f>
        <v>143319</v>
      </c>
      <c r="F182" s="115">
        <f t="shared" si="8"/>
        <v>0</v>
      </c>
      <c r="G182" s="115">
        <f t="shared" si="7"/>
        <v>0</v>
      </c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9"/>
      <c r="AJ182" s="89"/>
      <c r="AK182" s="89"/>
      <c r="AL182" s="89"/>
      <c r="AM182" s="89"/>
    </row>
    <row r="183" spans="1:39" s="13" customFormat="1" ht="19.5" thickBot="1" x14ac:dyDescent="0.35">
      <c r="A183" s="282">
        <v>3140</v>
      </c>
      <c r="B183" s="302" t="s">
        <v>356</v>
      </c>
      <c r="C183" s="259">
        <v>498863</v>
      </c>
      <c r="D183" s="69"/>
      <c r="E183" s="115"/>
      <c r="F183" s="115">
        <f t="shared" si="8"/>
        <v>498863</v>
      </c>
      <c r="G183" s="115">
        <f t="shared" si="7"/>
        <v>0</v>
      </c>
      <c r="H183" s="88"/>
      <c r="I183" s="88"/>
      <c r="J183" s="88"/>
      <c r="K183" s="88"/>
      <c r="L183" s="88"/>
      <c r="M183" s="88"/>
      <c r="N183" s="88"/>
      <c r="O183" s="88">
        <v>93306</v>
      </c>
      <c r="P183" s="88"/>
      <c r="Q183" s="88"/>
      <c r="R183" s="88"/>
      <c r="S183" s="88"/>
      <c r="T183" s="88"/>
      <c r="U183" s="88"/>
      <c r="V183" s="88"/>
      <c r="W183" s="88"/>
      <c r="X183" s="88">
        <v>334507</v>
      </c>
      <c r="Y183" s="88"/>
      <c r="Z183" s="88">
        <v>71050</v>
      </c>
      <c r="AA183" s="88"/>
      <c r="AB183" s="88"/>
      <c r="AC183" s="88"/>
      <c r="AD183" s="88"/>
      <c r="AE183" s="88"/>
      <c r="AF183" s="88"/>
      <c r="AG183" s="88"/>
      <c r="AH183" s="88"/>
      <c r="AI183" s="89"/>
      <c r="AJ183" s="89"/>
      <c r="AK183" s="89"/>
      <c r="AL183" s="89"/>
      <c r="AM183" s="89"/>
    </row>
    <row r="184" spans="1:39" s="13" customFormat="1" ht="19.5" thickBot="1" x14ac:dyDescent="0.35">
      <c r="A184" s="282">
        <v>3145</v>
      </c>
      <c r="B184" s="59" t="s">
        <v>357</v>
      </c>
      <c r="C184" s="259">
        <v>122705</v>
      </c>
      <c r="D184" s="69"/>
      <c r="E184" s="115"/>
      <c r="F184" s="115">
        <f t="shared" si="8"/>
        <v>122705</v>
      </c>
      <c r="G184" s="115">
        <f t="shared" si="7"/>
        <v>0</v>
      </c>
      <c r="H184" s="88"/>
      <c r="I184" s="88"/>
      <c r="J184" s="88"/>
      <c r="K184" s="88"/>
      <c r="L184" s="88">
        <v>1488</v>
      </c>
      <c r="M184" s="88"/>
      <c r="N184" s="88"/>
      <c r="O184" s="88">
        <v>32101</v>
      </c>
      <c r="P184" s="88"/>
      <c r="Q184" s="88">
        <v>36444</v>
      </c>
      <c r="R184" s="88">
        <v>16315</v>
      </c>
      <c r="S184" s="88">
        <v>10029</v>
      </c>
      <c r="T184" s="88">
        <v>6104</v>
      </c>
      <c r="U184" s="88">
        <v>5571</v>
      </c>
      <c r="V184" s="88">
        <v>5474</v>
      </c>
      <c r="W184" s="88"/>
      <c r="X184" s="88"/>
      <c r="Y184" s="88">
        <v>9179</v>
      </c>
      <c r="Z184" s="88"/>
      <c r="AA184" s="88"/>
      <c r="AB184" s="88"/>
      <c r="AC184" s="88"/>
      <c r="AD184" s="88"/>
      <c r="AE184" s="88"/>
      <c r="AF184" s="88"/>
      <c r="AG184" s="88"/>
      <c r="AH184" s="88"/>
      <c r="AI184" s="89"/>
      <c r="AJ184" s="89"/>
      <c r="AK184" s="89"/>
      <c r="AL184" s="89"/>
      <c r="AM184" s="89"/>
    </row>
    <row r="185" spans="1:39" s="13" customFormat="1" ht="19.5" thickBot="1" x14ac:dyDescent="0.35">
      <c r="A185" s="282">
        <v>3146</v>
      </c>
      <c r="B185" s="59" t="s">
        <v>358</v>
      </c>
      <c r="C185" s="259">
        <v>17874</v>
      </c>
      <c r="D185" s="69" t="s">
        <v>409</v>
      </c>
      <c r="E185" s="115">
        <f>C185</f>
        <v>17874</v>
      </c>
      <c r="F185" s="115">
        <f t="shared" si="8"/>
        <v>0</v>
      </c>
      <c r="G185" s="115">
        <f t="shared" si="7"/>
        <v>0</v>
      </c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9"/>
      <c r="AJ185" s="89"/>
      <c r="AK185" s="89"/>
      <c r="AL185" s="89"/>
      <c r="AM185" s="89"/>
    </row>
    <row r="186" spans="1:39" s="13" customFormat="1" ht="19.5" thickBot="1" x14ac:dyDescent="0.35">
      <c r="A186" s="282">
        <v>3147</v>
      </c>
      <c r="B186" s="59" t="s">
        <v>359</v>
      </c>
      <c r="C186" s="259">
        <v>19343</v>
      </c>
      <c r="D186" s="69" t="s">
        <v>409</v>
      </c>
      <c r="E186" s="115">
        <f>C186</f>
        <v>19343</v>
      </c>
      <c r="F186" s="115">
        <f t="shared" si="8"/>
        <v>0</v>
      </c>
      <c r="G186" s="115">
        <f t="shared" si="7"/>
        <v>0</v>
      </c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9"/>
      <c r="AJ186" s="89"/>
      <c r="AK186" s="89"/>
      <c r="AL186" s="89"/>
      <c r="AM186" s="89"/>
    </row>
    <row r="187" spans="1:39" s="13" customFormat="1" ht="19.5" thickBot="1" x14ac:dyDescent="0.35">
      <c r="A187" s="282">
        <v>3148</v>
      </c>
      <c r="B187" s="59" t="s">
        <v>360</v>
      </c>
      <c r="C187" s="259">
        <v>93584</v>
      </c>
      <c r="D187" s="69" t="s">
        <v>409</v>
      </c>
      <c r="E187" s="115">
        <f>C187</f>
        <v>93584</v>
      </c>
      <c r="F187" s="115">
        <f t="shared" si="8"/>
        <v>0</v>
      </c>
      <c r="G187" s="115">
        <f t="shared" si="7"/>
        <v>0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9"/>
      <c r="AJ187" s="89"/>
      <c r="AK187" s="89"/>
      <c r="AL187" s="89"/>
      <c r="AM187" s="89"/>
    </row>
    <row r="188" spans="1:39" s="13" customFormat="1" ht="19.5" thickBot="1" x14ac:dyDescent="0.35">
      <c r="A188" s="282">
        <v>3200</v>
      </c>
      <c r="B188" s="59" t="s">
        <v>361</v>
      </c>
      <c r="C188" s="259">
        <v>170855</v>
      </c>
      <c r="D188" s="69"/>
      <c r="E188" s="115"/>
      <c r="F188" s="115">
        <f t="shared" si="8"/>
        <v>170855</v>
      </c>
      <c r="G188" s="115">
        <f t="shared" si="7"/>
        <v>0</v>
      </c>
      <c r="H188" s="88"/>
      <c r="I188" s="88"/>
      <c r="J188" s="88"/>
      <c r="K188" s="88"/>
      <c r="L188" s="88"/>
      <c r="M188" s="88"/>
      <c r="N188" s="88"/>
      <c r="O188" s="88"/>
      <c r="P188" s="88"/>
      <c r="Q188" s="88">
        <f>4770+14665</f>
        <v>19435</v>
      </c>
      <c r="R188" s="88"/>
      <c r="S188" s="88">
        <v>14886</v>
      </c>
      <c r="T188" s="88">
        <v>14518</v>
      </c>
      <c r="U188" s="88">
        <f>13510+22383</f>
        <v>35893</v>
      </c>
      <c r="V188" s="88"/>
      <c r="W188" s="88">
        <v>20069</v>
      </c>
      <c r="X188" s="88">
        <f>11540+11527</f>
        <v>23067</v>
      </c>
      <c r="Y188" s="88"/>
      <c r="Z188" s="88"/>
      <c r="AA188" s="88"/>
      <c r="AB188" s="88"/>
      <c r="AC188" s="88">
        <f>11527+11555+9676+10229</f>
        <v>42987</v>
      </c>
      <c r="AD188" s="88"/>
      <c r="AE188" s="88"/>
      <c r="AF188" s="88"/>
      <c r="AG188" s="88"/>
      <c r="AH188" s="88"/>
      <c r="AI188" s="89"/>
      <c r="AJ188" s="89"/>
      <c r="AK188" s="89"/>
      <c r="AL188" s="89"/>
      <c r="AM188" s="89"/>
    </row>
    <row r="189" spans="1:39" s="13" customFormat="1" ht="19.5" thickBot="1" x14ac:dyDescent="0.35">
      <c r="A189" s="282">
        <v>3210</v>
      </c>
      <c r="B189" s="59" t="s">
        <v>362</v>
      </c>
      <c r="C189" s="259">
        <v>76810</v>
      </c>
      <c r="D189" s="69"/>
      <c r="E189" s="115"/>
      <c r="F189" s="115">
        <f t="shared" si="8"/>
        <v>76810</v>
      </c>
      <c r="G189" s="115">
        <f t="shared" si="7"/>
        <v>0</v>
      </c>
      <c r="H189" s="88"/>
      <c r="I189" s="88"/>
      <c r="J189" s="88"/>
      <c r="K189" s="88"/>
      <c r="L189" s="88"/>
      <c r="M189" s="88"/>
      <c r="N189" s="88"/>
      <c r="O189" s="88">
        <v>32305</v>
      </c>
      <c r="P189" s="88"/>
      <c r="Q189" s="88"/>
      <c r="R189" s="88"/>
      <c r="S189" s="88"/>
      <c r="T189" s="88"/>
      <c r="U189" s="88">
        <v>44505</v>
      </c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9"/>
      <c r="AJ189" s="89"/>
      <c r="AK189" s="89"/>
      <c r="AL189" s="89"/>
      <c r="AM189" s="89"/>
    </row>
    <row r="190" spans="1:39" s="13" customFormat="1" ht="19.5" thickBot="1" x14ac:dyDescent="0.35">
      <c r="A190" s="282">
        <v>3220</v>
      </c>
      <c r="B190" s="59" t="s">
        <v>363</v>
      </c>
      <c r="C190" s="259">
        <v>11707</v>
      </c>
      <c r="D190" s="69" t="s">
        <v>381</v>
      </c>
      <c r="E190" s="115">
        <f>C190</f>
        <v>11707</v>
      </c>
      <c r="F190" s="115">
        <f t="shared" si="8"/>
        <v>0</v>
      </c>
      <c r="G190" s="115">
        <f t="shared" si="7"/>
        <v>0</v>
      </c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9"/>
      <c r="AJ190" s="89"/>
      <c r="AK190" s="89"/>
      <c r="AL190" s="89"/>
      <c r="AM190" s="89"/>
    </row>
    <row r="191" spans="1:39" s="13" customFormat="1" ht="19.5" thickBot="1" x14ac:dyDescent="0.35">
      <c r="A191" s="282">
        <v>3230</v>
      </c>
      <c r="B191" s="59" t="s">
        <v>364</v>
      </c>
      <c r="C191" s="259">
        <v>0</v>
      </c>
      <c r="D191" s="69"/>
      <c r="E191" s="115"/>
      <c r="F191" s="115">
        <f t="shared" si="8"/>
        <v>0</v>
      </c>
      <c r="G191" s="115">
        <f t="shared" si="7"/>
        <v>0</v>
      </c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9"/>
      <c r="AJ191" s="89"/>
      <c r="AK191" s="89"/>
      <c r="AL191" s="89"/>
      <c r="AM191" s="89"/>
    </row>
    <row r="192" spans="1:39" s="13" customFormat="1" ht="19.5" thickBot="1" x14ac:dyDescent="0.35">
      <c r="A192" s="279">
        <v>8001</v>
      </c>
      <c r="B192" s="59" t="s">
        <v>366</v>
      </c>
      <c r="C192" s="260">
        <v>1313426</v>
      </c>
      <c r="D192" s="70"/>
      <c r="E192" s="115"/>
      <c r="F192" s="115">
        <f t="shared" si="8"/>
        <v>1313426</v>
      </c>
      <c r="G192" s="115">
        <f t="shared" si="7"/>
        <v>0</v>
      </c>
      <c r="H192" s="88"/>
      <c r="I192" s="88"/>
      <c r="J192" s="88"/>
      <c r="K192" s="88"/>
      <c r="L192" s="88"/>
      <c r="M192" s="88"/>
      <c r="N192" s="88"/>
      <c r="O192" s="88">
        <v>31307</v>
      </c>
      <c r="P192" s="88">
        <v>448210</v>
      </c>
      <c r="Q192" s="88">
        <v>62146</v>
      </c>
      <c r="R192" s="88"/>
      <c r="S192" s="88"/>
      <c r="T192" s="88">
        <v>245363</v>
      </c>
      <c r="U192" s="88">
        <v>165321</v>
      </c>
      <c r="V192" s="88"/>
      <c r="W192" s="88">
        <v>135023</v>
      </c>
      <c r="X192" s="88"/>
      <c r="Y192" s="88"/>
      <c r="Z192" s="88">
        <v>226056</v>
      </c>
      <c r="AA192" s="88"/>
      <c r="AB192" s="88"/>
      <c r="AC192" s="88"/>
      <c r="AD192" s="88"/>
      <c r="AE192" s="88"/>
      <c r="AF192" s="88"/>
      <c r="AG192" s="88"/>
      <c r="AH192" s="88"/>
      <c r="AI192" s="89"/>
      <c r="AJ192" s="89"/>
      <c r="AK192" s="89"/>
      <c r="AL192" s="89"/>
      <c r="AM192" s="89"/>
    </row>
    <row r="193" spans="1:39" s="13" customFormat="1" ht="19.5" thickBot="1" x14ac:dyDescent="0.35">
      <c r="A193" s="282">
        <v>9000</v>
      </c>
      <c r="B193" s="59" t="s">
        <v>367</v>
      </c>
      <c r="C193" s="260">
        <v>125075</v>
      </c>
      <c r="D193" s="70"/>
      <c r="E193" s="115"/>
      <c r="F193" s="115">
        <f t="shared" si="8"/>
        <v>125075</v>
      </c>
      <c r="G193" s="115">
        <f t="shared" si="7"/>
        <v>0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>
        <v>79081</v>
      </c>
      <c r="W193" s="88"/>
      <c r="X193" s="88"/>
      <c r="Y193" s="88"/>
      <c r="Z193" s="88"/>
      <c r="AA193" s="88"/>
      <c r="AB193" s="88"/>
      <c r="AC193" s="88"/>
      <c r="AD193" s="88"/>
      <c r="AE193" s="88"/>
      <c r="AF193" s="88">
        <v>45994</v>
      </c>
      <c r="AG193" s="88"/>
      <c r="AH193" s="88"/>
      <c r="AI193" s="89"/>
      <c r="AJ193" s="89"/>
      <c r="AK193" s="89"/>
      <c r="AL193" s="89"/>
      <c r="AM193" s="89"/>
    </row>
    <row r="194" spans="1:39" s="13" customFormat="1" ht="19.5" thickBot="1" x14ac:dyDescent="0.35">
      <c r="A194" s="278">
        <v>9025</v>
      </c>
      <c r="B194" s="65" t="s">
        <v>381</v>
      </c>
      <c r="C194" s="261">
        <f ca="1">SUMIF($D$14:$E$198,"East Central BOCES",$E$14:$E$198)</f>
        <v>763234</v>
      </c>
      <c r="D194" s="154"/>
      <c r="E194" s="115"/>
      <c r="F194" s="115">
        <f t="shared" si="8"/>
        <v>763234</v>
      </c>
      <c r="G194" s="115">
        <f t="shared" ca="1" si="7"/>
        <v>0</v>
      </c>
      <c r="H194" s="88"/>
      <c r="I194" s="88"/>
      <c r="J194" s="88"/>
      <c r="K194" s="88"/>
      <c r="L194" s="88"/>
      <c r="M194" s="88">
        <v>123825</v>
      </c>
      <c r="N194" s="88"/>
      <c r="O194" s="88">
        <v>17763</v>
      </c>
      <c r="P194" s="88">
        <v>57333</v>
      </c>
      <c r="Q194" s="88">
        <v>137944</v>
      </c>
      <c r="R194" s="88">
        <v>63294</v>
      </c>
      <c r="S194" s="88">
        <v>6931</v>
      </c>
      <c r="T194" s="88">
        <v>183390</v>
      </c>
      <c r="U194" s="88">
        <v>111566</v>
      </c>
      <c r="V194" s="88"/>
      <c r="W194" s="88"/>
      <c r="X194" s="88">
        <v>15494</v>
      </c>
      <c r="Y194" s="88">
        <v>45694</v>
      </c>
      <c r="Z194" s="88"/>
      <c r="AA194" s="88"/>
      <c r="AB194" s="88"/>
      <c r="AC194" s="88"/>
      <c r="AD194" s="88"/>
      <c r="AE194" s="88"/>
      <c r="AF194" s="88"/>
      <c r="AG194" s="88"/>
      <c r="AH194" s="88"/>
      <c r="AI194" s="89"/>
      <c r="AJ194" s="89"/>
      <c r="AK194" s="89"/>
      <c r="AL194" s="89"/>
      <c r="AM194" s="89"/>
    </row>
    <row r="195" spans="1:39" s="13" customFormat="1" ht="19.5" thickBot="1" x14ac:dyDescent="0.35">
      <c r="A195" s="278">
        <v>9035</v>
      </c>
      <c r="B195" s="65" t="s">
        <v>382</v>
      </c>
      <c r="C195" s="261">
        <f ca="1">SUMIF($D$14:$E$198,"CBOCES",$E$14:$E$198)</f>
        <v>1032580</v>
      </c>
      <c r="D195" s="154"/>
      <c r="E195" s="115"/>
      <c r="F195" s="115">
        <f t="shared" si="8"/>
        <v>1032580</v>
      </c>
      <c r="G195" s="115">
        <f t="shared" ca="1" si="7"/>
        <v>0</v>
      </c>
      <c r="H195" s="88"/>
      <c r="I195" s="88"/>
      <c r="J195" s="88"/>
      <c r="K195" s="88"/>
      <c r="L195" s="88">
        <v>26955</v>
      </c>
      <c r="M195" s="88">
        <v>69500</v>
      </c>
      <c r="N195" s="88">
        <v>170000</v>
      </c>
      <c r="O195" s="88">
        <v>81000</v>
      </c>
      <c r="P195" s="88">
        <v>38000</v>
      </c>
      <c r="Q195" s="88">
        <v>100000</v>
      </c>
      <c r="R195" s="88">
        <v>40000</v>
      </c>
      <c r="S195" s="88">
        <v>138500</v>
      </c>
      <c r="T195" s="88">
        <v>123600</v>
      </c>
      <c r="U195" s="88">
        <v>41100</v>
      </c>
      <c r="V195" s="88">
        <v>157367</v>
      </c>
      <c r="W195" s="88"/>
      <c r="X195" s="88">
        <v>15057</v>
      </c>
      <c r="Y195" s="88">
        <v>4250</v>
      </c>
      <c r="Z195" s="88">
        <v>27251</v>
      </c>
      <c r="AA195" s="88"/>
      <c r="AB195" s="88"/>
      <c r="AC195" s="88"/>
      <c r="AD195" s="88"/>
      <c r="AE195" s="88"/>
      <c r="AF195" s="88"/>
      <c r="AG195" s="88"/>
      <c r="AH195" s="88"/>
      <c r="AI195" s="89"/>
      <c r="AJ195" s="89"/>
      <c r="AK195" s="89"/>
      <c r="AL195" s="89"/>
      <c r="AM195" s="89"/>
    </row>
    <row r="196" spans="1:39" ht="19.5" thickBot="1" x14ac:dyDescent="0.35">
      <c r="A196" s="278">
        <v>9040</v>
      </c>
      <c r="B196" s="66" t="s">
        <v>383</v>
      </c>
      <c r="C196" s="261">
        <f ca="1">SUMIF($D$14:$E$198,"Northeast BOCES",$E$14:$E$198)</f>
        <v>293790</v>
      </c>
      <c r="D196" s="154"/>
      <c r="E196" s="115"/>
      <c r="F196" s="115">
        <f t="shared" si="8"/>
        <v>293790</v>
      </c>
      <c r="G196" s="115">
        <f t="shared" ca="1" si="7"/>
        <v>0</v>
      </c>
      <c r="H196" s="90"/>
      <c r="I196" s="90"/>
      <c r="J196" s="90"/>
      <c r="K196" s="90"/>
      <c r="L196" s="90"/>
      <c r="M196" s="90"/>
      <c r="N196" s="88">
        <v>128577</v>
      </c>
      <c r="O196" s="90"/>
      <c r="P196" s="90"/>
      <c r="Q196" s="90">
        <v>121970</v>
      </c>
      <c r="R196" s="90" t="s">
        <v>491</v>
      </c>
      <c r="S196" s="90">
        <v>29283</v>
      </c>
      <c r="T196" s="90"/>
      <c r="U196" s="90"/>
      <c r="V196" s="90"/>
      <c r="W196" s="90">
        <v>7782</v>
      </c>
      <c r="X196" s="90"/>
      <c r="Y196" s="90" t="s">
        <v>410</v>
      </c>
      <c r="Z196" s="90"/>
      <c r="AA196" s="90">
        <v>6178</v>
      </c>
      <c r="AB196" s="90"/>
      <c r="AC196" s="90"/>
      <c r="AD196" s="90"/>
      <c r="AE196" s="90"/>
      <c r="AF196" s="90"/>
      <c r="AG196" s="90"/>
      <c r="AH196" s="90"/>
      <c r="AI196" s="91"/>
      <c r="AJ196" s="91"/>
      <c r="AK196" s="91"/>
      <c r="AL196" s="91"/>
      <c r="AM196" s="91"/>
    </row>
    <row r="197" spans="1:39" ht="19.5" thickBot="1" x14ac:dyDescent="0.35">
      <c r="A197" s="278">
        <v>9095</v>
      </c>
      <c r="B197" s="65" t="s">
        <v>384</v>
      </c>
      <c r="C197" s="261">
        <f ca="1">SUMIF($D$14:$E$198,"Northwest BOCES",$E$14:$E$198)</f>
        <v>106482</v>
      </c>
      <c r="D197" s="154"/>
      <c r="E197" s="115"/>
      <c r="F197" s="115">
        <f t="shared" si="8"/>
        <v>106482</v>
      </c>
      <c r="G197" s="115">
        <f t="shared" ca="1" si="7"/>
        <v>0</v>
      </c>
      <c r="H197" s="90"/>
      <c r="I197" s="90"/>
      <c r="J197" s="90"/>
      <c r="K197" s="90"/>
      <c r="L197" s="90"/>
      <c r="M197" s="90"/>
      <c r="N197" s="88"/>
      <c r="O197" s="90"/>
      <c r="P197" s="90">
        <v>38716</v>
      </c>
      <c r="Q197" s="90">
        <v>26771</v>
      </c>
      <c r="R197" s="90"/>
      <c r="S197" s="90"/>
      <c r="T197" s="90"/>
      <c r="U197" s="90"/>
      <c r="V197" s="90">
        <v>40995</v>
      </c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1"/>
      <c r="AJ197" s="91"/>
      <c r="AK197" s="91"/>
      <c r="AL197" s="91"/>
      <c r="AM197" s="91"/>
    </row>
    <row r="198" spans="1:39" ht="19.5" thickBot="1" x14ac:dyDescent="0.35">
      <c r="A198" s="278">
        <v>9125</v>
      </c>
      <c r="B198" s="67" t="s">
        <v>385</v>
      </c>
      <c r="C198" s="261">
        <f ca="1">SUMIF($D$14:$E$198,"Rio Blanco BOCES",$E$14:$E$198)</f>
        <v>32882</v>
      </c>
      <c r="D198" s="154"/>
      <c r="E198" s="115"/>
      <c r="F198" s="115">
        <f t="shared" si="8"/>
        <v>32882</v>
      </c>
      <c r="G198" s="115">
        <f t="shared" ca="1" si="7"/>
        <v>0</v>
      </c>
      <c r="H198" s="90"/>
      <c r="I198" s="90"/>
      <c r="J198" s="90"/>
      <c r="K198" s="90"/>
      <c r="L198" s="90"/>
      <c r="M198" s="90"/>
      <c r="N198" s="90"/>
      <c r="O198" s="90">
        <v>24141</v>
      </c>
      <c r="P198" s="90"/>
      <c r="Q198" s="90"/>
      <c r="R198" s="90"/>
      <c r="S198" s="90"/>
      <c r="T198" s="90"/>
      <c r="U198" s="90">
        <v>8741</v>
      </c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1"/>
      <c r="AJ198" s="91"/>
      <c r="AK198" s="91"/>
      <c r="AL198" s="91"/>
      <c r="AM198" s="91"/>
    </row>
    <row r="199" spans="1:39" ht="19.5" thickBot="1" x14ac:dyDescent="0.35">
      <c r="A199" s="146"/>
      <c r="B199" s="67"/>
      <c r="C199" s="262"/>
      <c r="D199" s="154"/>
      <c r="E199" s="115"/>
      <c r="F199" s="115"/>
      <c r="G199" s="115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 t="s">
        <v>410</v>
      </c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1"/>
      <c r="AJ199" s="91"/>
      <c r="AK199" s="91"/>
      <c r="AL199" s="91"/>
      <c r="AM199" s="91"/>
    </row>
    <row r="200" spans="1:39" s="192" customFormat="1" ht="19.5" thickBot="1" x14ac:dyDescent="0.35">
      <c r="A200" s="186"/>
      <c r="B200" s="186"/>
      <c r="C200" s="257">
        <f ca="1">SUM(C14:C199)-E200</f>
        <v>138922848</v>
      </c>
      <c r="D200" s="188" t="s">
        <v>410</v>
      </c>
      <c r="E200" s="189">
        <f>SUM(E14:E198)</f>
        <v>2228968</v>
      </c>
      <c r="F200" s="189">
        <f t="shared" ref="F200:AH200" si="9">SUM(F14:F198)</f>
        <v>138919656</v>
      </c>
      <c r="G200" s="189">
        <f t="shared" ca="1" si="9"/>
        <v>3192</v>
      </c>
      <c r="H200" s="189">
        <f t="shared" si="9"/>
        <v>0</v>
      </c>
      <c r="I200" s="189">
        <f t="shared" si="9"/>
        <v>0</v>
      </c>
      <c r="J200" s="189">
        <f t="shared" si="9"/>
        <v>0</v>
      </c>
      <c r="K200" s="189">
        <f t="shared" si="9"/>
        <v>680653</v>
      </c>
      <c r="L200" s="189">
        <f t="shared" si="9"/>
        <v>2475746</v>
      </c>
      <c r="M200" s="189">
        <f t="shared" si="9"/>
        <v>6110570</v>
      </c>
      <c r="N200" s="189">
        <f t="shared" si="9"/>
        <v>6750085</v>
      </c>
      <c r="O200" s="189">
        <f t="shared" si="9"/>
        <v>14525066</v>
      </c>
      <c r="P200" s="189">
        <f t="shared" si="9"/>
        <v>12568344</v>
      </c>
      <c r="Q200" s="189">
        <f t="shared" si="9"/>
        <v>11140014</v>
      </c>
      <c r="R200" s="189">
        <f t="shared" si="9"/>
        <v>13805098</v>
      </c>
      <c r="S200" s="189">
        <f t="shared" si="9"/>
        <v>13048424</v>
      </c>
      <c r="T200" s="189">
        <f t="shared" si="9"/>
        <v>12719488</v>
      </c>
      <c r="U200" s="189">
        <f t="shared" si="9"/>
        <v>6613517</v>
      </c>
      <c r="V200" s="189">
        <f t="shared" si="9"/>
        <v>6926010</v>
      </c>
      <c r="W200" s="189">
        <f t="shared" si="9"/>
        <v>9499198</v>
      </c>
      <c r="X200" s="189">
        <f t="shared" si="9"/>
        <v>8283583</v>
      </c>
      <c r="Y200" s="189">
        <f t="shared" si="9"/>
        <v>1949497</v>
      </c>
      <c r="Z200" s="189">
        <f t="shared" si="9"/>
        <v>8396139</v>
      </c>
      <c r="AA200" s="189">
        <f t="shared" si="9"/>
        <v>1127568</v>
      </c>
      <c r="AB200" s="189">
        <f t="shared" si="9"/>
        <v>1180740</v>
      </c>
      <c r="AC200" s="189">
        <f t="shared" si="9"/>
        <v>180738</v>
      </c>
      <c r="AD200" s="189">
        <f t="shared" si="9"/>
        <v>625041</v>
      </c>
      <c r="AE200" s="189">
        <f t="shared" si="9"/>
        <v>215379</v>
      </c>
      <c r="AF200" s="189">
        <f t="shared" si="9"/>
        <v>98758</v>
      </c>
      <c r="AG200" s="189">
        <f t="shared" si="9"/>
        <v>0</v>
      </c>
      <c r="AH200" s="189">
        <f t="shared" si="9"/>
        <v>0</v>
      </c>
      <c r="AI200" s="191"/>
      <c r="AJ200" s="191"/>
      <c r="AK200" s="191"/>
      <c r="AL200" s="191"/>
      <c r="AM200" s="191"/>
    </row>
    <row r="201" spans="1:39" ht="18.75" x14ac:dyDescent="0.3">
      <c r="A201" s="86"/>
      <c r="B201" s="86"/>
      <c r="C201" s="253"/>
      <c r="D201" s="87"/>
      <c r="E201" s="86"/>
      <c r="F201" s="86"/>
      <c r="G201" s="86"/>
    </row>
    <row r="202" spans="1:39" ht="18.75" x14ac:dyDescent="0.3">
      <c r="C202" s="253"/>
      <c r="D202" s="215"/>
      <c r="E202" s="86"/>
      <c r="F202" s="86"/>
      <c r="G202" s="216"/>
      <c r="K202" s="274"/>
      <c r="O202" s="274"/>
      <c r="S202" s="274"/>
      <c r="V202" s="274"/>
      <c r="W202" s="274"/>
      <c r="X202" s="274"/>
      <c r="Z202" s="274"/>
      <c r="AA202" s="274"/>
      <c r="AB202" s="274"/>
      <c r="AC202" s="274"/>
      <c r="AD202" s="274"/>
      <c r="AE202" s="274"/>
    </row>
    <row r="203" spans="1:39" ht="18.75" x14ac:dyDescent="0.3">
      <c r="C203" s="254"/>
      <c r="D203" s="215"/>
      <c r="U203" s="274">
        <f>U200-6087502</f>
        <v>526015</v>
      </c>
    </row>
    <row r="204" spans="1:39" x14ac:dyDescent="0.25">
      <c r="C204" s="254"/>
      <c r="D204" s="25"/>
    </row>
    <row r="205" spans="1:39" x14ac:dyDescent="0.25">
      <c r="C205" s="254"/>
      <c r="D205" s="25"/>
    </row>
    <row r="206" spans="1:39" x14ac:dyDescent="0.25">
      <c r="C206" s="254"/>
      <c r="D206" s="25"/>
    </row>
    <row r="207" spans="1:39" x14ac:dyDescent="0.25">
      <c r="C207" s="254"/>
      <c r="D207" s="25"/>
    </row>
    <row r="208" spans="1:39" x14ac:dyDescent="0.25">
      <c r="C208" s="254"/>
      <c r="D208" s="25"/>
    </row>
    <row r="209" spans="3:4" x14ac:dyDescent="0.25">
      <c r="C209" s="254"/>
      <c r="D209" s="25"/>
    </row>
    <row r="210" spans="3:4" x14ac:dyDescent="0.25">
      <c r="C210" s="254"/>
      <c r="D210" s="25"/>
    </row>
    <row r="211" spans="3:4" x14ac:dyDescent="0.25">
      <c r="C211" s="254"/>
      <c r="D211" s="25"/>
    </row>
    <row r="212" spans="3:4" x14ac:dyDescent="0.25">
      <c r="C212" s="254"/>
      <c r="D212" s="25"/>
    </row>
    <row r="213" spans="3:4" x14ac:dyDescent="0.25">
      <c r="C213" s="254"/>
      <c r="D213" s="25"/>
    </row>
    <row r="214" spans="3:4" x14ac:dyDescent="0.25">
      <c r="C214" s="254"/>
      <c r="D214" s="25"/>
    </row>
    <row r="215" spans="3:4" x14ac:dyDescent="0.25">
      <c r="C215" s="254"/>
      <c r="D215" s="25"/>
    </row>
    <row r="216" spans="3:4" x14ac:dyDescent="0.25">
      <c r="C216" s="254"/>
      <c r="D216" s="25"/>
    </row>
    <row r="217" spans="3:4" x14ac:dyDescent="0.25">
      <c r="C217" s="254"/>
      <c r="D217" s="25"/>
    </row>
    <row r="218" spans="3:4" x14ac:dyDescent="0.25">
      <c r="C218" s="254"/>
      <c r="D218" s="25"/>
    </row>
    <row r="219" spans="3:4" x14ac:dyDescent="0.25">
      <c r="C219" s="254"/>
      <c r="D219" s="25"/>
    </row>
    <row r="220" spans="3:4" x14ac:dyDescent="0.25">
      <c r="C220" s="254"/>
      <c r="D220" s="25"/>
    </row>
    <row r="221" spans="3:4" x14ac:dyDescent="0.25">
      <c r="D221" s="25"/>
    </row>
    <row r="222" spans="3:4" x14ac:dyDescent="0.25">
      <c r="D222" s="25"/>
    </row>
    <row r="223" spans="3:4" x14ac:dyDescent="0.25">
      <c r="D223" s="25"/>
    </row>
    <row r="224" spans="3:4" x14ac:dyDescent="0.25">
      <c r="D224" s="25"/>
    </row>
    <row r="225" spans="4:4" x14ac:dyDescent="0.25">
      <c r="D225" s="25"/>
    </row>
    <row r="226" spans="4:4" x14ac:dyDescent="0.25">
      <c r="D226" s="25"/>
    </row>
    <row r="227" spans="4:4" x14ac:dyDescent="0.25">
      <c r="D227" s="25"/>
    </row>
    <row r="228" spans="4:4" x14ac:dyDescent="0.25">
      <c r="D228" s="25"/>
    </row>
    <row r="229" spans="4:4" x14ac:dyDescent="0.25">
      <c r="D229" s="25"/>
    </row>
  </sheetData>
  <sheetProtection password="EF32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F203"/>
  <sheetViews>
    <sheetView workbookViewId="0">
      <pane xSplit="5" ySplit="25" topLeftCell="S26" activePane="bottomRight" state="frozen"/>
      <selection pane="topRight" activeCell="F1" sqref="F1"/>
      <selection pane="bottomLeft" activeCell="A25" sqref="A25"/>
      <selection pane="bottomRight" activeCell="F26" sqref="F26"/>
    </sheetView>
  </sheetViews>
  <sheetFormatPr defaultColWidth="9.140625" defaultRowHeight="15" x14ac:dyDescent="0.25"/>
  <cols>
    <col min="1" max="1" width="9.140625" style="2"/>
    <col min="2" max="2" width="36.7109375" style="2" customWidth="1"/>
    <col min="3" max="3" width="20.85546875" style="2" customWidth="1"/>
    <col min="4" max="4" width="18.85546875" style="2" customWidth="1"/>
    <col min="5" max="5" width="17" style="2" customWidth="1"/>
    <col min="6" max="20" width="15.7109375" style="2" customWidth="1"/>
    <col min="21" max="22" width="15.7109375" style="20" customWidth="1"/>
    <col min="23" max="16384" width="9.140625" style="2"/>
  </cols>
  <sheetData>
    <row r="1" spans="1:32" ht="21" x14ac:dyDescent="0.35">
      <c r="A1" s="26" t="s">
        <v>0</v>
      </c>
      <c r="B1" s="27"/>
      <c r="C1" s="28" t="s">
        <v>405</v>
      </c>
      <c r="D1" s="26"/>
      <c r="E1" s="29"/>
      <c r="F1" s="30"/>
      <c r="G1" s="30"/>
      <c r="H1" s="28" t="str">
        <f>A1</f>
        <v>Grant:</v>
      </c>
      <c r="I1" s="28" t="str">
        <f>C1</f>
        <v>Title I-C Migrant</v>
      </c>
      <c r="J1" s="26"/>
      <c r="K1" s="26"/>
      <c r="L1" s="29"/>
      <c r="M1" s="29"/>
      <c r="N1" s="30"/>
      <c r="O1" s="30"/>
      <c r="P1" s="28" t="s">
        <v>0</v>
      </c>
      <c r="Q1" s="28" t="str">
        <f>I1</f>
        <v>Title I-C Migrant</v>
      </c>
      <c r="R1" s="26"/>
      <c r="S1" s="26"/>
      <c r="T1" s="29"/>
      <c r="U1" s="293"/>
      <c r="V1" s="293"/>
    </row>
    <row r="2" spans="1:32" ht="21" x14ac:dyDescent="0.35">
      <c r="A2" s="31" t="s">
        <v>1</v>
      </c>
      <c r="B2" s="27"/>
      <c r="C2" s="32">
        <v>84.010999999999996</v>
      </c>
      <c r="D2" s="31"/>
      <c r="E2" s="33"/>
      <c r="F2" s="30"/>
      <c r="G2" s="30"/>
      <c r="H2" s="31" t="s">
        <v>2</v>
      </c>
      <c r="I2" s="28" t="str">
        <f>$C$4</f>
        <v>2012-13</v>
      </c>
      <c r="J2" s="28" t="s">
        <v>410</v>
      </c>
      <c r="K2" s="34"/>
      <c r="L2" s="33"/>
      <c r="M2" s="33"/>
      <c r="N2" s="33"/>
      <c r="O2" s="33"/>
      <c r="P2" s="31" t="s">
        <v>2</v>
      </c>
      <c r="Q2" s="28" t="str">
        <f>$C$4</f>
        <v>2012-13</v>
      </c>
      <c r="R2" s="28" t="s">
        <v>410</v>
      </c>
      <c r="S2" s="34"/>
      <c r="T2" s="33"/>
      <c r="U2" s="297"/>
      <c r="V2" s="297"/>
    </row>
    <row r="3" spans="1:32" ht="15.75" x14ac:dyDescent="0.25">
      <c r="A3" s="31" t="s">
        <v>4</v>
      </c>
      <c r="B3" s="27"/>
      <c r="C3" s="34">
        <v>4011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94"/>
      <c r="V3" s="294"/>
    </row>
    <row r="4" spans="1:32" ht="21" x14ac:dyDescent="0.35">
      <c r="A4" s="31" t="s">
        <v>2</v>
      </c>
      <c r="B4" s="27"/>
      <c r="C4" s="28" t="str">
        <f>'NCLB Title I-A Formula'!$C$4</f>
        <v>2012-13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4"/>
      <c r="V4" s="294"/>
    </row>
    <row r="5" spans="1:32" ht="15.75" x14ac:dyDescent="0.25">
      <c r="A5" s="31" t="s">
        <v>457</v>
      </c>
      <c r="B5" s="27"/>
      <c r="C5" s="31" t="s">
        <v>498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00"/>
      <c r="V5" s="300"/>
    </row>
    <row r="6" spans="1:32" ht="15.75" x14ac:dyDescent="0.25">
      <c r="A6" s="31" t="s">
        <v>6</v>
      </c>
      <c r="B6" s="27"/>
      <c r="C6" s="31" t="s">
        <v>499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00"/>
      <c r="V6" s="300"/>
    </row>
    <row r="7" spans="1:32" s="20" customFormat="1" ht="15.75" x14ac:dyDescent="0.25">
      <c r="A7" s="295"/>
      <c r="B7" s="291"/>
      <c r="C7" s="295" t="s">
        <v>500</v>
      </c>
      <c r="D7" s="295"/>
      <c r="E7" s="299"/>
      <c r="F7" s="299"/>
      <c r="G7" s="299"/>
      <c r="H7" s="299"/>
      <c r="I7" s="299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</row>
    <row r="8" spans="1:32" ht="15.75" x14ac:dyDescent="0.25">
      <c r="A8" s="31" t="s">
        <v>400</v>
      </c>
      <c r="B8" s="27"/>
      <c r="C8" s="31" t="s">
        <v>484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00"/>
      <c r="V8" s="300"/>
    </row>
    <row r="9" spans="1:32" ht="15.75" x14ac:dyDescent="0.25">
      <c r="A9" s="31" t="s">
        <v>401</v>
      </c>
      <c r="B9" s="27"/>
      <c r="C9" s="31" t="s">
        <v>402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00"/>
      <c r="V9" s="300"/>
    </row>
    <row r="10" spans="1:32" s="20" customFormat="1" ht="16.5" thickBot="1" x14ac:dyDescent="0.3">
      <c r="A10" s="31" t="s">
        <v>458</v>
      </c>
      <c r="B10" s="27"/>
      <c r="C10" s="31" t="s">
        <v>485</v>
      </c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00"/>
      <c r="V10" s="300"/>
    </row>
    <row r="11" spans="1:32" s="5" customFormat="1" ht="32.25" customHeight="1" thickBot="1" x14ac:dyDescent="0.3">
      <c r="A11" s="139" t="s">
        <v>371</v>
      </c>
      <c r="B11" s="140" t="s">
        <v>372</v>
      </c>
      <c r="C11" s="141" t="s">
        <v>373</v>
      </c>
      <c r="D11" s="140" t="s">
        <v>374</v>
      </c>
      <c r="E11" s="77" t="s">
        <v>375</v>
      </c>
      <c r="F11" s="143" t="s">
        <v>386</v>
      </c>
      <c r="G11" s="143" t="s">
        <v>388</v>
      </c>
      <c r="H11" s="143" t="s">
        <v>389</v>
      </c>
      <c r="I11" s="143" t="s">
        <v>390</v>
      </c>
      <c r="J11" s="143" t="s">
        <v>391</v>
      </c>
      <c r="K11" s="143" t="s">
        <v>392</v>
      </c>
      <c r="L11" s="143" t="s">
        <v>393</v>
      </c>
      <c r="M11" s="143" t="s">
        <v>455</v>
      </c>
      <c r="N11" s="143" t="s">
        <v>394</v>
      </c>
      <c r="O11" s="143" t="s">
        <v>395</v>
      </c>
      <c r="P11" s="143" t="s">
        <v>396</v>
      </c>
      <c r="Q11" s="143" t="s">
        <v>397</v>
      </c>
      <c r="R11" s="143" t="s">
        <v>387</v>
      </c>
      <c r="S11" s="143" t="s">
        <v>398</v>
      </c>
      <c r="T11" s="143" t="s">
        <v>399</v>
      </c>
      <c r="U11" s="145" t="s">
        <v>475</v>
      </c>
      <c r="V11" s="145" t="s">
        <v>476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32" s="4" customFormat="1" ht="19.5" hidden="1" thickBot="1" x14ac:dyDescent="0.35">
      <c r="A12" s="138" t="s">
        <v>9</v>
      </c>
      <c r="B12" s="57" t="s">
        <v>187</v>
      </c>
      <c r="C12" s="136">
        <v>0</v>
      </c>
      <c r="D12" s="116">
        <f t="shared" ref="D12:D25" si="0">SUM(F12:T12)</f>
        <v>0</v>
      </c>
      <c r="E12" s="130">
        <f>C12-D12</f>
        <v>0</v>
      </c>
      <c r="F12" s="104"/>
      <c r="G12" s="104"/>
      <c r="H12" s="104"/>
      <c r="I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32" s="4" customFormat="1" ht="19.5" hidden="1" thickBot="1" x14ac:dyDescent="0.35">
      <c r="A13" s="58" t="s">
        <v>10</v>
      </c>
      <c r="B13" s="59" t="s">
        <v>188</v>
      </c>
      <c r="C13" s="62">
        <v>0</v>
      </c>
      <c r="D13" s="114">
        <f t="shared" si="0"/>
        <v>0</v>
      </c>
      <c r="E13" s="131">
        <f t="shared" ref="E13:E76" si="1">C13-D13</f>
        <v>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32" s="4" customFormat="1" ht="19.5" hidden="1" thickBot="1" x14ac:dyDescent="0.35">
      <c r="A14" s="58" t="s">
        <v>11</v>
      </c>
      <c r="B14" s="59" t="s">
        <v>189</v>
      </c>
      <c r="C14" s="62">
        <v>0</v>
      </c>
      <c r="D14" s="114">
        <f t="shared" si="0"/>
        <v>0</v>
      </c>
      <c r="E14" s="131">
        <f t="shared" si="1"/>
        <v>0</v>
      </c>
      <c r="F14" s="104"/>
      <c r="G14" s="104"/>
      <c r="H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32" s="4" customFormat="1" ht="19.5" hidden="1" thickBot="1" x14ac:dyDescent="0.35">
      <c r="A15" s="58" t="s">
        <v>12</v>
      </c>
      <c r="B15" s="59" t="s">
        <v>190</v>
      </c>
      <c r="C15" s="62">
        <v>0</v>
      </c>
      <c r="D15" s="114">
        <f t="shared" si="0"/>
        <v>0</v>
      </c>
      <c r="E15" s="131">
        <f t="shared" si="1"/>
        <v>0</v>
      </c>
      <c r="F15" s="104"/>
      <c r="G15" s="104"/>
      <c r="H15" s="104"/>
      <c r="I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32" s="4" customFormat="1" ht="19.5" hidden="1" thickBot="1" x14ac:dyDescent="0.35">
      <c r="A16" s="58" t="s">
        <v>13</v>
      </c>
      <c r="B16" s="59" t="s">
        <v>191</v>
      </c>
      <c r="C16" s="62">
        <v>0</v>
      </c>
      <c r="D16" s="114">
        <f t="shared" si="0"/>
        <v>0</v>
      </c>
      <c r="E16" s="131">
        <f t="shared" si="1"/>
        <v>0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s="4" customFormat="1" ht="19.5" hidden="1" thickBot="1" x14ac:dyDescent="0.35">
      <c r="A17" s="58" t="s">
        <v>14</v>
      </c>
      <c r="B17" s="59" t="s">
        <v>192</v>
      </c>
      <c r="C17" s="62">
        <v>0</v>
      </c>
      <c r="D17" s="114">
        <f t="shared" si="0"/>
        <v>0</v>
      </c>
      <c r="E17" s="131">
        <f t="shared" si="1"/>
        <v>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s="4" customFormat="1" ht="19.5" hidden="1" thickBot="1" x14ac:dyDescent="0.35">
      <c r="A18" s="58" t="s">
        <v>15</v>
      </c>
      <c r="B18" s="59" t="s">
        <v>193</v>
      </c>
      <c r="C18" s="62">
        <v>0</v>
      </c>
      <c r="D18" s="114">
        <f t="shared" si="0"/>
        <v>0</v>
      </c>
      <c r="E18" s="131">
        <f t="shared" si="1"/>
        <v>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2" s="13" customFormat="1" ht="19.5" hidden="1" thickBot="1" x14ac:dyDescent="0.35">
      <c r="A19" s="58" t="s">
        <v>16</v>
      </c>
      <c r="B19" s="59" t="s">
        <v>194</v>
      </c>
      <c r="C19" s="62">
        <v>0</v>
      </c>
      <c r="D19" s="114">
        <f t="shared" si="0"/>
        <v>0</v>
      </c>
      <c r="E19" s="131">
        <f t="shared" si="1"/>
        <v>0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05" customFormat="1" ht="16.5" hidden="1" thickBot="1" x14ac:dyDescent="0.3">
      <c r="A20" s="58" t="s">
        <v>17</v>
      </c>
      <c r="B20" s="59" t="s">
        <v>195</v>
      </c>
      <c r="C20" s="62">
        <v>0</v>
      </c>
      <c r="D20" s="114">
        <f t="shared" si="0"/>
        <v>0</v>
      </c>
      <c r="E20" s="131">
        <f t="shared" si="1"/>
        <v>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pans="1:22" s="13" customFormat="1" ht="19.5" hidden="1" thickBot="1" x14ac:dyDescent="0.35">
      <c r="A21" s="58" t="s">
        <v>18</v>
      </c>
      <c r="B21" s="59" t="s">
        <v>196</v>
      </c>
      <c r="C21" s="62">
        <v>0</v>
      </c>
      <c r="D21" s="114">
        <f t="shared" si="0"/>
        <v>0</v>
      </c>
      <c r="E21" s="131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:22" s="13" customFormat="1" ht="19.5" hidden="1" thickBot="1" x14ac:dyDescent="0.35">
      <c r="A22" s="58" t="s">
        <v>19</v>
      </c>
      <c r="B22" s="59" t="s">
        <v>197</v>
      </c>
      <c r="C22" s="62">
        <v>0</v>
      </c>
      <c r="D22" s="114">
        <f t="shared" si="0"/>
        <v>0</v>
      </c>
      <c r="E22" s="131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s="13" customFormat="1" ht="19.5" hidden="1" thickBot="1" x14ac:dyDescent="0.35">
      <c r="A23" s="58" t="s">
        <v>20</v>
      </c>
      <c r="B23" s="59" t="s">
        <v>198</v>
      </c>
      <c r="C23" s="62">
        <v>0</v>
      </c>
      <c r="D23" s="114">
        <f t="shared" si="0"/>
        <v>0</v>
      </c>
      <c r="E23" s="131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s="13" customFormat="1" ht="19.5" hidden="1" thickBot="1" x14ac:dyDescent="0.35">
      <c r="A24" s="58" t="s">
        <v>21</v>
      </c>
      <c r="B24" s="59" t="s">
        <v>199</v>
      </c>
      <c r="C24" s="62">
        <v>0</v>
      </c>
      <c r="D24" s="114">
        <f t="shared" si="0"/>
        <v>0</v>
      </c>
      <c r="E24" s="131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2" customFormat="1" ht="16.5" hidden="1" thickBot="1" x14ac:dyDescent="0.3">
      <c r="A25" s="58" t="s">
        <v>22</v>
      </c>
      <c r="B25" s="59" t="s">
        <v>200</v>
      </c>
      <c r="C25" s="60">
        <v>0</v>
      </c>
      <c r="D25" s="114">
        <f t="shared" si="0"/>
        <v>0</v>
      </c>
      <c r="E25" s="131">
        <f t="shared" si="1"/>
        <v>0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306"/>
      <c r="V25" s="306"/>
    </row>
    <row r="26" spans="1:22" s="12" customFormat="1" ht="16.5" thickBot="1" x14ac:dyDescent="0.3">
      <c r="A26" s="286">
        <v>180</v>
      </c>
      <c r="B26" s="59" t="s">
        <v>201</v>
      </c>
      <c r="C26" s="171">
        <v>1246786</v>
      </c>
      <c r="D26" s="172">
        <f>SUM(F26:V26)</f>
        <v>1188047</v>
      </c>
      <c r="E26" s="173">
        <f t="shared" si="1"/>
        <v>58739</v>
      </c>
      <c r="F26" s="134"/>
      <c r="G26" s="134"/>
      <c r="H26" s="134"/>
      <c r="I26" s="134"/>
      <c r="J26" s="104">
        <v>153194</v>
      </c>
      <c r="K26" s="134">
        <v>103570</v>
      </c>
      <c r="L26" s="134"/>
      <c r="M26" s="134">
        <v>224789</v>
      </c>
      <c r="N26" s="134">
        <v>89032</v>
      </c>
      <c r="O26" s="134">
        <v>114558</v>
      </c>
      <c r="P26" s="134">
        <v>110910</v>
      </c>
      <c r="Q26" s="134">
        <v>128946</v>
      </c>
      <c r="R26" s="134">
        <v>113178</v>
      </c>
      <c r="S26" s="134">
        <v>69672</v>
      </c>
      <c r="T26" s="134">
        <v>73782</v>
      </c>
      <c r="U26" s="306">
        <v>4974</v>
      </c>
      <c r="V26" s="306">
        <v>1442</v>
      </c>
    </row>
    <row r="27" spans="1:22" s="12" customFormat="1" ht="16.5" hidden="1" thickBot="1" x14ac:dyDescent="0.3">
      <c r="A27" s="286">
        <v>190</v>
      </c>
      <c r="B27" s="59" t="s">
        <v>202</v>
      </c>
      <c r="C27" s="172">
        <v>0</v>
      </c>
      <c r="D27" s="314">
        <f t="shared" ref="D27:D90" si="2">SUM(F27:V27)</f>
        <v>0</v>
      </c>
      <c r="E27" s="173">
        <f t="shared" si="1"/>
        <v>0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306"/>
      <c r="V27" s="306"/>
    </row>
    <row r="28" spans="1:22" s="12" customFormat="1" ht="16.5" hidden="1" thickBot="1" x14ac:dyDescent="0.3">
      <c r="A28" s="286">
        <v>220</v>
      </c>
      <c r="B28" s="59" t="s">
        <v>203</v>
      </c>
      <c r="C28" s="172">
        <v>0</v>
      </c>
      <c r="D28" s="314">
        <f t="shared" si="2"/>
        <v>0</v>
      </c>
      <c r="E28" s="173">
        <f t="shared" si="1"/>
        <v>0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306"/>
      <c r="V28" s="306"/>
    </row>
    <row r="29" spans="1:22" s="12" customFormat="1" ht="16.5" hidden="1" thickBot="1" x14ac:dyDescent="0.3">
      <c r="A29" s="286">
        <v>230</v>
      </c>
      <c r="B29" s="59" t="s">
        <v>204</v>
      </c>
      <c r="C29" s="172">
        <v>0</v>
      </c>
      <c r="D29" s="314">
        <f t="shared" si="2"/>
        <v>0</v>
      </c>
      <c r="E29" s="173">
        <f t="shared" si="1"/>
        <v>0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306"/>
      <c r="V29" s="306"/>
    </row>
    <row r="30" spans="1:22" ht="16.5" hidden="1" thickBot="1" x14ac:dyDescent="0.3">
      <c r="A30" s="286">
        <v>240</v>
      </c>
      <c r="B30" s="59" t="s">
        <v>205</v>
      </c>
      <c r="C30" s="172">
        <v>0</v>
      </c>
      <c r="D30" s="314">
        <f t="shared" si="2"/>
        <v>0</v>
      </c>
      <c r="E30" s="173">
        <f t="shared" si="1"/>
        <v>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307"/>
      <c r="V30" s="307"/>
    </row>
    <row r="31" spans="1:22" ht="16.5" hidden="1" thickBot="1" x14ac:dyDescent="0.3">
      <c r="A31" s="286">
        <v>250</v>
      </c>
      <c r="B31" s="59" t="s">
        <v>206</v>
      </c>
      <c r="C31" s="172">
        <v>0</v>
      </c>
      <c r="D31" s="314">
        <f t="shared" si="2"/>
        <v>0</v>
      </c>
      <c r="E31" s="173">
        <f t="shared" si="1"/>
        <v>0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307"/>
      <c r="V31" s="307"/>
    </row>
    <row r="32" spans="1:22" ht="16.5" hidden="1" thickBot="1" x14ac:dyDescent="0.3">
      <c r="A32" s="286">
        <v>260</v>
      </c>
      <c r="B32" s="59" t="s">
        <v>207</v>
      </c>
      <c r="C32" s="172">
        <v>0</v>
      </c>
      <c r="D32" s="314">
        <f t="shared" si="2"/>
        <v>0</v>
      </c>
      <c r="E32" s="173">
        <f t="shared" si="1"/>
        <v>0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307"/>
      <c r="V32" s="307"/>
    </row>
    <row r="33" spans="1:22" ht="16.5" hidden="1" thickBot="1" x14ac:dyDescent="0.3">
      <c r="A33" s="286">
        <v>270</v>
      </c>
      <c r="B33" s="59" t="s">
        <v>208</v>
      </c>
      <c r="C33" s="172">
        <v>0</v>
      </c>
      <c r="D33" s="314">
        <f t="shared" si="2"/>
        <v>0</v>
      </c>
      <c r="E33" s="173">
        <f t="shared" si="1"/>
        <v>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307"/>
      <c r="V33" s="307"/>
    </row>
    <row r="34" spans="1:22" ht="16.5" hidden="1" thickBot="1" x14ac:dyDescent="0.3">
      <c r="A34" s="286">
        <v>290</v>
      </c>
      <c r="B34" s="59" t="s">
        <v>209</v>
      </c>
      <c r="C34" s="172">
        <v>0</v>
      </c>
      <c r="D34" s="314">
        <f t="shared" si="2"/>
        <v>0</v>
      </c>
      <c r="E34" s="173">
        <f t="shared" si="1"/>
        <v>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307"/>
      <c r="V34" s="307"/>
    </row>
    <row r="35" spans="1:22" ht="16.5" hidden="1" thickBot="1" x14ac:dyDescent="0.3">
      <c r="A35" s="286">
        <v>310</v>
      </c>
      <c r="B35" s="59" t="s">
        <v>210</v>
      </c>
      <c r="C35" s="172">
        <v>0</v>
      </c>
      <c r="D35" s="314">
        <f t="shared" si="2"/>
        <v>0</v>
      </c>
      <c r="E35" s="173">
        <f t="shared" si="1"/>
        <v>0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307"/>
      <c r="V35" s="307"/>
    </row>
    <row r="36" spans="1:22" ht="16.5" hidden="1" thickBot="1" x14ac:dyDescent="0.3">
      <c r="A36" s="286">
        <v>470</v>
      </c>
      <c r="B36" s="59" t="s">
        <v>211</v>
      </c>
      <c r="C36" s="172">
        <v>0</v>
      </c>
      <c r="D36" s="314">
        <f t="shared" si="2"/>
        <v>0</v>
      </c>
      <c r="E36" s="173">
        <f t="shared" si="1"/>
        <v>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307"/>
      <c r="V36" s="307"/>
    </row>
    <row r="37" spans="1:22" ht="16.5" hidden="1" thickBot="1" x14ac:dyDescent="0.3">
      <c r="A37" s="286">
        <v>480</v>
      </c>
      <c r="B37" s="59" t="s">
        <v>212</v>
      </c>
      <c r="C37" s="172">
        <v>0</v>
      </c>
      <c r="D37" s="314">
        <f t="shared" si="2"/>
        <v>0</v>
      </c>
      <c r="E37" s="173">
        <f t="shared" si="1"/>
        <v>0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307"/>
      <c r="V37" s="307"/>
    </row>
    <row r="38" spans="1:22" ht="16.5" hidden="1" thickBot="1" x14ac:dyDescent="0.3">
      <c r="A38" s="286">
        <v>490</v>
      </c>
      <c r="B38" s="59" t="s">
        <v>213</v>
      </c>
      <c r="C38" s="172">
        <v>0</v>
      </c>
      <c r="D38" s="314">
        <f t="shared" si="2"/>
        <v>0</v>
      </c>
      <c r="E38" s="173">
        <f t="shared" si="1"/>
        <v>0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307"/>
      <c r="V38" s="307"/>
    </row>
    <row r="39" spans="1:22" ht="16.5" hidden="1" thickBot="1" x14ac:dyDescent="0.3">
      <c r="A39" s="286">
        <v>500</v>
      </c>
      <c r="B39" s="59" t="s">
        <v>214</v>
      </c>
      <c r="C39" s="172">
        <v>0</v>
      </c>
      <c r="D39" s="314">
        <f t="shared" si="2"/>
        <v>0</v>
      </c>
      <c r="E39" s="173">
        <f t="shared" si="1"/>
        <v>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307"/>
      <c r="V39" s="307"/>
    </row>
    <row r="40" spans="1:22" ht="16.5" hidden="1" thickBot="1" x14ac:dyDescent="0.3">
      <c r="A40" s="286">
        <v>510</v>
      </c>
      <c r="B40" s="59" t="s">
        <v>407</v>
      </c>
      <c r="C40" s="172">
        <v>0</v>
      </c>
      <c r="D40" s="314">
        <f t="shared" si="2"/>
        <v>0</v>
      </c>
      <c r="E40" s="173">
        <f t="shared" si="1"/>
        <v>0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307"/>
      <c r="V40" s="307"/>
    </row>
    <row r="41" spans="1:22" ht="16.5" hidden="1" thickBot="1" x14ac:dyDescent="0.3">
      <c r="A41" s="286">
        <v>520</v>
      </c>
      <c r="B41" s="59" t="s">
        <v>216</v>
      </c>
      <c r="C41" s="172">
        <v>0</v>
      </c>
      <c r="D41" s="314">
        <f t="shared" si="2"/>
        <v>0</v>
      </c>
      <c r="E41" s="173">
        <f t="shared" si="1"/>
        <v>0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307"/>
      <c r="V41" s="307"/>
    </row>
    <row r="42" spans="1:22" ht="16.5" hidden="1" thickBot="1" x14ac:dyDescent="0.3">
      <c r="A42" s="286">
        <v>540</v>
      </c>
      <c r="B42" s="59" t="s">
        <v>217</v>
      </c>
      <c r="C42" s="172">
        <v>0</v>
      </c>
      <c r="D42" s="314">
        <f t="shared" si="2"/>
        <v>0</v>
      </c>
      <c r="E42" s="173">
        <f t="shared" si="1"/>
        <v>0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307"/>
      <c r="V42" s="307"/>
    </row>
    <row r="43" spans="1:22" ht="16.5" hidden="1" thickBot="1" x14ac:dyDescent="0.3">
      <c r="A43" s="286">
        <v>550</v>
      </c>
      <c r="B43" s="59" t="s">
        <v>218</v>
      </c>
      <c r="C43" s="172">
        <v>0</v>
      </c>
      <c r="D43" s="314">
        <f t="shared" si="2"/>
        <v>0</v>
      </c>
      <c r="E43" s="173">
        <f t="shared" si="1"/>
        <v>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307"/>
      <c r="V43" s="307"/>
    </row>
    <row r="44" spans="1:22" ht="16.5" hidden="1" thickBot="1" x14ac:dyDescent="0.3">
      <c r="A44" s="286">
        <v>560</v>
      </c>
      <c r="B44" s="59" t="s">
        <v>219</v>
      </c>
      <c r="C44" s="172">
        <v>0</v>
      </c>
      <c r="D44" s="314">
        <f t="shared" si="2"/>
        <v>0</v>
      </c>
      <c r="E44" s="173">
        <f t="shared" si="1"/>
        <v>0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307"/>
      <c r="V44" s="307"/>
    </row>
    <row r="45" spans="1:22" ht="16.5" hidden="1" thickBot="1" x14ac:dyDescent="0.3">
      <c r="A45" s="286">
        <v>580</v>
      </c>
      <c r="B45" s="59" t="s">
        <v>220</v>
      </c>
      <c r="C45" s="172">
        <v>0</v>
      </c>
      <c r="D45" s="314">
        <f t="shared" si="2"/>
        <v>0</v>
      </c>
      <c r="E45" s="173">
        <f t="shared" si="1"/>
        <v>0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07"/>
      <c r="V45" s="307"/>
    </row>
    <row r="46" spans="1:22" ht="16.5" hidden="1" thickBot="1" x14ac:dyDescent="0.3">
      <c r="A46" s="286">
        <v>640</v>
      </c>
      <c r="B46" s="61" t="s">
        <v>221</v>
      </c>
      <c r="C46" s="172">
        <v>0</v>
      </c>
      <c r="D46" s="314">
        <f t="shared" si="2"/>
        <v>0</v>
      </c>
      <c r="E46" s="173">
        <f t="shared" si="1"/>
        <v>0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307"/>
      <c r="V46" s="307"/>
    </row>
    <row r="47" spans="1:22" ht="16.5" hidden="1" thickBot="1" x14ac:dyDescent="0.3">
      <c r="A47" s="286">
        <v>740</v>
      </c>
      <c r="B47" s="59" t="s">
        <v>222</v>
      </c>
      <c r="C47" s="172">
        <v>0</v>
      </c>
      <c r="D47" s="314">
        <f t="shared" si="2"/>
        <v>0</v>
      </c>
      <c r="E47" s="173">
        <f t="shared" si="1"/>
        <v>0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307"/>
      <c r="V47" s="307"/>
    </row>
    <row r="48" spans="1:22" ht="16.5" hidden="1" thickBot="1" x14ac:dyDescent="0.3">
      <c r="A48" s="286">
        <v>770</v>
      </c>
      <c r="B48" s="59" t="s">
        <v>223</v>
      </c>
      <c r="C48" s="172">
        <v>0</v>
      </c>
      <c r="D48" s="314">
        <f t="shared" si="2"/>
        <v>0</v>
      </c>
      <c r="E48" s="173">
        <f t="shared" si="1"/>
        <v>0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307"/>
      <c r="V48" s="307"/>
    </row>
    <row r="49" spans="1:22" ht="16.5" hidden="1" thickBot="1" x14ac:dyDescent="0.3">
      <c r="A49" s="286">
        <v>860</v>
      </c>
      <c r="B49" s="59" t="s">
        <v>224</v>
      </c>
      <c r="C49" s="172">
        <v>0</v>
      </c>
      <c r="D49" s="314">
        <f t="shared" si="2"/>
        <v>0</v>
      </c>
      <c r="E49" s="173">
        <f t="shared" si="1"/>
        <v>0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307"/>
      <c r="V49" s="307"/>
    </row>
    <row r="50" spans="1:22" ht="16.5" hidden="1" thickBot="1" x14ac:dyDescent="0.3">
      <c r="A50" s="286">
        <v>870</v>
      </c>
      <c r="B50" s="59" t="s">
        <v>225</v>
      </c>
      <c r="C50" s="172">
        <v>0</v>
      </c>
      <c r="D50" s="314">
        <f t="shared" si="2"/>
        <v>0</v>
      </c>
      <c r="E50" s="173">
        <f t="shared" si="1"/>
        <v>0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307"/>
      <c r="V50" s="307"/>
    </row>
    <row r="51" spans="1:22" ht="16.5" hidden="1" thickBot="1" x14ac:dyDescent="0.3">
      <c r="A51" s="286">
        <v>880</v>
      </c>
      <c r="B51" s="59" t="s">
        <v>226</v>
      </c>
      <c r="C51" s="172">
        <v>0</v>
      </c>
      <c r="D51" s="314">
        <f t="shared" si="2"/>
        <v>0</v>
      </c>
      <c r="E51" s="173">
        <f t="shared" si="1"/>
        <v>0</v>
      </c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307"/>
      <c r="V51" s="307"/>
    </row>
    <row r="52" spans="1:22" ht="16.5" hidden="1" thickBot="1" x14ac:dyDescent="0.3">
      <c r="A52" s="286">
        <v>890</v>
      </c>
      <c r="B52" s="59" t="s">
        <v>227</v>
      </c>
      <c r="C52" s="172">
        <v>0</v>
      </c>
      <c r="D52" s="314">
        <f t="shared" si="2"/>
        <v>0</v>
      </c>
      <c r="E52" s="173">
        <f t="shared" si="1"/>
        <v>0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307"/>
      <c r="V52" s="307"/>
    </row>
    <row r="53" spans="1:22" ht="16.5" hidden="1" thickBot="1" x14ac:dyDescent="0.3">
      <c r="A53" s="286">
        <v>900</v>
      </c>
      <c r="B53" s="59" t="s">
        <v>228</v>
      </c>
      <c r="C53" s="172">
        <v>0</v>
      </c>
      <c r="D53" s="314">
        <f t="shared" si="2"/>
        <v>0</v>
      </c>
      <c r="E53" s="173">
        <f t="shared" si="1"/>
        <v>0</v>
      </c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307"/>
      <c r="V53" s="307"/>
    </row>
    <row r="54" spans="1:22" ht="16.5" thickBot="1" x14ac:dyDescent="0.3">
      <c r="A54" s="286">
        <v>910</v>
      </c>
      <c r="B54" s="59" t="s">
        <v>229</v>
      </c>
      <c r="C54" s="172">
        <v>239671</v>
      </c>
      <c r="D54" s="314">
        <f t="shared" si="2"/>
        <v>193281</v>
      </c>
      <c r="E54" s="173">
        <f t="shared" si="1"/>
        <v>46390</v>
      </c>
      <c r="F54" s="135"/>
      <c r="G54" s="135"/>
      <c r="H54" s="135"/>
      <c r="I54" s="104"/>
      <c r="J54" s="104"/>
      <c r="K54" s="135"/>
      <c r="L54" s="135"/>
      <c r="M54" s="135"/>
      <c r="N54" s="135"/>
      <c r="O54" s="135"/>
      <c r="P54" s="135"/>
      <c r="Q54" s="135">
        <v>133688</v>
      </c>
      <c r="R54" s="135"/>
      <c r="S54" s="135"/>
      <c r="T54" s="135">
        <v>59593</v>
      </c>
      <c r="U54" s="307"/>
      <c r="V54" s="307"/>
    </row>
    <row r="55" spans="1:22" ht="16.5" hidden="1" thickBot="1" x14ac:dyDescent="0.3">
      <c r="A55" s="286">
        <v>920</v>
      </c>
      <c r="B55" s="59" t="s">
        <v>230</v>
      </c>
      <c r="C55" s="172">
        <v>0</v>
      </c>
      <c r="D55" s="314">
        <f t="shared" si="2"/>
        <v>0</v>
      </c>
      <c r="E55" s="173">
        <f t="shared" si="1"/>
        <v>0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307"/>
      <c r="V55" s="307"/>
    </row>
    <row r="56" spans="1:22" ht="16.5" hidden="1" thickBot="1" x14ac:dyDescent="0.3">
      <c r="A56" s="286">
        <v>930</v>
      </c>
      <c r="B56" s="59" t="s">
        <v>231</v>
      </c>
      <c r="C56" s="172">
        <v>0</v>
      </c>
      <c r="D56" s="314">
        <f t="shared" si="2"/>
        <v>0</v>
      </c>
      <c r="E56" s="173">
        <f t="shared" si="1"/>
        <v>0</v>
      </c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307"/>
      <c r="V56" s="307"/>
    </row>
    <row r="57" spans="1:22" ht="16.5" hidden="1" thickBot="1" x14ac:dyDescent="0.3">
      <c r="A57" s="286">
        <v>940</v>
      </c>
      <c r="B57" s="59" t="s">
        <v>232</v>
      </c>
      <c r="C57" s="172">
        <v>0</v>
      </c>
      <c r="D57" s="314">
        <f t="shared" si="2"/>
        <v>0</v>
      </c>
      <c r="E57" s="173">
        <f t="shared" si="1"/>
        <v>0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307"/>
      <c r="V57" s="307"/>
    </row>
    <row r="58" spans="1:22" ht="16.5" hidden="1" thickBot="1" x14ac:dyDescent="0.3">
      <c r="A58" s="286">
        <v>950</v>
      </c>
      <c r="B58" s="59" t="s">
        <v>233</v>
      </c>
      <c r="C58" s="172">
        <v>0</v>
      </c>
      <c r="D58" s="314">
        <f t="shared" si="2"/>
        <v>0</v>
      </c>
      <c r="E58" s="173">
        <f t="shared" si="1"/>
        <v>0</v>
      </c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307"/>
      <c r="V58" s="307"/>
    </row>
    <row r="59" spans="1:22" ht="16.5" hidden="1" thickBot="1" x14ac:dyDescent="0.3">
      <c r="A59" s="286">
        <v>960</v>
      </c>
      <c r="B59" s="59" t="s">
        <v>234</v>
      </c>
      <c r="C59" s="172">
        <v>0</v>
      </c>
      <c r="D59" s="314">
        <f t="shared" si="2"/>
        <v>0</v>
      </c>
      <c r="E59" s="173">
        <f t="shared" si="1"/>
        <v>0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307"/>
      <c r="V59" s="307"/>
    </row>
    <row r="60" spans="1:22" ht="16.5" hidden="1" thickBot="1" x14ac:dyDescent="0.3">
      <c r="A60" s="286">
        <v>970</v>
      </c>
      <c r="B60" s="59" t="s">
        <v>235</v>
      </c>
      <c r="C60" s="172">
        <v>0</v>
      </c>
      <c r="D60" s="314">
        <f t="shared" si="2"/>
        <v>0</v>
      </c>
      <c r="E60" s="173">
        <f t="shared" si="1"/>
        <v>0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307"/>
      <c r="V60" s="307"/>
    </row>
    <row r="61" spans="1:22" ht="16.5" hidden="1" thickBot="1" x14ac:dyDescent="0.3">
      <c r="A61" s="286">
        <v>980</v>
      </c>
      <c r="B61" s="59" t="s">
        <v>236</v>
      </c>
      <c r="C61" s="172">
        <v>0</v>
      </c>
      <c r="D61" s="314">
        <f t="shared" si="2"/>
        <v>0</v>
      </c>
      <c r="E61" s="173">
        <f t="shared" si="1"/>
        <v>0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307"/>
      <c r="V61" s="307"/>
    </row>
    <row r="62" spans="1:22" ht="16.5" hidden="1" thickBot="1" x14ac:dyDescent="0.3">
      <c r="A62" s="286">
        <v>990</v>
      </c>
      <c r="B62" s="59" t="s">
        <v>237</v>
      </c>
      <c r="C62" s="172">
        <v>0</v>
      </c>
      <c r="D62" s="314">
        <f t="shared" si="2"/>
        <v>0</v>
      </c>
      <c r="E62" s="173">
        <f t="shared" si="1"/>
        <v>0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307"/>
      <c r="V62" s="307"/>
    </row>
    <row r="63" spans="1:22" ht="16.5" hidden="1" thickBot="1" x14ac:dyDescent="0.3">
      <c r="A63" s="286">
        <v>1000</v>
      </c>
      <c r="B63" s="59" t="s">
        <v>238</v>
      </c>
      <c r="C63" s="172">
        <v>0</v>
      </c>
      <c r="D63" s="314">
        <f t="shared" si="2"/>
        <v>0</v>
      </c>
      <c r="E63" s="173">
        <f t="shared" si="1"/>
        <v>0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307"/>
      <c r="V63" s="307"/>
    </row>
    <row r="64" spans="1:22" ht="16.5" hidden="1" thickBot="1" x14ac:dyDescent="0.3">
      <c r="A64" s="286">
        <v>1010</v>
      </c>
      <c r="B64" s="59" t="s">
        <v>239</v>
      </c>
      <c r="C64" s="172">
        <v>0</v>
      </c>
      <c r="D64" s="314">
        <f t="shared" si="2"/>
        <v>0</v>
      </c>
      <c r="E64" s="173">
        <f t="shared" si="1"/>
        <v>0</v>
      </c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307"/>
      <c r="V64" s="307"/>
    </row>
    <row r="65" spans="1:22" ht="16.5" hidden="1" thickBot="1" x14ac:dyDescent="0.3">
      <c r="A65" s="286">
        <v>1020</v>
      </c>
      <c r="B65" s="59" t="s">
        <v>240</v>
      </c>
      <c r="C65" s="172">
        <v>0</v>
      </c>
      <c r="D65" s="314">
        <f t="shared" si="2"/>
        <v>0</v>
      </c>
      <c r="E65" s="173">
        <f t="shared" si="1"/>
        <v>0</v>
      </c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307"/>
      <c r="V65" s="307"/>
    </row>
    <row r="66" spans="1:22" ht="16.5" hidden="1" thickBot="1" x14ac:dyDescent="0.3">
      <c r="A66" s="286">
        <v>1030</v>
      </c>
      <c r="B66" s="59" t="s">
        <v>241</v>
      </c>
      <c r="C66" s="172">
        <v>0</v>
      </c>
      <c r="D66" s="314">
        <f t="shared" si="2"/>
        <v>0</v>
      </c>
      <c r="E66" s="173">
        <f t="shared" si="1"/>
        <v>0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307"/>
      <c r="V66" s="307"/>
    </row>
    <row r="67" spans="1:22" ht="16.5" hidden="1" thickBot="1" x14ac:dyDescent="0.3">
      <c r="A67" s="286">
        <v>1040</v>
      </c>
      <c r="B67" s="59" t="s">
        <v>242</v>
      </c>
      <c r="C67" s="172">
        <v>0</v>
      </c>
      <c r="D67" s="314">
        <f t="shared" si="2"/>
        <v>0</v>
      </c>
      <c r="E67" s="173">
        <f t="shared" si="1"/>
        <v>0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307"/>
      <c r="V67" s="307"/>
    </row>
    <row r="68" spans="1:22" ht="16.5" hidden="1" thickBot="1" x14ac:dyDescent="0.3">
      <c r="A68" s="286">
        <v>1050</v>
      </c>
      <c r="B68" s="59" t="s">
        <v>243</v>
      </c>
      <c r="C68" s="172">
        <v>0</v>
      </c>
      <c r="D68" s="314">
        <f t="shared" si="2"/>
        <v>0</v>
      </c>
      <c r="E68" s="173">
        <f t="shared" si="1"/>
        <v>0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307"/>
      <c r="V68" s="307"/>
    </row>
    <row r="69" spans="1:22" ht="16.5" hidden="1" thickBot="1" x14ac:dyDescent="0.3">
      <c r="A69" s="286">
        <v>1060</v>
      </c>
      <c r="B69" s="59" t="s">
        <v>244</v>
      </c>
      <c r="C69" s="172">
        <v>0</v>
      </c>
      <c r="D69" s="314">
        <f t="shared" si="2"/>
        <v>0</v>
      </c>
      <c r="E69" s="173">
        <f t="shared" si="1"/>
        <v>0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307"/>
      <c r="V69" s="307"/>
    </row>
    <row r="70" spans="1:22" ht="16.5" hidden="1" thickBot="1" x14ac:dyDescent="0.3">
      <c r="A70" s="286">
        <v>1070</v>
      </c>
      <c r="B70" s="59" t="s">
        <v>245</v>
      </c>
      <c r="C70" s="172">
        <v>0</v>
      </c>
      <c r="D70" s="314">
        <f t="shared" si="2"/>
        <v>0</v>
      </c>
      <c r="E70" s="173">
        <f t="shared" si="1"/>
        <v>0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307"/>
      <c r="V70" s="307"/>
    </row>
    <row r="71" spans="1:22" ht="16.5" hidden="1" thickBot="1" x14ac:dyDescent="0.3">
      <c r="A71" s="286">
        <v>1080</v>
      </c>
      <c r="B71" s="59" t="s">
        <v>246</v>
      </c>
      <c r="C71" s="172">
        <v>0</v>
      </c>
      <c r="D71" s="314">
        <f t="shared" si="2"/>
        <v>0</v>
      </c>
      <c r="E71" s="173">
        <f t="shared" si="1"/>
        <v>0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307"/>
      <c r="V71" s="307"/>
    </row>
    <row r="72" spans="1:22" ht="16.5" hidden="1" thickBot="1" x14ac:dyDescent="0.3">
      <c r="A72" s="286">
        <v>1110</v>
      </c>
      <c r="B72" s="59" t="s">
        <v>247</v>
      </c>
      <c r="C72" s="172">
        <v>0</v>
      </c>
      <c r="D72" s="314">
        <f t="shared" si="2"/>
        <v>0</v>
      </c>
      <c r="E72" s="173">
        <f t="shared" si="1"/>
        <v>0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307"/>
      <c r="V72" s="307"/>
    </row>
    <row r="73" spans="1:22" ht="16.5" hidden="1" thickBot="1" x14ac:dyDescent="0.3">
      <c r="A73" s="286">
        <v>1120</v>
      </c>
      <c r="B73" s="59" t="s">
        <v>248</v>
      </c>
      <c r="C73" s="172">
        <v>0</v>
      </c>
      <c r="D73" s="314">
        <f t="shared" si="2"/>
        <v>0</v>
      </c>
      <c r="E73" s="173">
        <f t="shared" si="1"/>
        <v>0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307"/>
      <c r="V73" s="307"/>
    </row>
    <row r="74" spans="1:22" ht="16.5" hidden="1" thickBot="1" x14ac:dyDescent="0.3">
      <c r="A74" s="286">
        <v>1130</v>
      </c>
      <c r="B74" s="59" t="s">
        <v>249</v>
      </c>
      <c r="C74" s="172">
        <v>0</v>
      </c>
      <c r="D74" s="314">
        <f t="shared" si="2"/>
        <v>0</v>
      </c>
      <c r="E74" s="173">
        <f t="shared" si="1"/>
        <v>0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307"/>
      <c r="V74" s="307"/>
    </row>
    <row r="75" spans="1:22" ht="16.5" hidden="1" thickBot="1" x14ac:dyDescent="0.3">
      <c r="A75" s="286">
        <v>1140</v>
      </c>
      <c r="B75" s="59" t="s">
        <v>250</v>
      </c>
      <c r="C75" s="172">
        <v>0</v>
      </c>
      <c r="D75" s="314">
        <f t="shared" si="2"/>
        <v>0</v>
      </c>
      <c r="E75" s="173">
        <f t="shared" si="1"/>
        <v>0</v>
      </c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307"/>
      <c r="V75" s="307"/>
    </row>
    <row r="76" spans="1:22" ht="16.5" hidden="1" thickBot="1" x14ac:dyDescent="0.3">
      <c r="A76" s="286">
        <v>1150</v>
      </c>
      <c r="B76" s="59" t="s">
        <v>251</v>
      </c>
      <c r="C76" s="172">
        <v>0</v>
      </c>
      <c r="D76" s="314">
        <f t="shared" si="2"/>
        <v>0</v>
      </c>
      <c r="E76" s="173">
        <f t="shared" si="1"/>
        <v>0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307"/>
      <c r="V76" s="307"/>
    </row>
    <row r="77" spans="1:22" ht="16.5" hidden="1" thickBot="1" x14ac:dyDescent="0.3">
      <c r="A77" s="286">
        <v>1160</v>
      </c>
      <c r="B77" s="59" t="s">
        <v>252</v>
      </c>
      <c r="C77" s="172">
        <v>0</v>
      </c>
      <c r="D77" s="314">
        <f t="shared" si="2"/>
        <v>0</v>
      </c>
      <c r="E77" s="173">
        <f t="shared" ref="E77:E140" si="3">C77-D77</f>
        <v>0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307"/>
      <c r="V77" s="307"/>
    </row>
    <row r="78" spans="1:22" ht="16.5" hidden="1" thickBot="1" x14ac:dyDescent="0.3">
      <c r="A78" s="286">
        <v>1180</v>
      </c>
      <c r="B78" s="59" t="s">
        <v>253</v>
      </c>
      <c r="C78" s="172">
        <v>0</v>
      </c>
      <c r="D78" s="314">
        <f t="shared" si="2"/>
        <v>0</v>
      </c>
      <c r="E78" s="173">
        <f t="shared" si="3"/>
        <v>0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307"/>
      <c r="V78" s="307"/>
    </row>
    <row r="79" spans="1:22" ht="16.5" hidden="1" thickBot="1" x14ac:dyDescent="0.3">
      <c r="A79" s="286">
        <v>1195</v>
      </c>
      <c r="B79" s="59" t="s">
        <v>254</v>
      </c>
      <c r="C79" s="172">
        <v>0</v>
      </c>
      <c r="D79" s="314">
        <f t="shared" si="2"/>
        <v>0</v>
      </c>
      <c r="E79" s="173">
        <f t="shared" si="3"/>
        <v>0</v>
      </c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307"/>
      <c r="V79" s="307"/>
    </row>
    <row r="80" spans="1:22" ht="16.5" hidden="1" thickBot="1" x14ac:dyDescent="0.3">
      <c r="A80" s="286">
        <v>1220</v>
      </c>
      <c r="B80" s="59" t="s">
        <v>255</v>
      </c>
      <c r="C80" s="172">
        <v>0</v>
      </c>
      <c r="D80" s="314">
        <f t="shared" si="2"/>
        <v>0</v>
      </c>
      <c r="E80" s="173">
        <f t="shared" si="3"/>
        <v>0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307"/>
      <c r="V80" s="307"/>
    </row>
    <row r="81" spans="1:22" ht="16.5" hidden="1" thickBot="1" x14ac:dyDescent="0.3">
      <c r="A81" s="286">
        <v>1330</v>
      </c>
      <c r="B81" s="59" t="s">
        <v>256</v>
      </c>
      <c r="C81" s="172">
        <v>0</v>
      </c>
      <c r="D81" s="314">
        <f t="shared" si="2"/>
        <v>0</v>
      </c>
      <c r="E81" s="173">
        <f t="shared" si="3"/>
        <v>0</v>
      </c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307"/>
      <c r="V81" s="307"/>
    </row>
    <row r="82" spans="1:22" ht="16.5" hidden="1" thickBot="1" x14ac:dyDescent="0.3">
      <c r="A82" s="286">
        <v>1340</v>
      </c>
      <c r="B82" s="59" t="s">
        <v>257</v>
      </c>
      <c r="C82" s="172">
        <v>0</v>
      </c>
      <c r="D82" s="314">
        <f t="shared" si="2"/>
        <v>0</v>
      </c>
      <c r="E82" s="173">
        <f t="shared" si="3"/>
        <v>0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307"/>
      <c r="V82" s="307"/>
    </row>
    <row r="83" spans="1:22" ht="16.5" hidden="1" thickBot="1" x14ac:dyDescent="0.3">
      <c r="A83" s="286">
        <v>1350</v>
      </c>
      <c r="B83" s="59" t="s">
        <v>258</v>
      </c>
      <c r="C83" s="172">
        <v>0</v>
      </c>
      <c r="D83" s="314">
        <f t="shared" si="2"/>
        <v>0</v>
      </c>
      <c r="E83" s="173">
        <f t="shared" si="3"/>
        <v>0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307"/>
      <c r="V83" s="307"/>
    </row>
    <row r="84" spans="1:22" ht="16.5" hidden="1" thickBot="1" x14ac:dyDescent="0.3">
      <c r="A84" s="286">
        <v>1360</v>
      </c>
      <c r="B84" s="59" t="s">
        <v>259</v>
      </c>
      <c r="C84" s="172">
        <v>0</v>
      </c>
      <c r="D84" s="314">
        <f t="shared" si="2"/>
        <v>0</v>
      </c>
      <c r="E84" s="173">
        <f t="shared" si="3"/>
        <v>0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307"/>
      <c r="V84" s="307"/>
    </row>
    <row r="85" spans="1:22" ht="16.5" hidden="1" thickBot="1" x14ac:dyDescent="0.3">
      <c r="A85" s="286">
        <v>1380</v>
      </c>
      <c r="B85" s="59" t="s">
        <v>260</v>
      </c>
      <c r="C85" s="172">
        <v>0</v>
      </c>
      <c r="D85" s="314">
        <f t="shared" si="2"/>
        <v>0</v>
      </c>
      <c r="E85" s="173">
        <f t="shared" si="3"/>
        <v>0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307"/>
      <c r="V85" s="307"/>
    </row>
    <row r="86" spans="1:22" ht="16.5" hidden="1" thickBot="1" x14ac:dyDescent="0.3">
      <c r="A86" s="286">
        <v>1390</v>
      </c>
      <c r="B86" s="59" t="s">
        <v>261</v>
      </c>
      <c r="C86" s="172">
        <v>0</v>
      </c>
      <c r="D86" s="314">
        <f t="shared" si="2"/>
        <v>0</v>
      </c>
      <c r="E86" s="173">
        <f t="shared" si="3"/>
        <v>0</v>
      </c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307"/>
      <c r="V86" s="307"/>
    </row>
    <row r="87" spans="1:22" ht="16.5" hidden="1" thickBot="1" x14ac:dyDescent="0.3">
      <c r="A87" s="286">
        <v>1400</v>
      </c>
      <c r="B87" s="59" t="s">
        <v>262</v>
      </c>
      <c r="C87" s="172">
        <v>0</v>
      </c>
      <c r="D87" s="314">
        <f t="shared" si="2"/>
        <v>0</v>
      </c>
      <c r="E87" s="173">
        <f t="shared" si="3"/>
        <v>0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307"/>
      <c r="V87" s="307"/>
    </row>
    <row r="88" spans="1:22" ht="16.5" hidden="1" thickBot="1" x14ac:dyDescent="0.3">
      <c r="A88" s="286">
        <v>1410</v>
      </c>
      <c r="B88" s="61" t="s">
        <v>263</v>
      </c>
      <c r="C88" s="172">
        <v>0</v>
      </c>
      <c r="D88" s="314">
        <f t="shared" si="2"/>
        <v>0</v>
      </c>
      <c r="E88" s="173">
        <f t="shared" si="3"/>
        <v>0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307"/>
      <c r="V88" s="307"/>
    </row>
    <row r="89" spans="1:22" ht="16.5" hidden="1" thickBot="1" x14ac:dyDescent="0.3">
      <c r="A89" s="286">
        <v>1420</v>
      </c>
      <c r="B89" s="59" t="s">
        <v>264</v>
      </c>
      <c r="C89" s="172">
        <v>0</v>
      </c>
      <c r="D89" s="314">
        <f t="shared" si="2"/>
        <v>0</v>
      </c>
      <c r="E89" s="173">
        <f t="shared" si="3"/>
        <v>0</v>
      </c>
      <c r="F89" s="135"/>
      <c r="G89" s="135"/>
      <c r="H89" s="135"/>
      <c r="I89" s="135"/>
      <c r="J89" s="104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307"/>
      <c r="V89" s="307"/>
    </row>
    <row r="90" spans="1:22" ht="16.5" hidden="1" thickBot="1" x14ac:dyDescent="0.3">
      <c r="A90" s="286">
        <v>1430</v>
      </c>
      <c r="B90" s="59" t="s">
        <v>265</v>
      </c>
      <c r="C90" s="172">
        <v>0</v>
      </c>
      <c r="D90" s="314">
        <f t="shared" si="2"/>
        <v>0</v>
      </c>
      <c r="E90" s="173">
        <f t="shared" si="3"/>
        <v>0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307"/>
      <c r="V90" s="307"/>
    </row>
    <row r="91" spans="1:22" ht="16.5" hidden="1" thickBot="1" x14ac:dyDescent="0.3">
      <c r="A91" s="286">
        <v>1440</v>
      </c>
      <c r="B91" s="59" t="s">
        <v>266</v>
      </c>
      <c r="C91" s="172">
        <v>0</v>
      </c>
      <c r="D91" s="314">
        <f t="shared" ref="D91:D154" si="4">SUM(F91:V91)</f>
        <v>0</v>
      </c>
      <c r="E91" s="173">
        <f t="shared" si="3"/>
        <v>0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307"/>
      <c r="V91" s="307"/>
    </row>
    <row r="92" spans="1:22" ht="16.5" hidden="1" thickBot="1" x14ac:dyDescent="0.3">
      <c r="A92" s="286">
        <v>1450</v>
      </c>
      <c r="B92" s="59" t="s">
        <v>267</v>
      </c>
      <c r="C92" s="172">
        <v>0</v>
      </c>
      <c r="D92" s="314">
        <f t="shared" si="4"/>
        <v>0</v>
      </c>
      <c r="E92" s="173">
        <f t="shared" si="3"/>
        <v>0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307"/>
      <c r="V92" s="307"/>
    </row>
    <row r="93" spans="1:22" ht="16.5" hidden="1" thickBot="1" x14ac:dyDescent="0.3">
      <c r="A93" s="286">
        <v>1460</v>
      </c>
      <c r="B93" s="59" t="s">
        <v>268</v>
      </c>
      <c r="C93" s="172">
        <v>0</v>
      </c>
      <c r="D93" s="314">
        <f t="shared" si="4"/>
        <v>0</v>
      </c>
      <c r="E93" s="173">
        <f t="shared" si="3"/>
        <v>0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307"/>
      <c r="V93" s="307"/>
    </row>
    <row r="94" spans="1:22" ht="16.5" hidden="1" thickBot="1" x14ac:dyDescent="0.3">
      <c r="A94" s="286">
        <v>1480</v>
      </c>
      <c r="B94" s="59" t="s">
        <v>269</v>
      </c>
      <c r="C94" s="172">
        <v>0</v>
      </c>
      <c r="D94" s="314">
        <f t="shared" si="4"/>
        <v>0</v>
      </c>
      <c r="E94" s="173">
        <f t="shared" si="3"/>
        <v>0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307"/>
      <c r="V94" s="307"/>
    </row>
    <row r="95" spans="1:22" ht="16.5" hidden="1" thickBot="1" x14ac:dyDescent="0.3">
      <c r="A95" s="286">
        <v>1490</v>
      </c>
      <c r="B95" s="59" t="s">
        <v>270</v>
      </c>
      <c r="C95" s="172">
        <v>0</v>
      </c>
      <c r="D95" s="314">
        <f t="shared" si="4"/>
        <v>0</v>
      </c>
      <c r="E95" s="173">
        <f t="shared" si="3"/>
        <v>0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307"/>
      <c r="V95" s="307"/>
    </row>
    <row r="96" spans="1:22" ht="16.5" hidden="1" thickBot="1" x14ac:dyDescent="0.3">
      <c r="A96" s="286">
        <v>1500</v>
      </c>
      <c r="B96" s="59" t="s">
        <v>271</v>
      </c>
      <c r="C96" s="172">
        <v>0</v>
      </c>
      <c r="D96" s="314">
        <f t="shared" si="4"/>
        <v>0</v>
      </c>
      <c r="E96" s="173">
        <f t="shared" si="3"/>
        <v>0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307"/>
      <c r="V96" s="307"/>
    </row>
    <row r="97" spans="1:22" ht="16.5" hidden="1" thickBot="1" x14ac:dyDescent="0.3">
      <c r="A97" s="286">
        <v>1510</v>
      </c>
      <c r="B97" s="59" t="s">
        <v>272</v>
      </c>
      <c r="C97" s="172">
        <v>0</v>
      </c>
      <c r="D97" s="314">
        <f t="shared" si="4"/>
        <v>0</v>
      </c>
      <c r="E97" s="173">
        <f t="shared" si="3"/>
        <v>0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307"/>
      <c r="V97" s="307"/>
    </row>
    <row r="98" spans="1:22" ht="16.5" hidden="1" thickBot="1" x14ac:dyDescent="0.3">
      <c r="A98" s="286">
        <v>1520</v>
      </c>
      <c r="B98" s="59" t="s">
        <v>273</v>
      </c>
      <c r="C98" s="172">
        <v>0</v>
      </c>
      <c r="D98" s="314">
        <f t="shared" si="4"/>
        <v>0</v>
      </c>
      <c r="E98" s="173">
        <f t="shared" si="3"/>
        <v>0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307"/>
      <c r="V98" s="307"/>
    </row>
    <row r="99" spans="1:22" ht="16.5" hidden="1" thickBot="1" x14ac:dyDescent="0.3">
      <c r="A99" s="286">
        <v>1530</v>
      </c>
      <c r="B99" s="59" t="s">
        <v>274</v>
      </c>
      <c r="C99" s="172">
        <v>0</v>
      </c>
      <c r="D99" s="314">
        <f t="shared" si="4"/>
        <v>0</v>
      </c>
      <c r="E99" s="173">
        <f t="shared" si="3"/>
        <v>0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307"/>
      <c r="V99" s="307"/>
    </row>
    <row r="100" spans="1:22" ht="16.5" hidden="1" thickBot="1" x14ac:dyDescent="0.3">
      <c r="A100" s="286">
        <v>1540</v>
      </c>
      <c r="B100" s="59" t="s">
        <v>275</v>
      </c>
      <c r="C100" s="172">
        <v>0</v>
      </c>
      <c r="D100" s="314">
        <f t="shared" si="4"/>
        <v>0</v>
      </c>
      <c r="E100" s="173">
        <f t="shared" si="3"/>
        <v>0</v>
      </c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307"/>
      <c r="V100" s="307"/>
    </row>
    <row r="101" spans="1:22" ht="16.5" hidden="1" thickBot="1" x14ac:dyDescent="0.3">
      <c r="A101" s="286">
        <v>1550</v>
      </c>
      <c r="B101" s="59" t="s">
        <v>276</v>
      </c>
      <c r="C101" s="172">
        <v>0</v>
      </c>
      <c r="D101" s="314">
        <f t="shared" si="4"/>
        <v>0</v>
      </c>
      <c r="E101" s="173">
        <f t="shared" si="3"/>
        <v>0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307"/>
      <c r="V101" s="307"/>
    </row>
    <row r="102" spans="1:22" ht="16.5" hidden="1" thickBot="1" x14ac:dyDescent="0.3">
      <c r="A102" s="286">
        <v>1560</v>
      </c>
      <c r="B102" s="59" t="s">
        <v>277</v>
      </c>
      <c r="C102" s="172">
        <v>0</v>
      </c>
      <c r="D102" s="314">
        <f t="shared" si="4"/>
        <v>0</v>
      </c>
      <c r="E102" s="173">
        <f t="shared" si="3"/>
        <v>0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307"/>
      <c r="V102" s="307"/>
    </row>
    <row r="103" spans="1:22" ht="16.5" hidden="1" thickBot="1" x14ac:dyDescent="0.3">
      <c r="A103" s="286">
        <v>1570</v>
      </c>
      <c r="B103" s="59" t="s">
        <v>278</v>
      </c>
      <c r="C103" s="172">
        <v>0</v>
      </c>
      <c r="D103" s="314">
        <f t="shared" si="4"/>
        <v>0</v>
      </c>
      <c r="E103" s="173">
        <f t="shared" si="3"/>
        <v>0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307"/>
      <c r="V103" s="307"/>
    </row>
    <row r="104" spans="1:22" ht="16.5" hidden="1" thickBot="1" x14ac:dyDescent="0.3">
      <c r="A104" s="286">
        <v>1580</v>
      </c>
      <c r="B104" s="59" t="s">
        <v>279</v>
      </c>
      <c r="C104" s="172">
        <v>0</v>
      </c>
      <c r="D104" s="314">
        <f t="shared" si="4"/>
        <v>0</v>
      </c>
      <c r="E104" s="173">
        <f t="shared" si="3"/>
        <v>0</v>
      </c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307"/>
      <c r="V104" s="307"/>
    </row>
    <row r="105" spans="1:22" ht="16.5" hidden="1" thickBot="1" x14ac:dyDescent="0.3">
      <c r="A105" s="286">
        <v>1590</v>
      </c>
      <c r="B105" s="59" t="s">
        <v>280</v>
      </c>
      <c r="C105" s="172">
        <v>0</v>
      </c>
      <c r="D105" s="314">
        <f t="shared" si="4"/>
        <v>0</v>
      </c>
      <c r="E105" s="173">
        <f t="shared" si="3"/>
        <v>0</v>
      </c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307"/>
      <c r="V105" s="307"/>
    </row>
    <row r="106" spans="1:22" ht="16.5" hidden="1" thickBot="1" x14ac:dyDescent="0.3">
      <c r="A106" s="286">
        <v>1600</v>
      </c>
      <c r="B106" s="59" t="s">
        <v>281</v>
      </c>
      <c r="C106" s="172">
        <v>0</v>
      </c>
      <c r="D106" s="314">
        <f t="shared" si="4"/>
        <v>0</v>
      </c>
      <c r="E106" s="173">
        <f t="shared" si="3"/>
        <v>0</v>
      </c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307"/>
      <c r="V106" s="307"/>
    </row>
    <row r="107" spans="1:22" ht="16.5" hidden="1" thickBot="1" x14ac:dyDescent="0.3">
      <c r="A107" s="286">
        <v>1620</v>
      </c>
      <c r="B107" s="59" t="s">
        <v>282</v>
      </c>
      <c r="C107" s="172">
        <v>0</v>
      </c>
      <c r="D107" s="314">
        <f t="shared" si="4"/>
        <v>0</v>
      </c>
      <c r="E107" s="173">
        <f t="shared" si="3"/>
        <v>0</v>
      </c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307"/>
      <c r="V107" s="307"/>
    </row>
    <row r="108" spans="1:22" ht="16.5" hidden="1" thickBot="1" x14ac:dyDescent="0.3">
      <c r="A108" s="286">
        <v>1750</v>
      </c>
      <c r="B108" s="59" t="s">
        <v>423</v>
      </c>
      <c r="C108" s="172">
        <v>0</v>
      </c>
      <c r="D108" s="314">
        <f t="shared" si="4"/>
        <v>0</v>
      </c>
      <c r="E108" s="173">
        <f t="shared" si="3"/>
        <v>0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307"/>
      <c r="V108" s="307"/>
    </row>
    <row r="109" spans="1:22" ht="16.5" hidden="1" thickBot="1" x14ac:dyDescent="0.3">
      <c r="A109" s="286">
        <v>1760</v>
      </c>
      <c r="B109" s="59" t="s">
        <v>284</v>
      </c>
      <c r="C109" s="172">
        <v>0</v>
      </c>
      <c r="D109" s="314">
        <f t="shared" si="4"/>
        <v>0</v>
      </c>
      <c r="E109" s="173">
        <f t="shared" si="3"/>
        <v>0</v>
      </c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307"/>
      <c r="V109" s="307"/>
    </row>
    <row r="110" spans="1:22" ht="16.5" hidden="1" thickBot="1" x14ac:dyDescent="0.3">
      <c r="A110" s="286">
        <v>1780</v>
      </c>
      <c r="B110" s="59" t="s">
        <v>285</v>
      </c>
      <c r="C110" s="172">
        <v>0</v>
      </c>
      <c r="D110" s="314">
        <f t="shared" si="4"/>
        <v>0</v>
      </c>
      <c r="E110" s="173">
        <f t="shared" si="3"/>
        <v>0</v>
      </c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307"/>
      <c r="V110" s="307"/>
    </row>
    <row r="111" spans="1:22" ht="16.5" hidden="1" thickBot="1" x14ac:dyDescent="0.3">
      <c r="A111" s="286">
        <v>1790</v>
      </c>
      <c r="B111" s="59" t="s">
        <v>286</v>
      </c>
      <c r="C111" s="172">
        <v>0</v>
      </c>
      <c r="D111" s="314">
        <f t="shared" si="4"/>
        <v>0</v>
      </c>
      <c r="E111" s="173">
        <f t="shared" si="3"/>
        <v>0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307"/>
      <c r="V111" s="307"/>
    </row>
    <row r="112" spans="1:22" ht="16.5" hidden="1" thickBot="1" x14ac:dyDescent="0.3">
      <c r="A112" s="286">
        <v>1810</v>
      </c>
      <c r="B112" s="59" t="s">
        <v>287</v>
      </c>
      <c r="C112" s="172">
        <v>0</v>
      </c>
      <c r="D112" s="314">
        <f t="shared" si="4"/>
        <v>0</v>
      </c>
      <c r="E112" s="173">
        <f t="shared" si="3"/>
        <v>0</v>
      </c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307"/>
      <c r="V112" s="307"/>
    </row>
    <row r="113" spans="1:22" ht="16.5" hidden="1" thickBot="1" x14ac:dyDescent="0.3">
      <c r="A113" s="286">
        <v>1828</v>
      </c>
      <c r="B113" s="59" t="s">
        <v>288</v>
      </c>
      <c r="C113" s="172">
        <v>0</v>
      </c>
      <c r="D113" s="314">
        <f t="shared" si="4"/>
        <v>0</v>
      </c>
      <c r="E113" s="173">
        <f t="shared" si="3"/>
        <v>0</v>
      </c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307"/>
      <c r="V113" s="307"/>
    </row>
    <row r="114" spans="1:22" ht="16.5" hidden="1" thickBot="1" x14ac:dyDescent="0.3">
      <c r="A114" s="286">
        <v>1850</v>
      </c>
      <c r="B114" s="59" t="s">
        <v>289</v>
      </c>
      <c r="C114" s="172">
        <v>0</v>
      </c>
      <c r="D114" s="314">
        <f t="shared" si="4"/>
        <v>0</v>
      </c>
      <c r="E114" s="173">
        <f t="shared" si="3"/>
        <v>0</v>
      </c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307"/>
      <c r="V114" s="307"/>
    </row>
    <row r="115" spans="1:22" ht="16.5" hidden="1" thickBot="1" x14ac:dyDescent="0.3">
      <c r="A115" s="286">
        <v>1860</v>
      </c>
      <c r="B115" s="59" t="s">
        <v>290</v>
      </c>
      <c r="C115" s="172">
        <v>0</v>
      </c>
      <c r="D115" s="314">
        <f t="shared" si="4"/>
        <v>0</v>
      </c>
      <c r="E115" s="173">
        <f t="shared" si="3"/>
        <v>0</v>
      </c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307"/>
      <c r="V115" s="307"/>
    </row>
    <row r="116" spans="1:22" ht="16.5" hidden="1" thickBot="1" x14ac:dyDescent="0.3">
      <c r="A116" s="286">
        <v>1870</v>
      </c>
      <c r="B116" s="59" t="s">
        <v>291</v>
      </c>
      <c r="C116" s="172">
        <v>0</v>
      </c>
      <c r="D116" s="314">
        <f t="shared" si="4"/>
        <v>0</v>
      </c>
      <c r="E116" s="173">
        <f t="shared" si="3"/>
        <v>0</v>
      </c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307"/>
      <c r="V116" s="307"/>
    </row>
    <row r="117" spans="1:22" ht="16.5" hidden="1" thickBot="1" x14ac:dyDescent="0.3">
      <c r="A117" s="286">
        <v>1980</v>
      </c>
      <c r="B117" s="59" t="s">
        <v>292</v>
      </c>
      <c r="C117" s="172">
        <v>0</v>
      </c>
      <c r="D117" s="314">
        <f t="shared" si="4"/>
        <v>0</v>
      </c>
      <c r="E117" s="173">
        <f t="shared" si="3"/>
        <v>0</v>
      </c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307"/>
      <c r="V117" s="307"/>
    </row>
    <row r="118" spans="1:22" ht="16.5" hidden="1" thickBot="1" x14ac:dyDescent="0.3">
      <c r="A118" s="286">
        <v>1990</v>
      </c>
      <c r="B118" s="59" t="s">
        <v>293</v>
      </c>
      <c r="C118" s="172">
        <v>0</v>
      </c>
      <c r="D118" s="314">
        <f t="shared" si="4"/>
        <v>0</v>
      </c>
      <c r="E118" s="173">
        <f t="shared" si="3"/>
        <v>0</v>
      </c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307"/>
      <c r="V118" s="307"/>
    </row>
    <row r="119" spans="1:22" ht="16.5" thickBot="1" x14ac:dyDescent="0.3">
      <c r="A119" s="286">
        <v>2000</v>
      </c>
      <c r="B119" s="59" t="s">
        <v>294</v>
      </c>
      <c r="C119" s="172">
        <v>423000</v>
      </c>
      <c r="D119" s="314">
        <f t="shared" si="4"/>
        <v>442890</v>
      </c>
      <c r="E119" s="173">
        <f t="shared" si="3"/>
        <v>-19890</v>
      </c>
      <c r="F119" s="135"/>
      <c r="G119" s="135"/>
      <c r="H119" s="135"/>
      <c r="I119" s="135"/>
      <c r="J119" s="135">
        <v>68000</v>
      </c>
      <c r="K119" s="135">
        <v>42000</v>
      </c>
      <c r="L119" s="135"/>
      <c r="M119" s="135">
        <f>27000+55000</f>
        <v>82000</v>
      </c>
      <c r="N119" s="135">
        <v>44000</v>
      </c>
      <c r="O119" s="135"/>
      <c r="P119" s="135">
        <f>35000+40000</f>
        <v>75000</v>
      </c>
      <c r="Q119" s="135"/>
      <c r="R119" s="135">
        <f>33000+61000</f>
        <v>94000</v>
      </c>
      <c r="S119" s="135">
        <f>18000+19890</f>
        <v>37890</v>
      </c>
      <c r="T119" s="135"/>
      <c r="U119" s="307"/>
      <c r="V119" s="307"/>
    </row>
    <row r="120" spans="1:22" ht="16.5" hidden="1" thickBot="1" x14ac:dyDescent="0.3">
      <c r="A120" s="286">
        <v>2010</v>
      </c>
      <c r="B120" s="59" t="s">
        <v>295</v>
      </c>
      <c r="C120" s="172">
        <v>0</v>
      </c>
      <c r="D120" s="314">
        <f t="shared" si="4"/>
        <v>0</v>
      </c>
      <c r="E120" s="173">
        <f t="shared" si="3"/>
        <v>0</v>
      </c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307"/>
      <c r="V120" s="307"/>
    </row>
    <row r="121" spans="1:22" ht="16.5" hidden="1" thickBot="1" x14ac:dyDescent="0.3">
      <c r="A121" s="286">
        <v>2020</v>
      </c>
      <c r="B121" s="59" t="s">
        <v>296</v>
      </c>
      <c r="C121" s="172">
        <v>0</v>
      </c>
      <c r="D121" s="314">
        <f t="shared" si="4"/>
        <v>0</v>
      </c>
      <c r="E121" s="173">
        <f t="shared" si="3"/>
        <v>0</v>
      </c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307"/>
      <c r="V121" s="307"/>
    </row>
    <row r="122" spans="1:22" ht="16.5" hidden="1" thickBot="1" x14ac:dyDescent="0.3">
      <c r="A122" s="286">
        <v>2035</v>
      </c>
      <c r="B122" s="59" t="s">
        <v>297</v>
      </c>
      <c r="C122" s="172">
        <v>0</v>
      </c>
      <c r="D122" s="314">
        <f t="shared" si="4"/>
        <v>0</v>
      </c>
      <c r="E122" s="173">
        <f t="shared" si="3"/>
        <v>0</v>
      </c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307"/>
      <c r="V122" s="307"/>
    </row>
    <row r="123" spans="1:22" ht="16.5" hidden="1" thickBot="1" x14ac:dyDescent="0.3">
      <c r="A123" s="286">
        <v>2055</v>
      </c>
      <c r="B123" s="59" t="s">
        <v>298</v>
      </c>
      <c r="C123" s="172">
        <v>0</v>
      </c>
      <c r="D123" s="314">
        <f t="shared" si="4"/>
        <v>0</v>
      </c>
      <c r="E123" s="173">
        <f t="shared" si="3"/>
        <v>0</v>
      </c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307"/>
      <c r="V123" s="307"/>
    </row>
    <row r="124" spans="1:22" ht="16.5" hidden="1" thickBot="1" x14ac:dyDescent="0.3">
      <c r="A124" s="286">
        <v>2070</v>
      </c>
      <c r="B124" s="59" t="s">
        <v>299</v>
      </c>
      <c r="C124" s="172">
        <v>0</v>
      </c>
      <c r="D124" s="314">
        <f t="shared" si="4"/>
        <v>0</v>
      </c>
      <c r="E124" s="173">
        <f t="shared" si="3"/>
        <v>0</v>
      </c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307"/>
      <c r="V124" s="307"/>
    </row>
    <row r="125" spans="1:22" ht="16.5" hidden="1" thickBot="1" x14ac:dyDescent="0.3">
      <c r="A125" s="286">
        <v>2180</v>
      </c>
      <c r="B125" s="59" t="s">
        <v>300</v>
      </c>
      <c r="C125" s="172">
        <v>0</v>
      </c>
      <c r="D125" s="314">
        <f t="shared" si="4"/>
        <v>0</v>
      </c>
      <c r="E125" s="173">
        <f t="shared" si="3"/>
        <v>0</v>
      </c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307"/>
      <c r="V125" s="307"/>
    </row>
    <row r="126" spans="1:22" ht="16.5" hidden="1" thickBot="1" x14ac:dyDescent="0.3">
      <c r="A126" s="286">
        <v>2190</v>
      </c>
      <c r="B126" s="59" t="s">
        <v>301</v>
      </c>
      <c r="C126" s="172">
        <v>0</v>
      </c>
      <c r="D126" s="314">
        <f t="shared" si="4"/>
        <v>0</v>
      </c>
      <c r="E126" s="173">
        <f t="shared" si="3"/>
        <v>0</v>
      </c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307"/>
      <c r="V126" s="307"/>
    </row>
    <row r="127" spans="1:22" ht="16.5" hidden="1" thickBot="1" x14ac:dyDescent="0.3">
      <c r="A127" s="286">
        <v>2395</v>
      </c>
      <c r="B127" s="59" t="s">
        <v>302</v>
      </c>
      <c r="C127" s="172">
        <v>0</v>
      </c>
      <c r="D127" s="314">
        <f t="shared" si="4"/>
        <v>0</v>
      </c>
      <c r="E127" s="173">
        <f t="shared" si="3"/>
        <v>0</v>
      </c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307"/>
      <c r="V127" s="307"/>
    </row>
    <row r="128" spans="1:22" ht="16.5" hidden="1" thickBot="1" x14ac:dyDescent="0.3">
      <c r="A128" s="286">
        <v>2405</v>
      </c>
      <c r="B128" s="59" t="s">
        <v>303</v>
      </c>
      <c r="C128" s="172">
        <v>0</v>
      </c>
      <c r="D128" s="314">
        <f t="shared" si="4"/>
        <v>0</v>
      </c>
      <c r="E128" s="173">
        <f t="shared" si="3"/>
        <v>0</v>
      </c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307"/>
      <c r="V128" s="307"/>
    </row>
    <row r="129" spans="1:22" ht="16.5" hidden="1" thickBot="1" x14ac:dyDescent="0.3">
      <c r="A129" s="286">
        <v>2505</v>
      </c>
      <c r="B129" s="59" t="s">
        <v>304</v>
      </c>
      <c r="C129" s="172">
        <v>0</v>
      </c>
      <c r="D129" s="314">
        <f t="shared" si="4"/>
        <v>0</v>
      </c>
      <c r="E129" s="173">
        <f t="shared" si="3"/>
        <v>0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307"/>
      <c r="V129" s="307"/>
    </row>
    <row r="130" spans="1:22" ht="16.5" hidden="1" thickBot="1" x14ac:dyDescent="0.3">
      <c r="A130" s="286">
        <v>2515</v>
      </c>
      <c r="B130" s="59" t="s">
        <v>305</v>
      </c>
      <c r="C130" s="172">
        <v>0</v>
      </c>
      <c r="D130" s="314">
        <f t="shared" si="4"/>
        <v>0</v>
      </c>
      <c r="E130" s="173">
        <f t="shared" si="3"/>
        <v>0</v>
      </c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307"/>
      <c r="V130" s="307"/>
    </row>
    <row r="131" spans="1:22" ht="16.5" hidden="1" thickBot="1" x14ac:dyDescent="0.3">
      <c r="A131" s="286">
        <v>2520</v>
      </c>
      <c r="B131" s="59" t="s">
        <v>306</v>
      </c>
      <c r="C131" s="172">
        <v>0</v>
      </c>
      <c r="D131" s="314">
        <f t="shared" si="4"/>
        <v>0</v>
      </c>
      <c r="E131" s="173">
        <f t="shared" si="3"/>
        <v>0</v>
      </c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307"/>
      <c r="V131" s="307"/>
    </row>
    <row r="132" spans="1:22" ht="16.5" hidden="1" thickBot="1" x14ac:dyDescent="0.3">
      <c r="A132" s="286">
        <v>2530</v>
      </c>
      <c r="B132" s="59" t="s">
        <v>307</v>
      </c>
      <c r="C132" s="172">
        <v>0</v>
      </c>
      <c r="D132" s="314">
        <f t="shared" si="4"/>
        <v>0</v>
      </c>
      <c r="E132" s="173">
        <f t="shared" si="3"/>
        <v>0</v>
      </c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307"/>
      <c r="V132" s="307"/>
    </row>
    <row r="133" spans="1:22" ht="16.5" hidden="1" thickBot="1" x14ac:dyDescent="0.3">
      <c r="A133" s="286">
        <v>2535</v>
      </c>
      <c r="B133" s="59" t="s">
        <v>308</v>
      </c>
      <c r="C133" s="172">
        <v>0</v>
      </c>
      <c r="D133" s="314">
        <f t="shared" si="4"/>
        <v>0</v>
      </c>
      <c r="E133" s="173">
        <f t="shared" si="3"/>
        <v>0</v>
      </c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307"/>
      <c r="V133" s="307"/>
    </row>
    <row r="134" spans="1:22" ht="16.5" hidden="1" thickBot="1" x14ac:dyDescent="0.3">
      <c r="A134" s="286">
        <v>2540</v>
      </c>
      <c r="B134" s="59" t="s">
        <v>309</v>
      </c>
      <c r="C134" s="172">
        <v>0</v>
      </c>
      <c r="D134" s="314">
        <f t="shared" si="4"/>
        <v>0</v>
      </c>
      <c r="E134" s="173">
        <f t="shared" si="3"/>
        <v>0</v>
      </c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307"/>
      <c r="V134" s="307"/>
    </row>
    <row r="135" spans="1:22" ht="16.5" hidden="1" thickBot="1" x14ac:dyDescent="0.3">
      <c r="A135" s="286">
        <v>2560</v>
      </c>
      <c r="B135" s="59" t="s">
        <v>310</v>
      </c>
      <c r="C135" s="172">
        <v>0</v>
      </c>
      <c r="D135" s="314">
        <f t="shared" si="4"/>
        <v>0</v>
      </c>
      <c r="E135" s="173">
        <f t="shared" si="3"/>
        <v>0</v>
      </c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307"/>
      <c r="V135" s="307"/>
    </row>
    <row r="136" spans="1:22" ht="16.5" hidden="1" thickBot="1" x14ac:dyDescent="0.3">
      <c r="A136" s="286">
        <v>2570</v>
      </c>
      <c r="B136" s="59" t="s">
        <v>311</v>
      </c>
      <c r="C136" s="172">
        <v>0</v>
      </c>
      <c r="D136" s="314">
        <f t="shared" si="4"/>
        <v>0</v>
      </c>
      <c r="E136" s="173">
        <f t="shared" si="3"/>
        <v>0</v>
      </c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307"/>
      <c r="V136" s="307"/>
    </row>
    <row r="137" spans="1:22" ht="16.5" hidden="1" thickBot="1" x14ac:dyDescent="0.3">
      <c r="A137" s="286">
        <v>2580</v>
      </c>
      <c r="B137" s="59" t="s">
        <v>312</v>
      </c>
      <c r="C137" s="172">
        <v>0</v>
      </c>
      <c r="D137" s="314">
        <f t="shared" si="4"/>
        <v>0</v>
      </c>
      <c r="E137" s="173">
        <f t="shared" si="3"/>
        <v>0</v>
      </c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307"/>
      <c r="V137" s="307"/>
    </row>
    <row r="138" spans="1:22" ht="16.5" hidden="1" thickBot="1" x14ac:dyDescent="0.3">
      <c r="A138" s="286">
        <v>2590</v>
      </c>
      <c r="B138" s="59" t="s">
        <v>313</v>
      </c>
      <c r="C138" s="172">
        <v>0</v>
      </c>
      <c r="D138" s="314">
        <f t="shared" si="4"/>
        <v>0</v>
      </c>
      <c r="E138" s="173">
        <f t="shared" si="3"/>
        <v>0</v>
      </c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307"/>
      <c r="V138" s="307"/>
    </row>
    <row r="139" spans="1:22" ht="16.5" hidden="1" thickBot="1" x14ac:dyDescent="0.3">
      <c r="A139" s="286">
        <v>2600</v>
      </c>
      <c r="B139" s="59" t="s">
        <v>314</v>
      </c>
      <c r="C139" s="172">
        <v>0</v>
      </c>
      <c r="D139" s="314">
        <f t="shared" si="4"/>
        <v>0</v>
      </c>
      <c r="E139" s="173">
        <f t="shared" si="3"/>
        <v>0</v>
      </c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307"/>
      <c r="V139" s="307"/>
    </row>
    <row r="140" spans="1:22" ht="16.5" hidden="1" thickBot="1" x14ac:dyDescent="0.3">
      <c r="A140" s="286">
        <v>2610</v>
      </c>
      <c r="B140" s="59" t="s">
        <v>315</v>
      </c>
      <c r="C140" s="172">
        <v>0</v>
      </c>
      <c r="D140" s="314">
        <f t="shared" si="4"/>
        <v>0</v>
      </c>
      <c r="E140" s="173">
        <f t="shared" si="3"/>
        <v>0</v>
      </c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307"/>
      <c r="V140" s="307"/>
    </row>
    <row r="141" spans="1:22" ht="16.5" hidden="1" thickBot="1" x14ac:dyDescent="0.3">
      <c r="A141" s="286">
        <v>2620</v>
      </c>
      <c r="B141" s="59" t="s">
        <v>316</v>
      </c>
      <c r="C141" s="172">
        <v>0</v>
      </c>
      <c r="D141" s="314">
        <f t="shared" si="4"/>
        <v>0</v>
      </c>
      <c r="E141" s="173">
        <f t="shared" ref="E141:E198" si="5">C141-D141</f>
        <v>0</v>
      </c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307"/>
      <c r="V141" s="307"/>
    </row>
    <row r="142" spans="1:22" ht="16.5" hidden="1" thickBot="1" x14ac:dyDescent="0.3">
      <c r="A142" s="286">
        <v>2630</v>
      </c>
      <c r="B142" s="59" t="s">
        <v>317</v>
      </c>
      <c r="C142" s="172">
        <v>0</v>
      </c>
      <c r="D142" s="314">
        <f t="shared" si="4"/>
        <v>0</v>
      </c>
      <c r="E142" s="173">
        <f t="shared" si="5"/>
        <v>0</v>
      </c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307"/>
      <c r="V142" s="307"/>
    </row>
    <row r="143" spans="1:22" ht="16.5" hidden="1" thickBot="1" x14ac:dyDescent="0.3">
      <c r="A143" s="286">
        <v>2640</v>
      </c>
      <c r="B143" s="59" t="s">
        <v>412</v>
      </c>
      <c r="C143" s="172">
        <v>0</v>
      </c>
      <c r="D143" s="314">
        <f t="shared" si="4"/>
        <v>0</v>
      </c>
      <c r="E143" s="173">
        <f t="shared" si="5"/>
        <v>0</v>
      </c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307"/>
      <c r="V143" s="307"/>
    </row>
    <row r="144" spans="1:22" ht="16.5" hidden="1" thickBot="1" x14ac:dyDescent="0.3">
      <c r="A144" s="286">
        <v>2650</v>
      </c>
      <c r="B144" s="59" t="s">
        <v>319</v>
      </c>
      <c r="C144" s="172">
        <v>0</v>
      </c>
      <c r="D144" s="314">
        <f t="shared" si="4"/>
        <v>0</v>
      </c>
      <c r="E144" s="173">
        <f t="shared" si="5"/>
        <v>0</v>
      </c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307"/>
      <c r="V144" s="307"/>
    </row>
    <row r="145" spans="1:22" ht="16.5" hidden="1" thickBot="1" x14ac:dyDescent="0.3">
      <c r="A145" s="286">
        <v>2660</v>
      </c>
      <c r="B145" s="59" t="s">
        <v>320</v>
      </c>
      <c r="C145" s="172">
        <v>0</v>
      </c>
      <c r="D145" s="314">
        <f t="shared" si="4"/>
        <v>0</v>
      </c>
      <c r="E145" s="173">
        <f t="shared" si="5"/>
        <v>0</v>
      </c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307"/>
      <c r="V145" s="307"/>
    </row>
    <row r="146" spans="1:22" ht="16.5" hidden="1" thickBot="1" x14ac:dyDescent="0.3">
      <c r="A146" s="286">
        <v>2670</v>
      </c>
      <c r="B146" s="59" t="s">
        <v>321</v>
      </c>
      <c r="C146" s="172">
        <v>0</v>
      </c>
      <c r="D146" s="314">
        <f t="shared" si="4"/>
        <v>0</v>
      </c>
      <c r="E146" s="173">
        <f t="shared" si="5"/>
        <v>0</v>
      </c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307"/>
      <c r="V146" s="307"/>
    </row>
    <row r="147" spans="1:22" ht="16.5" hidden="1" thickBot="1" x14ac:dyDescent="0.3">
      <c r="A147" s="286">
        <v>2680</v>
      </c>
      <c r="B147" s="59" t="s">
        <v>322</v>
      </c>
      <c r="C147" s="172">
        <v>0</v>
      </c>
      <c r="D147" s="314">
        <f t="shared" si="4"/>
        <v>0</v>
      </c>
      <c r="E147" s="173">
        <f t="shared" si="5"/>
        <v>0</v>
      </c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307"/>
      <c r="V147" s="307"/>
    </row>
    <row r="148" spans="1:22" ht="16.5" hidden="1" thickBot="1" x14ac:dyDescent="0.3">
      <c r="A148" s="286">
        <v>2690</v>
      </c>
      <c r="B148" s="59" t="s">
        <v>323</v>
      </c>
      <c r="C148" s="172">
        <v>0</v>
      </c>
      <c r="D148" s="314">
        <f t="shared" si="4"/>
        <v>0</v>
      </c>
      <c r="E148" s="173">
        <f t="shared" si="5"/>
        <v>0</v>
      </c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307"/>
      <c r="V148" s="307"/>
    </row>
    <row r="149" spans="1:22" ht="16.5" hidden="1" thickBot="1" x14ac:dyDescent="0.3">
      <c r="A149" s="286">
        <v>2700</v>
      </c>
      <c r="B149" s="59" t="s">
        <v>324</v>
      </c>
      <c r="C149" s="172">
        <v>0</v>
      </c>
      <c r="D149" s="314">
        <f t="shared" si="4"/>
        <v>0</v>
      </c>
      <c r="E149" s="173">
        <f t="shared" si="5"/>
        <v>0</v>
      </c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307"/>
      <c r="V149" s="307"/>
    </row>
    <row r="150" spans="1:22" ht="16.5" hidden="1" thickBot="1" x14ac:dyDescent="0.3">
      <c r="A150" s="286">
        <v>2710</v>
      </c>
      <c r="B150" s="59" t="s">
        <v>325</v>
      </c>
      <c r="C150" s="172">
        <v>0</v>
      </c>
      <c r="D150" s="314">
        <f t="shared" si="4"/>
        <v>0</v>
      </c>
      <c r="E150" s="173">
        <f t="shared" si="5"/>
        <v>0</v>
      </c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307"/>
      <c r="V150" s="307"/>
    </row>
    <row r="151" spans="1:22" ht="16.5" hidden="1" thickBot="1" x14ac:dyDescent="0.3">
      <c r="A151" s="286">
        <v>2720</v>
      </c>
      <c r="B151" s="59" t="s">
        <v>326</v>
      </c>
      <c r="C151" s="172">
        <v>0</v>
      </c>
      <c r="D151" s="314">
        <f t="shared" si="4"/>
        <v>0</v>
      </c>
      <c r="E151" s="173">
        <f t="shared" si="5"/>
        <v>0</v>
      </c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307"/>
      <c r="V151" s="307"/>
    </row>
    <row r="152" spans="1:22" ht="16.5" hidden="1" thickBot="1" x14ac:dyDescent="0.3">
      <c r="A152" s="286">
        <v>2730</v>
      </c>
      <c r="B152" s="59" t="s">
        <v>327</v>
      </c>
      <c r="C152" s="172">
        <v>0</v>
      </c>
      <c r="D152" s="314">
        <f t="shared" si="4"/>
        <v>0</v>
      </c>
      <c r="E152" s="173">
        <f t="shared" si="5"/>
        <v>0</v>
      </c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307"/>
      <c r="V152" s="307"/>
    </row>
    <row r="153" spans="1:22" ht="16.5" hidden="1" thickBot="1" x14ac:dyDescent="0.3">
      <c r="A153" s="286">
        <v>2740</v>
      </c>
      <c r="B153" s="59" t="s">
        <v>328</v>
      </c>
      <c r="C153" s="172">
        <v>0</v>
      </c>
      <c r="D153" s="314">
        <f t="shared" si="4"/>
        <v>0</v>
      </c>
      <c r="E153" s="173">
        <f t="shared" si="5"/>
        <v>0</v>
      </c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307"/>
      <c r="V153" s="307"/>
    </row>
    <row r="154" spans="1:22" ht="16.5" hidden="1" thickBot="1" x14ac:dyDescent="0.3">
      <c r="A154" s="286">
        <v>2750</v>
      </c>
      <c r="B154" s="59" t="s">
        <v>329</v>
      </c>
      <c r="C154" s="172">
        <v>0</v>
      </c>
      <c r="D154" s="314">
        <f t="shared" si="4"/>
        <v>0</v>
      </c>
      <c r="E154" s="173">
        <f t="shared" si="5"/>
        <v>0</v>
      </c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307"/>
      <c r="V154" s="307"/>
    </row>
    <row r="155" spans="1:22" ht="16.5" hidden="1" thickBot="1" x14ac:dyDescent="0.3">
      <c r="A155" s="286">
        <v>2760</v>
      </c>
      <c r="B155" s="59" t="s">
        <v>330</v>
      </c>
      <c r="C155" s="172">
        <v>0</v>
      </c>
      <c r="D155" s="314">
        <f t="shared" ref="D155:D196" si="6">SUM(F155:V155)</f>
        <v>0</v>
      </c>
      <c r="E155" s="173">
        <f t="shared" si="5"/>
        <v>0</v>
      </c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307"/>
      <c r="V155" s="307"/>
    </row>
    <row r="156" spans="1:22" ht="16.5" hidden="1" thickBot="1" x14ac:dyDescent="0.3">
      <c r="A156" s="286">
        <v>2770</v>
      </c>
      <c r="B156" s="59" t="s">
        <v>331</v>
      </c>
      <c r="C156" s="172">
        <v>0</v>
      </c>
      <c r="D156" s="314">
        <f t="shared" si="6"/>
        <v>0</v>
      </c>
      <c r="E156" s="173">
        <f t="shared" si="5"/>
        <v>0</v>
      </c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307"/>
      <c r="V156" s="307"/>
    </row>
    <row r="157" spans="1:22" ht="16.5" hidden="1" thickBot="1" x14ac:dyDescent="0.3">
      <c r="A157" s="286">
        <v>2780</v>
      </c>
      <c r="B157" s="59" t="s">
        <v>332</v>
      </c>
      <c r="C157" s="172">
        <v>0</v>
      </c>
      <c r="D157" s="314">
        <f t="shared" si="6"/>
        <v>0</v>
      </c>
      <c r="E157" s="173">
        <f t="shared" si="5"/>
        <v>0</v>
      </c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307"/>
      <c r="V157" s="307"/>
    </row>
    <row r="158" spans="1:22" ht="16.5" hidden="1" thickBot="1" x14ac:dyDescent="0.3">
      <c r="A158" s="286">
        <v>2790</v>
      </c>
      <c r="B158" s="59" t="s">
        <v>333</v>
      </c>
      <c r="C158" s="172">
        <v>0</v>
      </c>
      <c r="D158" s="314">
        <f t="shared" si="6"/>
        <v>0</v>
      </c>
      <c r="E158" s="173">
        <f t="shared" si="5"/>
        <v>0</v>
      </c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307"/>
      <c r="V158" s="307"/>
    </row>
    <row r="159" spans="1:22" ht="16.5" hidden="1" thickBot="1" x14ac:dyDescent="0.3">
      <c r="A159" s="286">
        <v>2800</v>
      </c>
      <c r="B159" s="59" t="s">
        <v>334</v>
      </c>
      <c r="C159" s="172">
        <v>0</v>
      </c>
      <c r="D159" s="314">
        <f t="shared" si="6"/>
        <v>0</v>
      </c>
      <c r="E159" s="173">
        <f t="shared" si="5"/>
        <v>0</v>
      </c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307"/>
      <c r="V159" s="307"/>
    </row>
    <row r="160" spans="1:22" ht="16.5" hidden="1" thickBot="1" x14ac:dyDescent="0.3">
      <c r="A160" s="286">
        <v>2810</v>
      </c>
      <c r="B160" s="59" t="s">
        <v>335</v>
      </c>
      <c r="C160" s="172">
        <v>0</v>
      </c>
      <c r="D160" s="314">
        <f t="shared" si="6"/>
        <v>0</v>
      </c>
      <c r="E160" s="173">
        <f t="shared" si="5"/>
        <v>0</v>
      </c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307"/>
      <c r="V160" s="307"/>
    </row>
    <row r="161" spans="1:22" ht="16.5" hidden="1" thickBot="1" x14ac:dyDescent="0.3">
      <c r="A161" s="286">
        <v>2820</v>
      </c>
      <c r="B161" s="59" t="s">
        <v>336</v>
      </c>
      <c r="C161" s="172">
        <v>0</v>
      </c>
      <c r="D161" s="314">
        <f t="shared" si="6"/>
        <v>0</v>
      </c>
      <c r="E161" s="173">
        <f t="shared" si="5"/>
        <v>0</v>
      </c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307"/>
      <c r="V161" s="307"/>
    </row>
    <row r="162" spans="1:22" ht="16.5" hidden="1" thickBot="1" x14ac:dyDescent="0.3">
      <c r="A162" s="286">
        <v>2830</v>
      </c>
      <c r="B162" s="59" t="s">
        <v>337</v>
      </c>
      <c r="C162" s="172">
        <v>0</v>
      </c>
      <c r="D162" s="314">
        <f t="shared" si="6"/>
        <v>0</v>
      </c>
      <c r="E162" s="173">
        <f t="shared" si="5"/>
        <v>0</v>
      </c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307"/>
      <c r="V162" s="307"/>
    </row>
    <row r="163" spans="1:22" ht="16.5" hidden="1" thickBot="1" x14ac:dyDescent="0.3">
      <c r="A163" s="286">
        <v>2840</v>
      </c>
      <c r="B163" s="59" t="s">
        <v>338</v>
      </c>
      <c r="C163" s="172">
        <v>0</v>
      </c>
      <c r="D163" s="314">
        <f t="shared" si="6"/>
        <v>0</v>
      </c>
      <c r="E163" s="173">
        <f t="shared" si="5"/>
        <v>0</v>
      </c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307"/>
      <c r="V163" s="307"/>
    </row>
    <row r="164" spans="1:22" ht="16.5" hidden="1" thickBot="1" x14ac:dyDescent="0.3">
      <c r="A164" s="286">
        <v>2862</v>
      </c>
      <c r="B164" s="59" t="s">
        <v>339</v>
      </c>
      <c r="C164" s="172">
        <v>0</v>
      </c>
      <c r="D164" s="314">
        <f t="shared" si="6"/>
        <v>0</v>
      </c>
      <c r="E164" s="173">
        <f t="shared" si="5"/>
        <v>0</v>
      </c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307"/>
      <c r="V164" s="307"/>
    </row>
    <row r="165" spans="1:22" ht="16.5" hidden="1" thickBot="1" x14ac:dyDescent="0.3">
      <c r="A165" s="286">
        <v>2865</v>
      </c>
      <c r="B165" s="59" t="s">
        <v>340</v>
      </c>
      <c r="C165" s="172">
        <v>0</v>
      </c>
      <c r="D165" s="314">
        <f t="shared" si="6"/>
        <v>0</v>
      </c>
      <c r="E165" s="173">
        <f t="shared" si="5"/>
        <v>0</v>
      </c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307"/>
      <c r="V165" s="307"/>
    </row>
    <row r="166" spans="1:22" ht="16.5" hidden="1" thickBot="1" x14ac:dyDescent="0.3">
      <c r="A166" s="286">
        <v>3000</v>
      </c>
      <c r="B166" s="59" t="s">
        <v>341</v>
      </c>
      <c r="C166" s="172">
        <v>0</v>
      </c>
      <c r="D166" s="314">
        <f t="shared" si="6"/>
        <v>0</v>
      </c>
      <c r="E166" s="173">
        <f t="shared" si="5"/>
        <v>0</v>
      </c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307"/>
      <c r="V166" s="307"/>
    </row>
    <row r="167" spans="1:22" ht="16.5" hidden="1" thickBot="1" x14ac:dyDescent="0.3">
      <c r="A167" s="286">
        <v>3010</v>
      </c>
      <c r="B167" s="59" t="s">
        <v>342</v>
      </c>
      <c r="C167" s="172">
        <v>0</v>
      </c>
      <c r="D167" s="314">
        <f t="shared" si="6"/>
        <v>0</v>
      </c>
      <c r="E167" s="173">
        <f t="shared" si="5"/>
        <v>0</v>
      </c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307"/>
      <c r="V167" s="307"/>
    </row>
    <row r="168" spans="1:22" ht="16.5" hidden="1" thickBot="1" x14ac:dyDescent="0.3">
      <c r="A168" s="286">
        <v>3020</v>
      </c>
      <c r="B168" s="59" t="s">
        <v>343</v>
      </c>
      <c r="C168" s="172">
        <v>0</v>
      </c>
      <c r="D168" s="314">
        <f t="shared" si="6"/>
        <v>0</v>
      </c>
      <c r="E168" s="173">
        <f t="shared" si="5"/>
        <v>0</v>
      </c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307"/>
      <c r="V168" s="307"/>
    </row>
    <row r="169" spans="1:22" ht="16.5" hidden="1" thickBot="1" x14ac:dyDescent="0.3">
      <c r="A169" s="286">
        <v>3030</v>
      </c>
      <c r="B169" s="59" t="s">
        <v>344</v>
      </c>
      <c r="C169" s="172">
        <v>0</v>
      </c>
      <c r="D169" s="314">
        <f t="shared" si="6"/>
        <v>0</v>
      </c>
      <c r="E169" s="173">
        <f t="shared" si="5"/>
        <v>0</v>
      </c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307"/>
      <c r="V169" s="307"/>
    </row>
    <row r="170" spans="1:22" ht="16.5" hidden="1" thickBot="1" x14ac:dyDescent="0.3">
      <c r="A170" s="286">
        <v>3040</v>
      </c>
      <c r="B170" s="59" t="s">
        <v>345</v>
      </c>
      <c r="C170" s="172">
        <v>0</v>
      </c>
      <c r="D170" s="314">
        <f t="shared" si="6"/>
        <v>0</v>
      </c>
      <c r="E170" s="173">
        <f t="shared" si="5"/>
        <v>0</v>
      </c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307"/>
      <c r="V170" s="307"/>
    </row>
    <row r="171" spans="1:22" ht="16.5" hidden="1" thickBot="1" x14ac:dyDescent="0.3">
      <c r="A171" s="286">
        <v>3050</v>
      </c>
      <c r="B171" s="59" t="s">
        <v>346</v>
      </c>
      <c r="C171" s="172">
        <v>0</v>
      </c>
      <c r="D171" s="314">
        <f t="shared" si="6"/>
        <v>0</v>
      </c>
      <c r="E171" s="173">
        <f t="shared" si="5"/>
        <v>0</v>
      </c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307"/>
      <c r="V171" s="307"/>
    </row>
    <row r="172" spans="1:22" ht="16.5" hidden="1" thickBot="1" x14ac:dyDescent="0.3">
      <c r="A172" s="286">
        <v>3060</v>
      </c>
      <c r="B172" s="59" t="s">
        <v>347</v>
      </c>
      <c r="C172" s="172">
        <v>0</v>
      </c>
      <c r="D172" s="314">
        <f t="shared" si="6"/>
        <v>0</v>
      </c>
      <c r="E172" s="173">
        <f t="shared" si="5"/>
        <v>0</v>
      </c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307"/>
      <c r="V172" s="307"/>
    </row>
    <row r="173" spans="1:22" ht="16.5" hidden="1" thickBot="1" x14ac:dyDescent="0.3">
      <c r="A173" s="286">
        <v>3070</v>
      </c>
      <c r="B173" s="59" t="s">
        <v>348</v>
      </c>
      <c r="C173" s="172">
        <v>0</v>
      </c>
      <c r="D173" s="314">
        <f t="shared" si="6"/>
        <v>0</v>
      </c>
      <c r="E173" s="173">
        <f t="shared" si="5"/>
        <v>0</v>
      </c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307"/>
      <c r="V173" s="307"/>
    </row>
    <row r="174" spans="1:22" ht="16.5" hidden="1" thickBot="1" x14ac:dyDescent="0.3">
      <c r="A174" s="286">
        <v>3080</v>
      </c>
      <c r="B174" s="59" t="s">
        <v>349</v>
      </c>
      <c r="C174" s="172">
        <v>0</v>
      </c>
      <c r="D174" s="314">
        <f t="shared" si="6"/>
        <v>0</v>
      </c>
      <c r="E174" s="173">
        <f t="shared" si="5"/>
        <v>0</v>
      </c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307"/>
      <c r="V174" s="307"/>
    </row>
    <row r="175" spans="1:22" ht="16.5" hidden="1" thickBot="1" x14ac:dyDescent="0.3">
      <c r="A175" s="286">
        <v>3085</v>
      </c>
      <c r="B175" s="59" t="s">
        <v>350</v>
      </c>
      <c r="C175" s="172">
        <v>0</v>
      </c>
      <c r="D175" s="314">
        <f t="shared" si="6"/>
        <v>0</v>
      </c>
      <c r="E175" s="173">
        <f t="shared" si="5"/>
        <v>0</v>
      </c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307"/>
      <c r="V175" s="307"/>
    </row>
    <row r="176" spans="1:22" ht="16.5" hidden="1" thickBot="1" x14ac:dyDescent="0.3">
      <c r="A176" s="286">
        <v>3090</v>
      </c>
      <c r="B176" s="59" t="s">
        <v>351</v>
      </c>
      <c r="C176" s="172">
        <v>0</v>
      </c>
      <c r="D176" s="314">
        <f t="shared" si="6"/>
        <v>0</v>
      </c>
      <c r="E176" s="173">
        <f t="shared" si="5"/>
        <v>0</v>
      </c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307"/>
      <c r="V176" s="307"/>
    </row>
    <row r="177" spans="1:22" ht="16.5" hidden="1" thickBot="1" x14ac:dyDescent="0.3">
      <c r="A177" s="286">
        <v>3100</v>
      </c>
      <c r="B177" s="59" t="s">
        <v>352</v>
      </c>
      <c r="C177" s="172">
        <v>0</v>
      </c>
      <c r="D177" s="314">
        <f t="shared" si="6"/>
        <v>0</v>
      </c>
      <c r="E177" s="173">
        <f t="shared" si="5"/>
        <v>0</v>
      </c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307"/>
      <c r="V177" s="307"/>
    </row>
    <row r="178" spans="1:22" ht="16.5" hidden="1" thickBot="1" x14ac:dyDescent="0.3">
      <c r="A178" s="286">
        <v>3110</v>
      </c>
      <c r="B178" s="59" t="s">
        <v>353</v>
      </c>
      <c r="C178" s="172">
        <v>0</v>
      </c>
      <c r="D178" s="314">
        <f t="shared" si="6"/>
        <v>0</v>
      </c>
      <c r="E178" s="173">
        <f t="shared" si="5"/>
        <v>0</v>
      </c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307"/>
      <c r="V178" s="307"/>
    </row>
    <row r="179" spans="1:22" ht="16.5" hidden="1" thickBot="1" x14ac:dyDescent="0.3">
      <c r="A179" s="286">
        <v>3120</v>
      </c>
      <c r="B179" s="59" t="s">
        <v>354</v>
      </c>
      <c r="C179" s="172">
        <v>0</v>
      </c>
      <c r="D179" s="314">
        <f t="shared" si="6"/>
        <v>0</v>
      </c>
      <c r="E179" s="173">
        <f t="shared" si="5"/>
        <v>0</v>
      </c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307"/>
      <c r="V179" s="307"/>
    </row>
    <row r="180" spans="1:22" ht="16.5" hidden="1" thickBot="1" x14ac:dyDescent="0.3">
      <c r="A180" s="286">
        <v>3130</v>
      </c>
      <c r="B180" s="59" t="s">
        <v>355</v>
      </c>
      <c r="C180" s="172">
        <v>0</v>
      </c>
      <c r="D180" s="314">
        <f t="shared" si="6"/>
        <v>0</v>
      </c>
      <c r="E180" s="173">
        <f t="shared" si="5"/>
        <v>0</v>
      </c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307"/>
      <c r="V180" s="307"/>
    </row>
    <row r="181" spans="1:22" ht="16.5" hidden="1" thickBot="1" x14ac:dyDescent="0.3">
      <c r="A181" s="286">
        <v>3140</v>
      </c>
      <c r="B181" s="59" t="s">
        <v>356</v>
      </c>
      <c r="C181" s="172">
        <v>0</v>
      </c>
      <c r="D181" s="314">
        <f t="shared" si="6"/>
        <v>0</v>
      </c>
      <c r="E181" s="173">
        <f t="shared" si="5"/>
        <v>0</v>
      </c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307"/>
      <c r="V181" s="307"/>
    </row>
    <row r="182" spans="1:22" ht="16.5" hidden="1" thickBot="1" x14ac:dyDescent="0.3">
      <c r="A182" s="286">
        <v>3145</v>
      </c>
      <c r="B182" s="59" t="s">
        <v>357</v>
      </c>
      <c r="C182" s="172">
        <v>0</v>
      </c>
      <c r="D182" s="314">
        <f t="shared" si="6"/>
        <v>0</v>
      </c>
      <c r="E182" s="173">
        <f t="shared" si="5"/>
        <v>0</v>
      </c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307"/>
      <c r="V182" s="307"/>
    </row>
    <row r="183" spans="1:22" ht="16.5" hidden="1" thickBot="1" x14ac:dyDescent="0.3">
      <c r="A183" s="286">
        <v>3146</v>
      </c>
      <c r="B183" s="59" t="s">
        <v>358</v>
      </c>
      <c r="C183" s="172">
        <v>0</v>
      </c>
      <c r="D183" s="314">
        <f t="shared" si="6"/>
        <v>0</v>
      </c>
      <c r="E183" s="173">
        <f t="shared" si="5"/>
        <v>0</v>
      </c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307"/>
      <c r="V183" s="307"/>
    </row>
    <row r="184" spans="1:22" ht="16.5" hidden="1" thickBot="1" x14ac:dyDescent="0.3">
      <c r="A184" s="286">
        <v>3147</v>
      </c>
      <c r="B184" s="59" t="s">
        <v>359</v>
      </c>
      <c r="C184" s="172">
        <v>0</v>
      </c>
      <c r="D184" s="314">
        <f t="shared" si="6"/>
        <v>0</v>
      </c>
      <c r="E184" s="173">
        <f t="shared" si="5"/>
        <v>0</v>
      </c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307"/>
      <c r="V184" s="307"/>
    </row>
    <row r="185" spans="1:22" ht="16.5" hidden="1" thickBot="1" x14ac:dyDescent="0.3">
      <c r="A185" s="286">
        <v>3148</v>
      </c>
      <c r="B185" s="59" t="s">
        <v>360</v>
      </c>
      <c r="C185" s="172">
        <v>0</v>
      </c>
      <c r="D185" s="314">
        <f t="shared" si="6"/>
        <v>0</v>
      </c>
      <c r="E185" s="173">
        <f t="shared" si="5"/>
        <v>0</v>
      </c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307"/>
      <c r="V185" s="307"/>
    </row>
    <row r="186" spans="1:22" ht="16.5" hidden="1" thickBot="1" x14ac:dyDescent="0.3">
      <c r="A186" s="286">
        <v>3200</v>
      </c>
      <c r="B186" s="59" t="s">
        <v>361</v>
      </c>
      <c r="C186" s="172">
        <v>0</v>
      </c>
      <c r="D186" s="314">
        <f t="shared" si="6"/>
        <v>0</v>
      </c>
      <c r="E186" s="173">
        <f t="shared" si="5"/>
        <v>0</v>
      </c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307"/>
      <c r="V186" s="307"/>
    </row>
    <row r="187" spans="1:22" ht="16.5" hidden="1" thickBot="1" x14ac:dyDescent="0.3">
      <c r="A187" s="286">
        <v>3210</v>
      </c>
      <c r="B187" s="59" t="s">
        <v>362</v>
      </c>
      <c r="C187" s="172">
        <v>0</v>
      </c>
      <c r="D187" s="314">
        <f t="shared" si="6"/>
        <v>0</v>
      </c>
      <c r="E187" s="173">
        <f t="shared" si="5"/>
        <v>0</v>
      </c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307"/>
      <c r="V187" s="307"/>
    </row>
    <row r="188" spans="1:22" ht="16.5" hidden="1" thickBot="1" x14ac:dyDescent="0.3">
      <c r="A188" s="286">
        <v>3220</v>
      </c>
      <c r="B188" s="59" t="s">
        <v>363</v>
      </c>
      <c r="C188" s="172">
        <v>0</v>
      </c>
      <c r="D188" s="314">
        <f t="shared" si="6"/>
        <v>0</v>
      </c>
      <c r="E188" s="173">
        <f t="shared" si="5"/>
        <v>0</v>
      </c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307"/>
      <c r="V188" s="307"/>
    </row>
    <row r="189" spans="1:22" ht="16.5" hidden="1" thickBot="1" x14ac:dyDescent="0.3">
      <c r="A189" s="286">
        <v>3230</v>
      </c>
      <c r="B189" s="59" t="s">
        <v>364</v>
      </c>
      <c r="C189" s="172">
        <v>0</v>
      </c>
      <c r="D189" s="314">
        <f t="shared" si="6"/>
        <v>0</v>
      </c>
      <c r="E189" s="173">
        <f t="shared" si="5"/>
        <v>0</v>
      </c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307"/>
      <c r="V189" s="307"/>
    </row>
    <row r="190" spans="1:22" ht="16.5" hidden="1" thickBot="1" x14ac:dyDescent="0.3">
      <c r="A190" s="286">
        <v>9000</v>
      </c>
      <c r="B190" s="59" t="s">
        <v>367</v>
      </c>
      <c r="C190" s="172">
        <v>0</v>
      </c>
      <c r="D190" s="314">
        <f t="shared" si="6"/>
        <v>0</v>
      </c>
      <c r="E190" s="173">
        <f t="shared" si="5"/>
        <v>0</v>
      </c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307"/>
      <c r="V190" s="307"/>
    </row>
    <row r="191" spans="1:22" ht="16.5" hidden="1" thickBot="1" x14ac:dyDescent="0.3">
      <c r="A191" s="283">
        <v>8001</v>
      </c>
      <c r="B191" s="59" t="s">
        <v>366</v>
      </c>
      <c r="C191" s="172">
        <v>0</v>
      </c>
      <c r="D191" s="314">
        <f t="shared" si="6"/>
        <v>0</v>
      </c>
      <c r="E191" s="173">
        <f t="shared" si="5"/>
        <v>0</v>
      </c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307"/>
      <c r="V191" s="307"/>
    </row>
    <row r="192" spans="1:22" ht="16.5" hidden="1" thickBot="1" x14ac:dyDescent="0.3">
      <c r="A192" s="284">
        <v>9025</v>
      </c>
      <c r="B192" s="65" t="s">
        <v>381</v>
      </c>
      <c r="C192" s="172"/>
      <c r="D192" s="314">
        <f t="shared" si="6"/>
        <v>0</v>
      </c>
      <c r="E192" s="173">
        <f t="shared" si="5"/>
        <v>0</v>
      </c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307"/>
      <c r="V192" s="307"/>
    </row>
    <row r="193" spans="1:22" ht="16.5" thickBot="1" x14ac:dyDescent="0.3">
      <c r="A193" s="284">
        <v>9035</v>
      </c>
      <c r="B193" s="65" t="s">
        <v>382</v>
      </c>
      <c r="C193" s="172">
        <v>2322343</v>
      </c>
      <c r="D193" s="314">
        <f t="shared" si="6"/>
        <v>2322343</v>
      </c>
      <c r="E193" s="173">
        <f t="shared" si="5"/>
        <v>0</v>
      </c>
      <c r="F193" s="135"/>
      <c r="G193" s="135"/>
      <c r="H193" s="135">
        <v>192865</v>
      </c>
      <c r="I193" s="135">
        <v>172666</v>
      </c>
      <c r="J193" s="104">
        <v>262485</v>
      </c>
      <c r="K193" s="104">
        <v>156093</v>
      </c>
      <c r="L193" s="135">
        <v>136037</v>
      </c>
      <c r="M193" s="135">
        <v>204500</v>
      </c>
      <c r="N193" s="135"/>
      <c r="O193" s="135">
        <f>201000+127000</f>
        <v>328000</v>
      </c>
      <c r="P193" s="135">
        <v>175000</v>
      </c>
      <c r="Q193" s="135">
        <v>180000</v>
      </c>
      <c r="R193" s="135">
        <v>125700</v>
      </c>
      <c r="S193" s="135">
        <v>81500</v>
      </c>
      <c r="T193" s="135">
        <v>162440</v>
      </c>
      <c r="U193" s="307">
        <v>145057</v>
      </c>
      <c r="V193" s="307"/>
    </row>
    <row r="194" spans="1:22" ht="16.5" hidden="1" thickBot="1" x14ac:dyDescent="0.3">
      <c r="A194" s="284" t="s">
        <v>378</v>
      </c>
      <c r="B194" s="66" t="s">
        <v>383</v>
      </c>
      <c r="C194" s="172"/>
      <c r="D194" s="314">
        <f t="shared" si="6"/>
        <v>0</v>
      </c>
      <c r="E194" s="173">
        <f t="shared" si="5"/>
        <v>0</v>
      </c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307"/>
      <c r="V194" s="307"/>
    </row>
    <row r="195" spans="1:22" s="20" customFormat="1" ht="16.5" thickBot="1" x14ac:dyDescent="0.3">
      <c r="A195" s="284">
        <v>9055</v>
      </c>
      <c r="B195" s="66" t="s">
        <v>429</v>
      </c>
      <c r="C195" s="172">
        <v>476313</v>
      </c>
      <c r="D195" s="314">
        <f t="shared" si="6"/>
        <v>443762</v>
      </c>
      <c r="E195" s="173">
        <f t="shared" si="5"/>
        <v>32551</v>
      </c>
      <c r="F195" s="135"/>
      <c r="G195" s="135"/>
      <c r="H195" s="104"/>
      <c r="I195" s="104"/>
      <c r="J195" s="104"/>
      <c r="K195" s="135"/>
      <c r="L195" s="135"/>
      <c r="M195" s="135">
        <v>247454</v>
      </c>
      <c r="N195" s="135"/>
      <c r="O195" s="135"/>
      <c r="P195" s="135">
        <v>109705</v>
      </c>
      <c r="Q195" s="135"/>
      <c r="R195" s="135">
        <v>41565</v>
      </c>
      <c r="S195" s="135"/>
      <c r="T195" s="135">
        <v>22519</v>
      </c>
      <c r="U195" s="307">
        <v>22519</v>
      </c>
      <c r="V195" s="307"/>
    </row>
    <row r="196" spans="1:22" s="20" customFormat="1" ht="16.5" thickBot="1" x14ac:dyDescent="0.3">
      <c r="A196" s="284">
        <v>9060</v>
      </c>
      <c r="B196" s="66" t="s">
        <v>430</v>
      </c>
      <c r="C196" s="174">
        <v>878089</v>
      </c>
      <c r="D196" s="314">
        <f t="shared" si="6"/>
        <v>819321</v>
      </c>
      <c r="E196" s="173">
        <f t="shared" si="5"/>
        <v>58768</v>
      </c>
      <c r="F196" s="135"/>
      <c r="G196" s="135"/>
      <c r="H196" s="135">
        <v>110588</v>
      </c>
      <c r="I196" s="135">
        <v>62380</v>
      </c>
      <c r="J196" s="135"/>
      <c r="K196" s="135">
        <v>98576</v>
      </c>
      <c r="L196" s="135"/>
      <c r="M196" s="135">
        <v>160044</v>
      </c>
      <c r="N196" s="135"/>
      <c r="O196" s="135">
        <v>122056</v>
      </c>
      <c r="P196" s="135">
        <v>78015</v>
      </c>
      <c r="Q196" s="135"/>
      <c r="R196" s="135"/>
      <c r="S196" s="135">
        <v>179747</v>
      </c>
      <c r="T196" s="135">
        <v>7915</v>
      </c>
      <c r="U196" s="307"/>
      <c r="V196" s="307"/>
    </row>
    <row r="197" spans="1:22" ht="16.5" hidden="1" thickBot="1" x14ac:dyDescent="0.3">
      <c r="A197" s="284" t="s">
        <v>379</v>
      </c>
      <c r="B197" s="65" t="s">
        <v>384</v>
      </c>
      <c r="C197" s="172"/>
      <c r="D197" s="172">
        <f t="shared" ref="D197:D198" si="7">SUM(F197:T197)</f>
        <v>0</v>
      </c>
      <c r="E197" s="173">
        <f t="shared" si="5"/>
        <v>0</v>
      </c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307"/>
      <c r="V197" s="307"/>
    </row>
    <row r="198" spans="1:22" ht="16.5" hidden="1" thickBot="1" x14ac:dyDescent="0.3">
      <c r="A198" s="284" t="s">
        <v>380</v>
      </c>
      <c r="B198" s="67" t="s">
        <v>385</v>
      </c>
      <c r="C198" s="172"/>
      <c r="D198" s="172">
        <f t="shared" si="7"/>
        <v>0</v>
      </c>
      <c r="E198" s="173">
        <f t="shared" si="5"/>
        <v>0</v>
      </c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307"/>
      <c r="V198" s="307"/>
    </row>
    <row r="199" spans="1:22" s="20" customFormat="1" ht="16.5" thickBot="1" x14ac:dyDescent="0.3">
      <c r="A199" s="285"/>
      <c r="B199" s="178"/>
      <c r="C199" s="175"/>
      <c r="D199" s="175"/>
      <c r="E199" s="176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307"/>
      <c r="V199" s="307"/>
    </row>
    <row r="200" spans="1:22" s="183" customFormat="1" ht="16.5" thickBot="1" x14ac:dyDescent="0.3">
      <c r="A200" s="287"/>
      <c r="B200" s="180"/>
      <c r="C200" s="181">
        <f>SUM(C12:C198)</f>
        <v>5586202</v>
      </c>
      <c r="D200" s="181">
        <f t="shared" ref="D200:T200" si="8">SUM(D12:D198)</f>
        <v>5409644</v>
      </c>
      <c r="E200" s="181">
        <f>E26+E54+E119+E193+E195+E196</f>
        <v>176558</v>
      </c>
      <c r="F200" s="182">
        <f t="shared" si="8"/>
        <v>0</v>
      </c>
      <c r="G200" s="182">
        <f t="shared" si="8"/>
        <v>0</v>
      </c>
      <c r="H200" s="182">
        <f t="shared" si="8"/>
        <v>303453</v>
      </c>
      <c r="I200" s="182">
        <f t="shared" si="8"/>
        <v>235046</v>
      </c>
      <c r="J200" s="182">
        <f t="shared" si="8"/>
        <v>483679</v>
      </c>
      <c r="K200" s="182">
        <f t="shared" si="8"/>
        <v>400239</v>
      </c>
      <c r="L200" s="182">
        <f t="shared" si="8"/>
        <v>136037</v>
      </c>
      <c r="M200" s="182">
        <f t="shared" si="8"/>
        <v>918787</v>
      </c>
      <c r="N200" s="182">
        <f t="shared" si="8"/>
        <v>133032</v>
      </c>
      <c r="O200" s="182">
        <f t="shared" si="8"/>
        <v>564614</v>
      </c>
      <c r="P200" s="182">
        <f t="shared" si="8"/>
        <v>548630</v>
      </c>
      <c r="Q200" s="182">
        <f t="shared" si="8"/>
        <v>442634</v>
      </c>
      <c r="R200" s="182">
        <f t="shared" si="8"/>
        <v>374443</v>
      </c>
      <c r="S200" s="182">
        <f t="shared" si="8"/>
        <v>368809</v>
      </c>
      <c r="T200" s="182">
        <f t="shared" si="8"/>
        <v>326249</v>
      </c>
      <c r="U200" s="324">
        <f t="shared" ref="U200:V200" si="9">SUM(U12:U198)</f>
        <v>172550</v>
      </c>
      <c r="V200" s="324">
        <f t="shared" si="9"/>
        <v>1442</v>
      </c>
    </row>
    <row r="202" spans="1:22" x14ac:dyDescent="0.25">
      <c r="O202" s="289"/>
    </row>
    <row r="203" spans="1:22" x14ac:dyDescent="0.25">
      <c r="Q203" s="289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K15"/>
  <sheetViews>
    <sheetView workbookViewId="0"/>
  </sheetViews>
  <sheetFormatPr defaultRowHeight="15" x14ac:dyDescent="0.25"/>
  <cols>
    <col min="1" max="1" width="9.140625" customWidth="1"/>
    <col min="2" max="2" width="36.5703125" customWidth="1"/>
    <col min="3" max="3" width="15.7109375" customWidth="1"/>
    <col min="4" max="4" width="18" customWidth="1"/>
    <col min="5" max="5" width="17" customWidth="1"/>
    <col min="6" max="6" width="11.140625" customWidth="1"/>
    <col min="7" max="7" width="12" customWidth="1"/>
    <col min="8" max="8" width="13.5703125" bestFit="1" customWidth="1"/>
    <col min="9" max="9" width="17.85546875" customWidth="1"/>
    <col min="10" max="10" width="12.5703125" bestFit="1" customWidth="1"/>
    <col min="11" max="11" width="12.5703125" style="20" bestFit="1" customWidth="1"/>
  </cols>
  <sheetData>
    <row r="1" spans="1:11" ht="21" x14ac:dyDescent="0.35">
      <c r="A1" s="290" t="s">
        <v>0</v>
      </c>
      <c r="B1" s="291"/>
      <c r="C1" s="292" t="s">
        <v>492</v>
      </c>
      <c r="D1" s="290"/>
      <c r="E1" s="293"/>
      <c r="F1" s="294"/>
      <c r="G1" s="294"/>
      <c r="H1" s="292" t="s">
        <v>0</v>
      </c>
      <c r="I1" s="292" t="s">
        <v>492</v>
      </c>
      <c r="J1" s="290"/>
      <c r="K1" s="290"/>
    </row>
    <row r="2" spans="1:11" ht="21" x14ac:dyDescent="0.35">
      <c r="A2" s="295" t="s">
        <v>1</v>
      </c>
      <c r="B2" s="291"/>
      <c r="C2" s="296">
        <v>84.010999999999996</v>
      </c>
      <c r="D2" s="295"/>
      <c r="E2" s="297"/>
      <c r="F2" s="294"/>
      <c r="G2" s="294"/>
      <c r="H2" s="295" t="s">
        <v>2</v>
      </c>
      <c r="I2" s="292">
        <v>2013</v>
      </c>
      <c r="J2" s="292" t="s">
        <v>410</v>
      </c>
      <c r="K2" s="292" t="s">
        <v>410</v>
      </c>
    </row>
    <row r="3" spans="1:11" ht="15.75" x14ac:dyDescent="0.25">
      <c r="A3" s="295" t="s">
        <v>4</v>
      </c>
      <c r="B3" s="291"/>
      <c r="C3" s="298">
        <v>4011</v>
      </c>
      <c r="D3" s="295"/>
      <c r="E3" s="297"/>
      <c r="F3" s="294"/>
      <c r="G3" s="294"/>
      <c r="H3" s="294"/>
      <c r="I3" s="294"/>
      <c r="J3" s="294"/>
      <c r="K3" s="294"/>
    </row>
    <row r="4" spans="1:11" ht="21" x14ac:dyDescent="0.35">
      <c r="A4" s="295" t="s">
        <v>2</v>
      </c>
      <c r="B4" s="291"/>
      <c r="C4" s="292" t="s">
        <v>466</v>
      </c>
      <c r="D4" s="297"/>
      <c r="E4" s="297"/>
      <c r="F4" s="294"/>
      <c r="G4" s="294"/>
      <c r="H4" s="294"/>
      <c r="I4" s="294"/>
      <c r="J4" s="294"/>
      <c r="K4" s="294"/>
    </row>
    <row r="5" spans="1:11" ht="15.75" x14ac:dyDescent="0.25">
      <c r="A5" s="295" t="s">
        <v>457</v>
      </c>
      <c r="B5" s="291"/>
      <c r="C5" s="295" t="s">
        <v>503</v>
      </c>
      <c r="D5" s="295"/>
      <c r="E5" s="299"/>
      <c r="F5" s="299"/>
      <c r="G5" s="299"/>
      <c r="H5" s="299"/>
      <c r="I5" s="299"/>
      <c r="J5" s="300"/>
      <c r="K5" s="300"/>
    </row>
    <row r="6" spans="1:11" ht="15.75" x14ac:dyDescent="0.25">
      <c r="A6" s="295" t="s">
        <v>6</v>
      </c>
      <c r="B6" s="291"/>
      <c r="C6" s="295" t="s">
        <v>7</v>
      </c>
      <c r="D6" s="295"/>
      <c r="E6" s="299"/>
      <c r="F6" s="299"/>
      <c r="G6" s="299"/>
      <c r="H6" s="299"/>
      <c r="I6" s="299"/>
      <c r="J6" s="300"/>
      <c r="K6" s="300"/>
    </row>
    <row r="7" spans="1:11" ht="18" customHeight="1" x14ac:dyDescent="0.3">
      <c r="A7" s="295" t="s">
        <v>400</v>
      </c>
      <c r="B7" s="291"/>
      <c r="C7" s="295" t="s">
        <v>493</v>
      </c>
      <c r="D7" s="297"/>
      <c r="E7" s="300"/>
      <c r="F7" s="300"/>
      <c r="G7" s="300"/>
      <c r="H7" s="333" t="s">
        <v>495</v>
      </c>
      <c r="I7" s="334"/>
      <c r="J7" s="334"/>
      <c r="K7"/>
    </row>
    <row r="8" spans="1:11" ht="15.75" x14ac:dyDescent="0.25">
      <c r="A8" s="295" t="s">
        <v>401</v>
      </c>
      <c r="B8" s="291"/>
      <c r="C8" s="295" t="s">
        <v>402</v>
      </c>
      <c r="D8" s="297"/>
      <c r="E8" s="300"/>
      <c r="F8" s="300"/>
      <c r="G8" s="300"/>
      <c r="H8" s="300"/>
      <c r="I8" s="300"/>
      <c r="J8" s="300"/>
      <c r="K8" s="300"/>
    </row>
    <row r="9" spans="1:11" ht="16.5" thickBot="1" x14ac:dyDescent="0.3">
      <c r="A9" s="295" t="s">
        <v>458</v>
      </c>
      <c r="B9" s="291"/>
      <c r="C9" s="295" t="s">
        <v>494</v>
      </c>
      <c r="D9" s="297"/>
      <c r="E9" s="300"/>
      <c r="F9" s="300"/>
      <c r="G9" s="300"/>
      <c r="H9" s="300"/>
      <c r="I9" s="300"/>
      <c r="J9" s="300"/>
      <c r="K9" s="300"/>
    </row>
    <row r="10" spans="1:11" ht="15.75" thickBot="1" x14ac:dyDescent="0.3">
      <c r="A10" s="308" t="s">
        <v>371</v>
      </c>
      <c r="B10" s="309" t="s">
        <v>372</v>
      </c>
      <c r="C10" s="310" t="s">
        <v>373</v>
      </c>
      <c r="D10" s="309" t="s">
        <v>374</v>
      </c>
      <c r="E10" s="305" t="s">
        <v>375</v>
      </c>
      <c r="F10" s="311" t="s">
        <v>397</v>
      </c>
      <c r="G10" s="312" t="s">
        <v>387</v>
      </c>
      <c r="H10" s="311" t="s">
        <v>398</v>
      </c>
      <c r="I10" s="312" t="s">
        <v>399</v>
      </c>
      <c r="J10" s="312" t="s">
        <v>475</v>
      </c>
      <c r="K10" s="312" t="s">
        <v>476</v>
      </c>
    </row>
    <row r="11" spans="1:11" ht="16.5" thickBot="1" x14ac:dyDescent="0.3">
      <c r="A11" s="301" t="s">
        <v>23</v>
      </c>
      <c r="B11" s="302" t="s">
        <v>201</v>
      </c>
      <c r="C11" s="313">
        <v>160049</v>
      </c>
      <c r="D11" s="314">
        <f>SUM(F11:J11)</f>
        <v>160049</v>
      </c>
      <c r="E11" s="315">
        <f>C11-D11</f>
        <v>0</v>
      </c>
      <c r="F11" s="306"/>
      <c r="G11" s="306"/>
      <c r="H11" s="306">
        <v>42404</v>
      </c>
      <c r="I11" s="306">
        <v>61452</v>
      </c>
      <c r="J11">
        <v>56193</v>
      </c>
    </row>
    <row r="12" spans="1:11" ht="16.5" thickBot="1" x14ac:dyDescent="0.3">
      <c r="A12" s="301" t="s">
        <v>116</v>
      </c>
      <c r="B12" s="302" t="s">
        <v>294</v>
      </c>
      <c r="C12" s="314">
        <v>75000</v>
      </c>
      <c r="D12" s="314">
        <f>SUM(F12:J12)</f>
        <v>52488</v>
      </c>
      <c r="E12" s="315">
        <f t="shared" ref="E12:E13" si="0">C12-D12</f>
        <v>22512</v>
      </c>
      <c r="F12" s="307"/>
      <c r="G12" s="307"/>
      <c r="H12" s="307"/>
      <c r="I12" s="307">
        <v>46105</v>
      </c>
      <c r="J12" s="307">
        <v>6383</v>
      </c>
      <c r="K12" s="307"/>
    </row>
    <row r="13" spans="1:11" ht="16.5" thickBot="1" x14ac:dyDescent="0.3">
      <c r="A13" s="303" t="s">
        <v>377</v>
      </c>
      <c r="B13" s="304" t="s">
        <v>382</v>
      </c>
      <c r="C13" s="314">
        <v>220542</v>
      </c>
      <c r="D13" s="314">
        <f>SUM(F13:J13)</f>
        <v>213695</v>
      </c>
      <c r="E13" s="315">
        <f t="shared" si="0"/>
        <v>6847</v>
      </c>
      <c r="F13" s="307"/>
      <c r="G13" s="307"/>
      <c r="H13" s="307">
        <v>202660</v>
      </c>
      <c r="I13" s="307"/>
      <c r="J13" s="307">
        <v>11035</v>
      </c>
      <c r="K13" s="307">
        <v>194</v>
      </c>
    </row>
    <row r="14" spans="1:11" ht="16.5" thickBot="1" x14ac:dyDescent="0.3">
      <c r="A14" s="318"/>
      <c r="B14" s="319"/>
      <c r="C14" s="316"/>
      <c r="D14" s="316"/>
      <c r="E14" s="317"/>
      <c r="F14" s="307"/>
      <c r="G14" s="307"/>
      <c r="H14" s="307"/>
      <c r="I14" s="307"/>
      <c r="J14" s="307"/>
      <c r="K14" s="307"/>
    </row>
    <row r="15" spans="1:11" ht="16.5" thickBot="1" x14ac:dyDescent="0.3">
      <c r="A15" s="320"/>
      <c r="B15" s="321"/>
      <c r="C15" s="324">
        <f t="shared" ref="C15" si="1">SUM(C11:C14)</f>
        <v>455591</v>
      </c>
      <c r="D15" s="322">
        <f>SUM(D11:D13)</f>
        <v>426232</v>
      </c>
      <c r="E15" s="323">
        <v>17334</v>
      </c>
      <c r="F15" s="324">
        <f t="shared" ref="F15:I15" si="2">SUM(F11:F14)</f>
        <v>0</v>
      </c>
      <c r="G15" s="324">
        <f t="shared" si="2"/>
        <v>0</v>
      </c>
      <c r="H15" s="324">
        <f t="shared" si="2"/>
        <v>245064</v>
      </c>
      <c r="I15" s="324">
        <f t="shared" si="2"/>
        <v>107557</v>
      </c>
      <c r="J15" s="324">
        <f>SUM(J11:J14)</f>
        <v>73611</v>
      </c>
      <c r="K15" s="324">
        <f>SUM(K11:K14)</f>
        <v>194</v>
      </c>
    </row>
  </sheetData>
  <sheetProtection password="EF32" sheet="1" objects="1" scenarios="1"/>
  <mergeCells count="1">
    <mergeCell ref="H7:J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201"/>
  <sheetViews>
    <sheetView workbookViewId="0">
      <pane xSplit="5" ySplit="18" topLeftCell="AA19" activePane="bottomRight" state="frozen"/>
      <selection pane="topRight" activeCell="F1" sqref="F1"/>
      <selection pane="bottomLeft" activeCell="A18" sqref="A18"/>
      <selection pane="bottomRight" activeCell="AA23" sqref="AA23"/>
    </sheetView>
  </sheetViews>
  <sheetFormatPr defaultRowHeight="15" x14ac:dyDescent="0.25"/>
  <cols>
    <col min="1" max="1" width="9.140625" style="20" customWidth="1"/>
    <col min="2" max="2" width="36.7109375" style="20" customWidth="1"/>
    <col min="3" max="3" width="20.85546875" style="20" customWidth="1"/>
    <col min="4" max="4" width="18.85546875" style="20" customWidth="1"/>
    <col min="5" max="5" width="17" style="20" customWidth="1"/>
    <col min="6" max="32" width="15.7109375" customWidth="1"/>
  </cols>
  <sheetData>
    <row r="1" spans="1:32" ht="21" x14ac:dyDescent="0.35">
      <c r="A1" s="26" t="s">
        <v>0</v>
      </c>
      <c r="B1" s="27"/>
      <c r="C1" s="28" t="s">
        <v>403</v>
      </c>
      <c r="D1" s="26"/>
      <c r="E1" s="29"/>
      <c r="F1" s="30"/>
      <c r="G1" s="30"/>
      <c r="H1" s="28" t="str">
        <f>A1</f>
        <v>Grant:</v>
      </c>
      <c r="I1" s="28" t="str">
        <f>C1</f>
        <v>Title I-D Delinquent</v>
      </c>
      <c r="J1" s="26"/>
      <c r="K1" s="26"/>
      <c r="L1" s="29"/>
      <c r="M1" s="29"/>
      <c r="N1" s="30"/>
      <c r="O1" s="30"/>
      <c r="P1" s="28" t="s">
        <v>0</v>
      </c>
      <c r="Q1" s="28" t="s">
        <v>403</v>
      </c>
      <c r="R1" s="26"/>
      <c r="S1" s="26"/>
      <c r="T1" s="29"/>
      <c r="U1" s="29"/>
      <c r="V1" s="30"/>
      <c r="W1" s="30"/>
      <c r="X1" s="28" t="s">
        <v>0</v>
      </c>
      <c r="Y1" s="28" t="s">
        <v>8</v>
      </c>
      <c r="Z1" s="26"/>
      <c r="AA1" s="26"/>
      <c r="AB1" s="29"/>
      <c r="AC1" s="29"/>
      <c r="AD1" s="30"/>
      <c r="AE1" s="30"/>
      <c r="AF1" s="28"/>
    </row>
    <row r="2" spans="1:32" ht="15.75" x14ac:dyDescent="0.25">
      <c r="A2" s="31" t="s">
        <v>1</v>
      </c>
      <c r="B2" s="27"/>
      <c r="C2" s="32" t="s">
        <v>369</v>
      </c>
      <c r="D2" s="31"/>
      <c r="E2" s="33"/>
      <c r="F2" s="30"/>
      <c r="G2" s="30"/>
      <c r="H2" s="31" t="s">
        <v>2</v>
      </c>
      <c r="I2" s="31"/>
      <c r="J2" s="34" t="str">
        <f>$C$4</f>
        <v>2012-13</v>
      </c>
      <c r="K2" s="34"/>
      <c r="L2" s="33"/>
      <c r="M2" s="33"/>
      <c r="N2" s="33"/>
      <c r="O2" s="33"/>
      <c r="P2" s="31" t="s">
        <v>2</v>
      </c>
      <c r="Q2" s="31"/>
      <c r="R2" s="34" t="str">
        <f>$C$4</f>
        <v>2012-13</v>
      </c>
      <c r="S2" s="34"/>
      <c r="T2" s="33"/>
      <c r="U2" s="33"/>
      <c r="V2" s="33"/>
      <c r="W2" s="33"/>
      <c r="X2" s="31" t="s">
        <v>2</v>
      </c>
      <c r="Y2" s="31"/>
      <c r="Z2" s="34" t="str">
        <f>$C$4</f>
        <v>2012-13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 t="s">
        <v>404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.75" x14ac:dyDescent="0.25">
      <c r="A4" s="31" t="s">
        <v>2</v>
      </c>
      <c r="B4" s="27"/>
      <c r="C4" s="34" t="str">
        <f>'NCLB Title I-A Formula'!$C$4</f>
        <v>2012-13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457</v>
      </c>
      <c r="B5" s="27"/>
      <c r="C5" s="31" t="s">
        <v>498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6</v>
      </c>
      <c r="B6" s="27"/>
      <c r="C6" s="31" t="s">
        <v>7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20" customFormat="1" ht="15.75" x14ac:dyDescent="0.25">
      <c r="A7" s="295"/>
      <c r="B7" s="291"/>
      <c r="C7" s="295" t="s">
        <v>504</v>
      </c>
      <c r="D7" s="295"/>
      <c r="E7" s="299"/>
      <c r="F7" s="299"/>
      <c r="G7" s="299"/>
      <c r="H7" s="299"/>
      <c r="I7" s="299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</row>
    <row r="8" spans="1:32" ht="15.75" x14ac:dyDescent="0.25">
      <c r="A8" s="31" t="s">
        <v>400</v>
      </c>
      <c r="B8" s="27"/>
      <c r="C8" s="31" t="s">
        <v>486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.75" x14ac:dyDescent="0.25">
      <c r="A9" s="31" t="s">
        <v>401</v>
      </c>
      <c r="B9" s="27"/>
      <c r="C9" s="31" t="s">
        <v>402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6.5" thickBot="1" x14ac:dyDescent="0.3">
      <c r="A10" s="31" t="s">
        <v>458</v>
      </c>
      <c r="B10" s="27"/>
      <c r="C10" s="31" t="s">
        <v>467</v>
      </c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32.25" customHeight="1" thickBot="1" x14ac:dyDescent="0.3">
      <c r="A11" s="139" t="s">
        <v>371</v>
      </c>
      <c r="B11" s="140" t="s">
        <v>372</v>
      </c>
      <c r="C11" s="140" t="s">
        <v>373</v>
      </c>
      <c r="D11" s="140" t="s">
        <v>374</v>
      </c>
      <c r="E11" s="122" t="s">
        <v>375</v>
      </c>
      <c r="F11" s="143" t="s">
        <v>386</v>
      </c>
      <c r="G11" s="143" t="s">
        <v>388</v>
      </c>
      <c r="H11" s="143" t="s">
        <v>389</v>
      </c>
      <c r="I11" s="143" t="s">
        <v>390</v>
      </c>
      <c r="J11" s="143" t="s">
        <v>391</v>
      </c>
      <c r="K11" s="143" t="s">
        <v>392</v>
      </c>
      <c r="L11" s="143" t="s">
        <v>393</v>
      </c>
      <c r="M11" s="143" t="s">
        <v>455</v>
      </c>
      <c r="N11" s="143" t="s">
        <v>394</v>
      </c>
      <c r="O11" s="143" t="s">
        <v>395</v>
      </c>
      <c r="P11" s="143" t="s">
        <v>396</v>
      </c>
      <c r="Q11" s="143" t="s">
        <v>397</v>
      </c>
      <c r="R11" s="143" t="s">
        <v>387</v>
      </c>
      <c r="S11" s="143" t="s">
        <v>398</v>
      </c>
      <c r="T11" s="143" t="s">
        <v>399</v>
      </c>
      <c r="U11" s="144" t="s">
        <v>475</v>
      </c>
      <c r="V11" s="145" t="s">
        <v>476</v>
      </c>
      <c r="W11" s="144" t="s">
        <v>477</v>
      </c>
      <c r="X11" s="145" t="s">
        <v>478</v>
      </c>
      <c r="Y11" s="144" t="s">
        <v>479</v>
      </c>
      <c r="Z11" s="145" t="s">
        <v>480</v>
      </c>
      <c r="AA11" s="144" t="s">
        <v>481</v>
      </c>
      <c r="AB11" s="145" t="s">
        <v>482</v>
      </c>
      <c r="AC11" s="144" t="s">
        <v>483</v>
      </c>
      <c r="AD11" s="145" t="s">
        <v>472</v>
      </c>
      <c r="AE11" s="144" t="s">
        <v>473</v>
      </c>
      <c r="AF11" s="145" t="s">
        <v>474</v>
      </c>
    </row>
    <row r="12" spans="1:32" ht="16.5" hidden="1" thickBot="1" x14ac:dyDescent="0.3">
      <c r="A12" s="40" t="s">
        <v>9</v>
      </c>
      <c r="B12" s="41" t="s">
        <v>187</v>
      </c>
      <c r="C12" s="193">
        <v>0</v>
      </c>
      <c r="D12" s="119">
        <f>SUM(F12:AF12)</f>
        <v>0</v>
      </c>
      <c r="E12" s="123">
        <f>C12-D12</f>
        <v>0</v>
      </c>
    </row>
    <row r="13" spans="1:32" ht="16.5" hidden="1" thickBot="1" x14ac:dyDescent="0.3">
      <c r="A13" s="72" t="s">
        <v>10</v>
      </c>
      <c r="B13" s="73" t="s">
        <v>188</v>
      </c>
      <c r="C13" s="193">
        <v>0</v>
      </c>
      <c r="D13" s="121">
        <f t="shared" ref="D13:D76" si="0">SUM(F13:AF13)</f>
        <v>0</v>
      </c>
      <c r="E13" s="124">
        <f t="shared" ref="E13:E76" si="1">C13-D13</f>
        <v>0</v>
      </c>
    </row>
    <row r="14" spans="1:32" ht="16.5" hidden="1" thickBot="1" x14ac:dyDescent="0.3">
      <c r="A14" s="74" t="s">
        <v>11</v>
      </c>
      <c r="B14" s="75" t="s">
        <v>189</v>
      </c>
      <c r="C14" s="193">
        <v>0</v>
      </c>
      <c r="D14" s="120">
        <f t="shared" si="0"/>
        <v>0</v>
      </c>
      <c r="E14" s="125">
        <f t="shared" si="1"/>
        <v>0</v>
      </c>
    </row>
    <row r="15" spans="1:32" ht="16.5" hidden="1" thickBot="1" x14ac:dyDescent="0.3">
      <c r="A15" s="74" t="s">
        <v>12</v>
      </c>
      <c r="B15" s="75" t="s">
        <v>190</v>
      </c>
      <c r="C15" s="193">
        <v>0</v>
      </c>
      <c r="D15" s="117">
        <f t="shared" si="0"/>
        <v>0</v>
      </c>
      <c r="E15" s="126">
        <f t="shared" si="1"/>
        <v>0</v>
      </c>
    </row>
    <row r="16" spans="1:32" ht="16.5" hidden="1" thickBot="1" x14ac:dyDescent="0.3">
      <c r="A16" s="74" t="s">
        <v>13</v>
      </c>
      <c r="B16" s="75" t="s">
        <v>191</v>
      </c>
      <c r="C16" s="193">
        <v>0</v>
      </c>
      <c r="D16" s="117">
        <f t="shared" si="0"/>
        <v>0</v>
      </c>
      <c r="E16" s="126">
        <f t="shared" si="1"/>
        <v>0</v>
      </c>
    </row>
    <row r="17" spans="1:32" ht="16.5" hidden="1" thickBot="1" x14ac:dyDescent="0.3">
      <c r="A17" s="74" t="s">
        <v>14</v>
      </c>
      <c r="B17" s="75" t="s">
        <v>192</v>
      </c>
      <c r="C17" s="193">
        <v>0</v>
      </c>
      <c r="D17" s="117">
        <f t="shared" si="0"/>
        <v>0</v>
      </c>
      <c r="E17" s="126">
        <f t="shared" si="1"/>
        <v>0</v>
      </c>
    </row>
    <row r="18" spans="1:32" ht="16.5" hidden="1" thickBot="1" x14ac:dyDescent="0.3">
      <c r="A18" s="197" t="s">
        <v>15</v>
      </c>
      <c r="B18" s="198" t="s">
        <v>193</v>
      </c>
      <c r="C18" s="193">
        <v>0</v>
      </c>
      <c r="D18" s="117">
        <f t="shared" si="0"/>
        <v>0</v>
      </c>
      <c r="E18" s="126">
        <f t="shared" si="1"/>
        <v>0</v>
      </c>
    </row>
    <row r="19" spans="1:32" ht="16.5" thickBot="1" x14ac:dyDescent="0.3">
      <c r="A19" s="162" t="s">
        <v>16</v>
      </c>
      <c r="B19" s="163" t="s">
        <v>194</v>
      </c>
      <c r="C19" s="193">
        <v>19705</v>
      </c>
      <c r="D19" s="117">
        <f t="shared" si="0"/>
        <v>19705</v>
      </c>
      <c r="E19" s="126">
        <f t="shared" si="1"/>
        <v>0</v>
      </c>
      <c r="J19" s="135"/>
      <c r="K19" s="135"/>
      <c r="L19" s="135"/>
      <c r="M19" s="135"/>
      <c r="N19" s="135">
        <v>1091</v>
      </c>
      <c r="O19" s="135">
        <v>1500</v>
      </c>
      <c r="P19" s="135">
        <v>3000</v>
      </c>
      <c r="Q19" s="135">
        <v>1500</v>
      </c>
      <c r="R19" s="135">
        <v>3000</v>
      </c>
      <c r="S19" s="135">
        <v>687</v>
      </c>
      <c r="T19" s="135">
        <v>2200</v>
      </c>
      <c r="U19" s="135">
        <v>1560</v>
      </c>
      <c r="V19" s="135">
        <v>1560</v>
      </c>
      <c r="W19" s="135">
        <v>1560</v>
      </c>
      <c r="X19" s="135">
        <v>1560</v>
      </c>
      <c r="Y19" s="135">
        <v>487</v>
      </c>
      <c r="Z19" s="135"/>
      <c r="AA19" s="135"/>
      <c r="AB19" s="135"/>
      <c r="AC19" s="135"/>
      <c r="AD19" s="135"/>
      <c r="AE19" s="135"/>
      <c r="AF19" s="135"/>
    </row>
    <row r="20" spans="1:32" ht="16.5" hidden="1" thickBot="1" x14ac:dyDescent="0.3">
      <c r="A20" s="162" t="s">
        <v>17</v>
      </c>
      <c r="B20" s="163" t="s">
        <v>195</v>
      </c>
      <c r="C20" s="193"/>
      <c r="D20" s="117">
        <f t="shared" si="0"/>
        <v>0</v>
      </c>
      <c r="E20" s="126">
        <f t="shared" si="1"/>
        <v>0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</row>
    <row r="21" spans="1:32" ht="16.5" hidden="1" thickBot="1" x14ac:dyDescent="0.3">
      <c r="A21" s="162" t="s">
        <v>18</v>
      </c>
      <c r="B21" s="163" t="s">
        <v>196</v>
      </c>
      <c r="C21" s="193"/>
      <c r="D21" s="117">
        <f t="shared" si="0"/>
        <v>0</v>
      </c>
      <c r="E21" s="126">
        <f t="shared" si="1"/>
        <v>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</row>
    <row r="22" spans="1:32" ht="16.5" hidden="1" thickBot="1" x14ac:dyDescent="0.3">
      <c r="A22" s="162" t="s">
        <v>19</v>
      </c>
      <c r="B22" s="163" t="s">
        <v>197</v>
      </c>
      <c r="C22" s="193"/>
      <c r="D22" s="117">
        <f t="shared" si="0"/>
        <v>0</v>
      </c>
      <c r="E22" s="126">
        <f t="shared" si="1"/>
        <v>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</row>
    <row r="23" spans="1:32" ht="16.5" thickBot="1" x14ac:dyDescent="0.3">
      <c r="A23" s="162" t="s">
        <v>20</v>
      </c>
      <c r="B23" s="163" t="s">
        <v>198</v>
      </c>
      <c r="C23" s="193">
        <v>134897</v>
      </c>
      <c r="D23" s="117">
        <f t="shared" si="0"/>
        <v>134897</v>
      </c>
      <c r="E23" s="126">
        <f t="shared" si="1"/>
        <v>0</v>
      </c>
      <c r="J23" s="135"/>
      <c r="K23" s="135">
        <v>32375</v>
      </c>
      <c r="L23" s="135">
        <v>16822</v>
      </c>
      <c r="M23" s="135">
        <v>16821</v>
      </c>
      <c r="N23" s="135"/>
      <c r="O23" s="135">
        <v>33643</v>
      </c>
      <c r="P23" s="135">
        <v>16821</v>
      </c>
      <c r="Q23" s="135"/>
      <c r="R23" s="135"/>
      <c r="S23" s="135"/>
      <c r="T23" s="135"/>
      <c r="U23" s="135"/>
      <c r="V23" s="135"/>
      <c r="W23" s="135"/>
      <c r="X23" s="135">
        <f>10876+7539</f>
        <v>18415</v>
      </c>
      <c r="Y23" s="135"/>
      <c r="Z23" s="135"/>
      <c r="AA23" s="135"/>
      <c r="AB23" s="135"/>
      <c r="AC23" s="135"/>
      <c r="AD23" s="135"/>
      <c r="AE23" s="135"/>
      <c r="AF23" s="135"/>
    </row>
    <row r="24" spans="1:32" ht="16.5" hidden="1" thickBot="1" x14ac:dyDescent="0.3">
      <c r="A24" s="162" t="s">
        <v>21</v>
      </c>
      <c r="B24" s="163" t="s">
        <v>199</v>
      </c>
      <c r="C24" s="193"/>
      <c r="D24" s="117">
        <f t="shared" si="0"/>
        <v>0</v>
      </c>
      <c r="E24" s="126">
        <f t="shared" si="1"/>
        <v>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</row>
    <row r="25" spans="1:32" ht="16.5" hidden="1" thickBot="1" x14ac:dyDescent="0.3">
      <c r="A25" s="162" t="s">
        <v>22</v>
      </c>
      <c r="B25" s="163" t="s">
        <v>200</v>
      </c>
      <c r="C25" s="193"/>
      <c r="D25" s="117">
        <f t="shared" si="0"/>
        <v>0</v>
      </c>
      <c r="E25" s="126">
        <f t="shared" si="1"/>
        <v>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</row>
    <row r="26" spans="1:32" ht="16.5" thickBot="1" x14ac:dyDescent="0.3">
      <c r="A26" s="162" t="s">
        <v>23</v>
      </c>
      <c r="B26" s="163" t="s">
        <v>201</v>
      </c>
      <c r="C26" s="193">
        <v>75237</v>
      </c>
      <c r="D26" s="117">
        <f t="shared" si="0"/>
        <v>75237</v>
      </c>
      <c r="E26" s="126">
        <f t="shared" si="1"/>
        <v>0</v>
      </c>
      <c r="J26" s="135">
        <v>19902</v>
      </c>
      <c r="K26" s="135"/>
      <c r="L26" s="135"/>
      <c r="M26" s="135">
        <v>20573</v>
      </c>
      <c r="N26" s="135">
        <v>7321</v>
      </c>
      <c r="O26" s="135">
        <v>6979</v>
      </c>
      <c r="P26" s="135">
        <v>8764</v>
      </c>
      <c r="Q26" s="135">
        <v>7683</v>
      </c>
      <c r="R26" s="135">
        <v>4014</v>
      </c>
      <c r="S26" s="135"/>
      <c r="T26" s="135"/>
      <c r="U26" s="135"/>
      <c r="V26" s="135"/>
      <c r="W26" s="135"/>
      <c r="X26" s="135"/>
      <c r="Y26" s="135"/>
      <c r="Z26" s="135">
        <v>1</v>
      </c>
      <c r="AA26" s="135"/>
      <c r="AB26" s="135"/>
      <c r="AC26" s="135"/>
      <c r="AD26" s="135"/>
      <c r="AE26" s="135"/>
      <c r="AF26" s="135"/>
    </row>
    <row r="27" spans="1:32" ht="16.5" hidden="1" thickBot="1" x14ac:dyDescent="0.3">
      <c r="A27" s="162" t="s">
        <v>24</v>
      </c>
      <c r="B27" s="163" t="s">
        <v>202</v>
      </c>
      <c r="C27" s="193"/>
      <c r="D27" s="117">
        <f t="shared" si="0"/>
        <v>0</v>
      </c>
      <c r="E27" s="126">
        <f t="shared" si="1"/>
        <v>0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</row>
    <row r="28" spans="1:32" ht="16.5" hidden="1" thickBot="1" x14ac:dyDescent="0.3">
      <c r="A28" s="162" t="s">
        <v>25</v>
      </c>
      <c r="B28" s="163" t="s">
        <v>203</v>
      </c>
      <c r="C28" s="193"/>
      <c r="D28" s="117">
        <f t="shared" si="0"/>
        <v>0</v>
      </c>
      <c r="E28" s="126">
        <f t="shared" si="1"/>
        <v>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</row>
    <row r="29" spans="1:32" ht="16.5" hidden="1" thickBot="1" x14ac:dyDescent="0.3">
      <c r="A29" s="162" t="s">
        <v>26</v>
      </c>
      <c r="B29" s="163" t="s">
        <v>204</v>
      </c>
      <c r="C29" s="193"/>
      <c r="D29" s="117">
        <f t="shared" si="0"/>
        <v>0</v>
      </c>
      <c r="E29" s="126">
        <f t="shared" si="1"/>
        <v>0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spans="1:32" ht="16.5" hidden="1" thickBot="1" x14ac:dyDescent="0.3">
      <c r="A30" s="162" t="s">
        <v>27</v>
      </c>
      <c r="B30" s="163" t="s">
        <v>205</v>
      </c>
      <c r="C30" s="193"/>
      <c r="D30" s="117">
        <f t="shared" si="0"/>
        <v>0</v>
      </c>
      <c r="E30" s="126">
        <f t="shared" si="1"/>
        <v>0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</row>
    <row r="31" spans="1:32" ht="16.5" hidden="1" thickBot="1" x14ac:dyDescent="0.3">
      <c r="A31" s="162" t="s">
        <v>28</v>
      </c>
      <c r="B31" s="163" t="s">
        <v>206</v>
      </c>
      <c r="C31" s="193"/>
      <c r="D31" s="117">
        <f t="shared" si="0"/>
        <v>0</v>
      </c>
      <c r="E31" s="126">
        <f t="shared" si="1"/>
        <v>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</row>
    <row r="32" spans="1:32" ht="16.5" hidden="1" thickBot="1" x14ac:dyDescent="0.3">
      <c r="A32" s="162" t="s">
        <v>29</v>
      </c>
      <c r="B32" s="163" t="s">
        <v>207</v>
      </c>
      <c r="C32" s="193"/>
      <c r="D32" s="117">
        <f t="shared" si="0"/>
        <v>0</v>
      </c>
      <c r="E32" s="126">
        <f t="shared" si="1"/>
        <v>0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1:32" ht="16.5" hidden="1" thickBot="1" x14ac:dyDescent="0.3">
      <c r="A33" s="162" t="s">
        <v>30</v>
      </c>
      <c r="B33" s="163" t="s">
        <v>208</v>
      </c>
      <c r="C33" s="193"/>
      <c r="D33" s="117">
        <f t="shared" si="0"/>
        <v>0</v>
      </c>
      <c r="E33" s="126">
        <f t="shared" si="1"/>
        <v>0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</row>
    <row r="34" spans="1:32" ht="16.5" hidden="1" thickBot="1" x14ac:dyDescent="0.3">
      <c r="A34" s="162" t="s">
        <v>31</v>
      </c>
      <c r="B34" s="163" t="s">
        <v>209</v>
      </c>
      <c r="C34" s="193"/>
      <c r="D34" s="117">
        <f t="shared" si="0"/>
        <v>0</v>
      </c>
      <c r="E34" s="126">
        <f t="shared" si="1"/>
        <v>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</row>
    <row r="35" spans="1:32" ht="16.5" hidden="1" thickBot="1" x14ac:dyDescent="0.3">
      <c r="A35" s="162" t="s">
        <v>32</v>
      </c>
      <c r="B35" s="163" t="s">
        <v>210</v>
      </c>
      <c r="C35" s="193"/>
      <c r="D35" s="117">
        <f t="shared" si="0"/>
        <v>0</v>
      </c>
      <c r="E35" s="126">
        <f t="shared" si="1"/>
        <v>0</v>
      </c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</row>
    <row r="36" spans="1:32" ht="16.5" hidden="1" thickBot="1" x14ac:dyDescent="0.3">
      <c r="A36" s="162" t="s">
        <v>33</v>
      </c>
      <c r="B36" s="163" t="s">
        <v>211</v>
      </c>
      <c r="C36" s="193"/>
      <c r="D36" s="117">
        <f t="shared" si="0"/>
        <v>0</v>
      </c>
      <c r="E36" s="126">
        <f t="shared" si="1"/>
        <v>0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</row>
    <row r="37" spans="1:32" ht="16.5" hidden="1" thickBot="1" x14ac:dyDescent="0.3">
      <c r="A37" s="162" t="s">
        <v>34</v>
      </c>
      <c r="B37" s="163" t="s">
        <v>212</v>
      </c>
      <c r="C37" s="193"/>
      <c r="D37" s="117">
        <f t="shared" si="0"/>
        <v>0</v>
      </c>
      <c r="E37" s="126">
        <f t="shared" si="1"/>
        <v>0</v>
      </c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</row>
    <row r="38" spans="1:32" ht="16.5" hidden="1" thickBot="1" x14ac:dyDescent="0.3">
      <c r="A38" s="162" t="s">
        <v>35</v>
      </c>
      <c r="B38" s="163" t="s">
        <v>213</v>
      </c>
      <c r="C38" s="193"/>
      <c r="D38" s="117">
        <f t="shared" si="0"/>
        <v>0</v>
      </c>
      <c r="E38" s="126">
        <f t="shared" si="1"/>
        <v>0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</row>
    <row r="39" spans="1:32" ht="16.5" hidden="1" thickBot="1" x14ac:dyDescent="0.3">
      <c r="A39" s="162" t="s">
        <v>36</v>
      </c>
      <c r="B39" s="163" t="s">
        <v>214</v>
      </c>
      <c r="C39" s="193"/>
      <c r="D39" s="117">
        <f t="shared" si="0"/>
        <v>0</v>
      </c>
      <c r="E39" s="126">
        <f t="shared" si="1"/>
        <v>0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</row>
    <row r="40" spans="1:32" ht="16.5" hidden="1" thickBot="1" x14ac:dyDescent="0.3">
      <c r="A40" s="162" t="s">
        <v>37</v>
      </c>
      <c r="B40" s="163" t="s">
        <v>407</v>
      </c>
      <c r="C40" s="193"/>
      <c r="D40" s="117">
        <f t="shared" si="0"/>
        <v>0</v>
      </c>
      <c r="E40" s="126">
        <f t="shared" si="1"/>
        <v>0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</row>
    <row r="41" spans="1:32" ht="16.5" hidden="1" thickBot="1" x14ac:dyDescent="0.3">
      <c r="A41" s="162" t="s">
        <v>38</v>
      </c>
      <c r="B41" s="163" t="s">
        <v>216</v>
      </c>
      <c r="C41" s="193"/>
      <c r="D41" s="117">
        <f t="shared" si="0"/>
        <v>0</v>
      </c>
      <c r="E41" s="126">
        <f t="shared" si="1"/>
        <v>0</v>
      </c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</row>
    <row r="42" spans="1:32" ht="16.5" hidden="1" thickBot="1" x14ac:dyDescent="0.3">
      <c r="A42" s="162" t="s">
        <v>39</v>
      </c>
      <c r="B42" s="163" t="s">
        <v>217</v>
      </c>
      <c r="C42" s="193"/>
      <c r="D42" s="117">
        <f t="shared" si="0"/>
        <v>0</v>
      </c>
      <c r="E42" s="126">
        <f t="shared" si="1"/>
        <v>0</v>
      </c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</row>
    <row r="43" spans="1:32" ht="16.5" hidden="1" thickBot="1" x14ac:dyDescent="0.3">
      <c r="A43" s="162" t="s">
        <v>40</v>
      </c>
      <c r="B43" s="163" t="s">
        <v>218</v>
      </c>
      <c r="C43" s="193"/>
      <c r="D43" s="117">
        <f t="shared" si="0"/>
        <v>0</v>
      </c>
      <c r="E43" s="126">
        <f t="shared" si="1"/>
        <v>0</v>
      </c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</row>
    <row r="44" spans="1:32" ht="16.5" hidden="1" thickBot="1" x14ac:dyDescent="0.3">
      <c r="A44" s="162" t="s">
        <v>41</v>
      </c>
      <c r="B44" s="163" t="s">
        <v>219</v>
      </c>
      <c r="C44" s="193"/>
      <c r="D44" s="117">
        <f t="shared" si="0"/>
        <v>0</v>
      </c>
      <c r="E44" s="126">
        <f t="shared" si="1"/>
        <v>0</v>
      </c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</row>
    <row r="45" spans="1:32" ht="16.5" hidden="1" thickBot="1" x14ac:dyDescent="0.3">
      <c r="A45" s="162" t="s">
        <v>42</v>
      </c>
      <c r="B45" s="163" t="s">
        <v>220</v>
      </c>
      <c r="C45" s="193"/>
      <c r="D45" s="117">
        <f t="shared" si="0"/>
        <v>0</v>
      </c>
      <c r="E45" s="126">
        <f t="shared" si="1"/>
        <v>0</v>
      </c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</row>
    <row r="46" spans="1:32" ht="16.5" hidden="1" thickBot="1" x14ac:dyDescent="0.3">
      <c r="A46" s="162" t="s">
        <v>43</v>
      </c>
      <c r="B46" s="164" t="s">
        <v>221</v>
      </c>
      <c r="C46" s="193"/>
      <c r="D46" s="117">
        <f t="shared" si="0"/>
        <v>0</v>
      </c>
      <c r="E46" s="126">
        <f t="shared" si="1"/>
        <v>0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</row>
    <row r="47" spans="1:32" ht="16.5" hidden="1" thickBot="1" x14ac:dyDescent="0.3">
      <c r="A47" s="162" t="s">
        <v>44</v>
      </c>
      <c r="B47" s="163" t="s">
        <v>222</v>
      </c>
      <c r="C47" s="193"/>
      <c r="D47" s="117">
        <f t="shared" si="0"/>
        <v>0</v>
      </c>
      <c r="E47" s="126">
        <f t="shared" si="1"/>
        <v>0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</row>
    <row r="48" spans="1:32" ht="16.5" hidden="1" thickBot="1" x14ac:dyDescent="0.3">
      <c r="A48" s="162" t="s">
        <v>45</v>
      </c>
      <c r="B48" s="163" t="s">
        <v>223</v>
      </c>
      <c r="C48" s="193"/>
      <c r="D48" s="117">
        <f t="shared" si="0"/>
        <v>0</v>
      </c>
      <c r="E48" s="126">
        <f t="shared" si="1"/>
        <v>0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</row>
    <row r="49" spans="1:32" ht="16.5" hidden="1" thickBot="1" x14ac:dyDescent="0.3">
      <c r="A49" s="162" t="s">
        <v>46</v>
      </c>
      <c r="B49" s="163" t="s">
        <v>224</v>
      </c>
      <c r="C49" s="193"/>
      <c r="D49" s="117">
        <f t="shared" si="0"/>
        <v>0</v>
      </c>
      <c r="E49" s="126">
        <f t="shared" si="1"/>
        <v>0</v>
      </c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</row>
    <row r="50" spans="1:32" ht="16.5" hidden="1" thickBot="1" x14ac:dyDescent="0.3">
      <c r="A50" s="162" t="s">
        <v>47</v>
      </c>
      <c r="B50" s="163" t="s">
        <v>225</v>
      </c>
      <c r="C50" s="193"/>
      <c r="D50" s="117">
        <f t="shared" si="0"/>
        <v>0</v>
      </c>
      <c r="E50" s="126">
        <f t="shared" si="1"/>
        <v>0</v>
      </c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</row>
    <row r="51" spans="1:32" ht="16.5" thickBot="1" x14ac:dyDescent="0.3">
      <c r="A51" s="162" t="s">
        <v>48</v>
      </c>
      <c r="B51" s="163" t="s">
        <v>226</v>
      </c>
      <c r="C51" s="193">
        <v>618014</v>
      </c>
      <c r="D51" s="117">
        <f t="shared" si="0"/>
        <v>618014</v>
      </c>
      <c r="E51" s="126">
        <f t="shared" si="1"/>
        <v>0</v>
      </c>
      <c r="J51" s="135">
        <v>134287</v>
      </c>
      <c r="K51" s="135">
        <v>4057</v>
      </c>
      <c r="L51" s="135">
        <v>79244</v>
      </c>
      <c r="M51" s="135">
        <v>41296</v>
      </c>
      <c r="N51" s="135">
        <v>19342</v>
      </c>
      <c r="O51" s="135">
        <f>59757+2832</f>
        <v>62589</v>
      </c>
      <c r="P51" s="135">
        <v>76410</v>
      </c>
      <c r="Q51" s="135">
        <v>25832</v>
      </c>
      <c r="R51" s="135">
        <v>58256</v>
      </c>
      <c r="S51" s="135"/>
      <c r="T51" s="135"/>
      <c r="U51" s="135">
        <v>73393</v>
      </c>
      <c r="V51" s="135"/>
      <c r="W51" s="135"/>
      <c r="X51" s="135">
        <v>19553</v>
      </c>
      <c r="Y51" s="135">
        <v>23755</v>
      </c>
      <c r="Z51" s="135"/>
      <c r="AA51" s="135"/>
      <c r="AB51" s="135"/>
      <c r="AC51" s="135"/>
      <c r="AD51" s="135"/>
      <c r="AE51" s="135"/>
      <c r="AF51" s="135"/>
    </row>
    <row r="52" spans="1:32" ht="16.5" hidden="1" thickBot="1" x14ac:dyDescent="0.3">
      <c r="A52" s="162" t="s">
        <v>49</v>
      </c>
      <c r="B52" s="163" t="s">
        <v>227</v>
      </c>
      <c r="C52" s="193"/>
      <c r="D52" s="117">
        <f t="shared" si="0"/>
        <v>0</v>
      </c>
      <c r="E52" s="126">
        <f t="shared" si="1"/>
        <v>0</v>
      </c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</row>
    <row r="53" spans="1:32" ht="16.5" hidden="1" thickBot="1" x14ac:dyDescent="0.3">
      <c r="A53" s="162" t="s">
        <v>50</v>
      </c>
      <c r="B53" s="163" t="s">
        <v>228</v>
      </c>
      <c r="C53" s="193"/>
      <c r="D53" s="117">
        <f t="shared" si="0"/>
        <v>0</v>
      </c>
      <c r="E53" s="126">
        <f t="shared" si="1"/>
        <v>0</v>
      </c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</row>
    <row r="54" spans="1:32" ht="16.5" hidden="1" thickBot="1" x14ac:dyDescent="0.3">
      <c r="A54" s="162" t="s">
        <v>51</v>
      </c>
      <c r="B54" s="163" t="s">
        <v>229</v>
      </c>
      <c r="C54" s="193"/>
      <c r="D54" s="117">
        <f t="shared" si="0"/>
        <v>0</v>
      </c>
      <c r="E54" s="126">
        <f t="shared" si="1"/>
        <v>0</v>
      </c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</row>
    <row r="55" spans="1:32" ht="16.5" hidden="1" thickBot="1" x14ac:dyDescent="0.3">
      <c r="A55" s="162" t="s">
        <v>52</v>
      </c>
      <c r="B55" s="163" t="s">
        <v>230</v>
      </c>
      <c r="C55" s="193"/>
      <c r="D55" s="117">
        <f t="shared" si="0"/>
        <v>0</v>
      </c>
      <c r="E55" s="126">
        <f t="shared" si="1"/>
        <v>0</v>
      </c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</row>
    <row r="56" spans="1:32" ht="16.5" hidden="1" thickBot="1" x14ac:dyDescent="0.3">
      <c r="A56" s="162" t="s">
        <v>53</v>
      </c>
      <c r="B56" s="163" t="s">
        <v>231</v>
      </c>
      <c r="C56" s="193"/>
      <c r="D56" s="117">
        <f t="shared" si="0"/>
        <v>0</v>
      </c>
      <c r="E56" s="126">
        <f t="shared" si="1"/>
        <v>0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</row>
    <row r="57" spans="1:32" ht="16.5" hidden="1" thickBot="1" x14ac:dyDescent="0.3">
      <c r="A57" s="162" t="s">
        <v>54</v>
      </c>
      <c r="B57" s="163" t="s">
        <v>232</v>
      </c>
      <c r="C57" s="193"/>
      <c r="D57" s="117">
        <f t="shared" si="0"/>
        <v>0</v>
      </c>
      <c r="E57" s="126">
        <f t="shared" si="1"/>
        <v>0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</row>
    <row r="58" spans="1:32" ht="16.5" hidden="1" thickBot="1" x14ac:dyDescent="0.3">
      <c r="A58" s="162" t="s">
        <v>55</v>
      </c>
      <c r="B58" s="163" t="s">
        <v>233</v>
      </c>
      <c r="C58" s="193"/>
      <c r="D58" s="117">
        <f t="shared" si="0"/>
        <v>0</v>
      </c>
      <c r="E58" s="126">
        <f t="shared" si="1"/>
        <v>0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</row>
    <row r="59" spans="1:32" ht="16.5" hidden="1" thickBot="1" x14ac:dyDescent="0.3">
      <c r="A59" s="162" t="s">
        <v>56</v>
      </c>
      <c r="B59" s="163" t="s">
        <v>234</v>
      </c>
      <c r="C59" s="193"/>
      <c r="D59" s="117">
        <f t="shared" si="0"/>
        <v>0</v>
      </c>
      <c r="E59" s="126">
        <f t="shared" si="1"/>
        <v>0</v>
      </c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</row>
    <row r="60" spans="1:32" ht="16.5" hidden="1" thickBot="1" x14ac:dyDescent="0.3">
      <c r="A60" s="162" t="s">
        <v>57</v>
      </c>
      <c r="B60" s="163" t="s">
        <v>235</v>
      </c>
      <c r="C60" s="193"/>
      <c r="D60" s="117">
        <f t="shared" si="0"/>
        <v>0</v>
      </c>
      <c r="E60" s="126">
        <f t="shared" si="1"/>
        <v>0</v>
      </c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</row>
    <row r="61" spans="1:32" ht="16.5" hidden="1" thickBot="1" x14ac:dyDescent="0.3">
      <c r="A61" s="162" t="s">
        <v>58</v>
      </c>
      <c r="B61" s="163" t="s">
        <v>236</v>
      </c>
      <c r="C61" s="193"/>
      <c r="D61" s="117">
        <f t="shared" si="0"/>
        <v>0</v>
      </c>
      <c r="E61" s="126">
        <f t="shared" si="1"/>
        <v>0</v>
      </c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</row>
    <row r="62" spans="1:32" ht="16.5" hidden="1" thickBot="1" x14ac:dyDescent="0.3">
      <c r="A62" s="162" t="s">
        <v>59</v>
      </c>
      <c r="B62" s="163" t="s">
        <v>237</v>
      </c>
      <c r="C62" s="193"/>
      <c r="D62" s="117">
        <f t="shared" si="0"/>
        <v>0</v>
      </c>
      <c r="E62" s="126">
        <f t="shared" si="1"/>
        <v>0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</row>
    <row r="63" spans="1:32" ht="16.5" hidden="1" thickBot="1" x14ac:dyDescent="0.3">
      <c r="A63" s="162" t="s">
        <v>60</v>
      </c>
      <c r="B63" s="163" t="s">
        <v>238</v>
      </c>
      <c r="C63" s="193"/>
      <c r="D63" s="117">
        <f t="shared" si="0"/>
        <v>0</v>
      </c>
      <c r="E63" s="126">
        <f t="shared" si="1"/>
        <v>0</v>
      </c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</row>
    <row r="64" spans="1:32" ht="16.5" thickBot="1" x14ac:dyDescent="0.3">
      <c r="A64" s="162" t="s">
        <v>61</v>
      </c>
      <c r="B64" s="163" t="s">
        <v>239</v>
      </c>
      <c r="C64" s="193">
        <v>55532</v>
      </c>
      <c r="D64" s="117">
        <f t="shared" si="0"/>
        <v>55532</v>
      </c>
      <c r="E64" s="126">
        <f t="shared" si="1"/>
        <v>0</v>
      </c>
      <c r="J64" s="135"/>
      <c r="K64" s="135"/>
      <c r="L64" s="135"/>
      <c r="M64" s="135">
        <f>14535+3629</f>
        <v>18164</v>
      </c>
      <c r="N64" s="135">
        <v>8984</v>
      </c>
      <c r="O64" s="135"/>
      <c r="P64" s="135">
        <v>5339</v>
      </c>
      <c r="Q64" s="135">
        <v>8309</v>
      </c>
      <c r="R64" s="135">
        <v>6238</v>
      </c>
      <c r="S64" s="135"/>
      <c r="T64" s="135">
        <v>5108</v>
      </c>
      <c r="U64" s="135"/>
      <c r="V64" s="135"/>
      <c r="W64" s="135">
        <v>3390</v>
      </c>
      <c r="X64" s="135"/>
      <c r="Y64" s="135"/>
      <c r="Z64" s="135"/>
      <c r="AA64" s="135"/>
      <c r="AB64" s="135"/>
      <c r="AC64" s="135"/>
      <c r="AD64" s="135"/>
      <c r="AE64" s="135"/>
      <c r="AF64" s="135"/>
    </row>
    <row r="65" spans="1:32" ht="16.5" hidden="1" thickBot="1" x14ac:dyDescent="0.3">
      <c r="A65" s="162" t="s">
        <v>62</v>
      </c>
      <c r="B65" s="163" t="s">
        <v>240</v>
      </c>
      <c r="C65" s="193"/>
      <c r="D65" s="117">
        <f t="shared" si="0"/>
        <v>0</v>
      </c>
      <c r="E65" s="126">
        <f t="shared" si="1"/>
        <v>0</v>
      </c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</row>
    <row r="66" spans="1:32" ht="16.5" hidden="1" thickBot="1" x14ac:dyDescent="0.3">
      <c r="A66" s="162" t="s">
        <v>63</v>
      </c>
      <c r="B66" s="163" t="s">
        <v>241</v>
      </c>
      <c r="C66" s="193"/>
      <c r="D66" s="117">
        <f t="shared" si="0"/>
        <v>0</v>
      </c>
      <c r="E66" s="126">
        <f t="shared" si="1"/>
        <v>0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</row>
    <row r="67" spans="1:32" ht="16.5" hidden="1" thickBot="1" x14ac:dyDescent="0.3">
      <c r="A67" s="162" t="s">
        <v>64</v>
      </c>
      <c r="B67" s="163" t="s">
        <v>242</v>
      </c>
      <c r="C67" s="193"/>
      <c r="D67" s="117">
        <f t="shared" si="0"/>
        <v>0</v>
      </c>
      <c r="E67" s="126">
        <f t="shared" si="1"/>
        <v>0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</row>
    <row r="68" spans="1:32" ht="16.5" hidden="1" thickBot="1" x14ac:dyDescent="0.3">
      <c r="A68" s="162" t="s">
        <v>65</v>
      </c>
      <c r="B68" s="163" t="s">
        <v>243</v>
      </c>
      <c r="C68" s="193"/>
      <c r="D68" s="117">
        <f t="shared" si="0"/>
        <v>0</v>
      </c>
      <c r="E68" s="126">
        <f t="shared" si="1"/>
        <v>0</v>
      </c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</row>
    <row r="69" spans="1:32" ht="16.5" hidden="1" thickBot="1" x14ac:dyDescent="0.3">
      <c r="A69" s="162" t="s">
        <v>66</v>
      </c>
      <c r="B69" s="163" t="s">
        <v>244</v>
      </c>
      <c r="C69" s="193"/>
      <c r="D69" s="117">
        <f t="shared" si="0"/>
        <v>0</v>
      </c>
      <c r="E69" s="126">
        <f t="shared" si="1"/>
        <v>0</v>
      </c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</row>
    <row r="70" spans="1:32" ht="16.5" hidden="1" thickBot="1" x14ac:dyDescent="0.3">
      <c r="A70" s="162" t="s">
        <v>67</v>
      </c>
      <c r="B70" s="163" t="s">
        <v>245</v>
      </c>
      <c r="C70" s="193"/>
      <c r="D70" s="117">
        <f t="shared" si="0"/>
        <v>0</v>
      </c>
      <c r="E70" s="126">
        <f t="shared" si="1"/>
        <v>0</v>
      </c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</row>
    <row r="71" spans="1:32" ht="16.5" hidden="1" thickBot="1" x14ac:dyDescent="0.3">
      <c r="A71" s="162" t="s">
        <v>68</v>
      </c>
      <c r="B71" s="163" t="s">
        <v>246</v>
      </c>
      <c r="C71" s="193"/>
      <c r="D71" s="117">
        <f t="shared" si="0"/>
        <v>0</v>
      </c>
      <c r="E71" s="126">
        <f t="shared" si="1"/>
        <v>0</v>
      </c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</row>
    <row r="72" spans="1:32" ht="16.5" hidden="1" thickBot="1" x14ac:dyDescent="0.3">
      <c r="A72" s="162" t="s">
        <v>69</v>
      </c>
      <c r="B72" s="163" t="s">
        <v>247</v>
      </c>
      <c r="C72" s="193"/>
      <c r="D72" s="117">
        <f t="shared" si="0"/>
        <v>0</v>
      </c>
      <c r="E72" s="126">
        <f t="shared" si="1"/>
        <v>0</v>
      </c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</row>
    <row r="73" spans="1:32" ht="16.5" hidden="1" thickBot="1" x14ac:dyDescent="0.3">
      <c r="A73" s="162" t="s">
        <v>70</v>
      </c>
      <c r="B73" s="163" t="s">
        <v>248</v>
      </c>
      <c r="C73" s="193"/>
      <c r="D73" s="117">
        <f t="shared" si="0"/>
        <v>0</v>
      </c>
      <c r="E73" s="126">
        <f t="shared" si="1"/>
        <v>0</v>
      </c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</row>
    <row r="74" spans="1:32" ht="16.5" hidden="1" thickBot="1" x14ac:dyDescent="0.3">
      <c r="A74" s="162" t="s">
        <v>71</v>
      </c>
      <c r="B74" s="163" t="s">
        <v>249</v>
      </c>
      <c r="C74" s="193"/>
      <c r="D74" s="117">
        <f t="shared" si="0"/>
        <v>0</v>
      </c>
      <c r="E74" s="126">
        <f t="shared" si="1"/>
        <v>0</v>
      </c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</row>
    <row r="75" spans="1:32" ht="16.5" thickBot="1" x14ac:dyDescent="0.3">
      <c r="A75" s="162" t="s">
        <v>72</v>
      </c>
      <c r="B75" s="163" t="s">
        <v>250</v>
      </c>
      <c r="C75" s="193">
        <v>177343</v>
      </c>
      <c r="D75" s="117">
        <f t="shared" si="0"/>
        <v>177343</v>
      </c>
      <c r="E75" s="126">
        <f t="shared" si="1"/>
        <v>0</v>
      </c>
      <c r="J75" s="135"/>
      <c r="K75" s="135"/>
      <c r="L75" s="135">
        <v>21754</v>
      </c>
      <c r="M75" s="135"/>
      <c r="N75" s="135">
        <v>32037</v>
      </c>
      <c r="O75" s="135">
        <v>45444</v>
      </c>
      <c r="P75" s="135"/>
      <c r="Q75" s="135">
        <v>25833</v>
      </c>
      <c r="R75" s="135"/>
      <c r="S75" s="135">
        <f>14194+38081</f>
        <v>52275</v>
      </c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</row>
    <row r="76" spans="1:32" ht="16.5" hidden="1" thickBot="1" x14ac:dyDescent="0.3">
      <c r="A76" s="162" t="s">
        <v>73</v>
      </c>
      <c r="B76" s="163" t="s">
        <v>251</v>
      </c>
      <c r="C76" s="193"/>
      <c r="D76" s="117">
        <f t="shared" si="0"/>
        <v>0</v>
      </c>
      <c r="E76" s="126">
        <f t="shared" si="1"/>
        <v>0</v>
      </c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</row>
    <row r="77" spans="1:32" ht="16.5" hidden="1" thickBot="1" x14ac:dyDescent="0.3">
      <c r="A77" s="162" t="s">
        <v>74</v>
      </c>
      <c r="B77" s="163" t="s">
        <v>252</v>
      </c>
      <c r="C77" s="193"/>
      <c r="D77" s="117">
        <f t="shared" ref="D77:D140" si="2">SUM(F77:AF77)</f>
        <v>0</v>
      </c>
      <c r="E77" s="126">
        <f t="shared" ref="E77:E140" si="3">C77-D77</f>
        <v>0</v>
      </c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</row>
    <row r="78" spans="1:32" ht="16.5" hidden="1" thickBot="1" x14ac:dyDescent="0.3">
      <c r="A78" s="162" t="s">
        <v>75</v>
      </c>
      <c r="B78" s="163" t="s">
        <v>253</v>
      </c>
      <c r="C78" s="193"/>
      <c r="D78" s="117">
        <f t="shared" si="2"/>
        <v>0</v>
      </c>
      <c r="E78" s="126">
        <f t="shared" si="3"/>
        <v>0</v>
      </c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</row>
    <row r="79" spans="1:32" ht="16.5" hidden="1" thickBot="1" x14ac:dyDescent="0.3">
      <c r="A79" s="162" t="s">
        <v>76</v>
      </c>
      <c r="B79" s="163" t="s">
        <v>254</v>
      </c>
      <c r="C79" s="193"/>
      <c r="D79" s="117">
        <f t="shared" si="2"/>
        <v>0</v>
      </c>
      <c r="E79" s="126">
        <f t="shared" si="3"/>
        <v>0</v>
      </c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</row>
    <row r="80" spans="1:32" ht="16.5" hidden="1" thickBot="1" x14ac:dyDescent="0.3">
      <c r="A80" s="162" t="s">
        <v>77</v>
      </c>
      <c r="B80" s="163" t="s">
        <v>255</v>
      </c>
      <c r="C80" s="193"/>
      <c r="D80" s="117">
        <f t="shared" si="2"/>
        <v>0</v>
      </c>
      <c r="E80" s="126">
        <f t="shared" si="3"/>
        <v>0</v>
      </c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</row>
    <row r="81" spans="1:32" ht="16.5" hidden="1" thickBot="1" x14ac:dyDescent="0.3">
      <c r="A81" s="162" t="s">
        <v>78</v>
      </c>
      <c r="B81" s="163" t="s">
        <v>256</v>
      </c>
      <c r="C81" s="193"/>
      <c r="D81" s="117">
        <f t="shared" si="2"/>
        <v>0</v>
      </c>
      <c r="E81" s="126">
        <f t="shared" si="3"/>
        <v>0</v>
      </c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</row>
    <row r="82" spans="1:32" ht="16.5" hidden="1" thickBot="1" x14ac:dyDescent="0.3">
      <c r="A82" s="162" t="s">
        <v>79</v>
      </c>
      <c r="B82" s="163" t="s">
        <v>257</v>
      </c>
      <c r="C82" s="193"/>
      <c r="D82" s="117">
        <f t="shared" si="2"/>
        <v>0</v>
      </c>
      <c r="E82" s="126">
        <f t="shared" si="3"/>
        <v>0</v>
      </c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</row>
    <row r="83" spans="1:32" ht="16.5" hidden="1" thickBot="1" x14ac:dyDescent="0.3">
      <c r="A83" s="162" t="s">
        <v>80</v>
      </c>
      <c r="B83" s="163" t="s">
        <v>258</v>
      </c>
      <c r="C83" s="193"/>
      <c r="D83" s="117">
        <f t="shared" si="2"/>
        <v>0</v>
      </c>
      <c r="E83" s="126">
        <f t="shared" si="3"/>
        <v>0</v>
      </c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</row>
    <row r="84" spans="1:32" ht="16.5" hidden="1" thickBot="1" x14ac:dyDescent="0.3">
      <c r="A84" s="162" t="s">
        <v>81</v>
      </c>
      <c r="B84" s="163" t="s">
        <v>259</v>
      </c>
      <c r="C84" s="193"/>
      <c r="D84" s="117">
        <f t="shared" si="2"/>
        <v>0</v>
      </c>
      <c r="E84" s="126">
        <f t="shared" si="3"/>
        <v>0</v>
      </c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</row>
    <row r="85" spans="1:32" ht="16.5" hidden="1" thickBot="1" x14ac:dyDescent="0.3">
      <c r="A85" s="162" t="s">
        <v>82</v>
      </c>
      <c r="B85" s="163" t="s">
        <v>260</v>
      </c>
      <c r="C85" s="193"/>
      <c r="D85" s="117">
        <f t="shared" si="2"/>
        <v>0</v>
      </c>
      <c r="E85" s="126">
        <f t="shared" si="3"/>
        <v>0</v>
      </c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</row>
    <row r="86" spans="1:32" ht="16.5" hidden="1" thickBot="1" x14ac:dyDescent="0.3">
      <c r="A86" s="162" t="s">
        <v>83</v>
      </c>
      <c r="B86" s="163" t="s">
        <v>261</v>
      </c>
      <c r="C86" s="193"/>
      <c r="D86" s="117">
        <f t="shared" si="2"/>
        <v>0</v>
      </c>
      <c r="E86" s="126">
        <f t="shared" si="3"/>
        <v>0</v>
      </c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</row>
    <row r="87" spans="1:32" ht="16.5" hidden="1" thickBot="1" x14ac:dyDescent="0.3">
      <c r="A87" s="162" t="s">
        <v>84</v>
      </c>
      <c r="B87" s="163" t="s">
        <v>262</v>
      </c>
      <c r="C87" s="193"/>
      <c r="D87" s="117">
        <f t="shared" si="2"/>
        <v>0</v>
      </c>
      <c r="E87" s="126">
        <f t="shared" si="3"/>
        <v>0</v>
      </c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</row>
    <row r="88" spans="1:32" ht="16.5" hidden="1" thickBot="1" x14ac:dyDescent="0.3">
      <c r="A88" s="162" t="s">
        <v>85</v>
      </c>
      <c r="B88" s="164" t="s">
        <v>263</v>
      </c>
      <c r="C88" s="193"/>
      <c r="D88" s="117">
        <f t="shared" si="2"/>
        <v>0</v>
      </c>
      <c r="E88" s="126">
        <f t="shared" si="3"/>
        <v>0</v>
      </c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</row>
    <row r="89" spans="1:32" ht="16.5" hidden="1" thickBot="1" x14ac:dyDescent="0.3">
      <c r="A89" s="162" t="s">
        <v>86</v>
      </c>
      <c r="B89" s="163" t="s">
        <v>264</v>
      </c>
      <c r="C89" s="193"/>
      <c r="D89" s="117">
        <f t="shared" si="2"/>
        <v>0</v>
      </c>
      <c r="E89" s="126">
        <f t="shared" si="3"/>
        <v>0</v>
      </c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</row>
    <row r="90" spans="1:32" ht="16.5" hidden="1" thickBot="1" x14ac:dyDescent="0.3">
      <c r="A90" s="162" t="s">
        <v>87</v>
      </c>
      <c r="B90" s="163" t="s">
        <v>265</v>
      </c>
      <c r="C90" s="193"/>
      <c r="D90" s="117">
        <f t="shared" si="2"/>
        <v>0</v>
      </c>
      <c r="E90" s="126">
        <f t="shared" si="3"/>
        <v>0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</row>
    <row r="91" spans="1:32" ht="16.5" hidden="1" thickBot="1" x14ac:dyDescent="0.3">
      <c r="A91" s="162" t="s">
        <v>88</v>
      </c>
      <c r="B91" s="163" t="s">
        <v>266</v>
      </c>
      <c r="C91" s="193"/>
      <c r="D91" s="117">
        <f t="shared" si="2"/>
        <v>0</v>
      </c>
      <c r="E91" s="126">
        <f t="shared" si="3"/>
        <v>0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</row>
    <row r="92" spans="1:32" ht="16.5" hidden="1" thickBot="1" x14ac:dyDescent="0.3">
      <c r="A92" s="162" t="s">
        <v>89</v>
      </c>
      <c r="B92" s="163" t="s">
        <v>267</v>
      </c>
      <c r="C92" s="193"/>
      <c r="D92" s="117">
        <f t="shared" si="2"/>
        <v>0</v>
      </c>
      <c r="E92" s="126">
        <f t="shared" si="3"/>
        <v>0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</row>
    <row r="93" spans="1:32" ht="16.5" hidden="1" thickBot="1" x14ac:dyDescent="0.3">
      <c r="A93" s="162" t="s">
        <v>90</v>
      </c>
      <c r="B93" s="163" t="s">
        <v>268</v>
      </c>
      <c r="C93" s="193"/>
      <c r="D93" s="117">
        <f t="shared" si="2"/>
        <v>0</v>
      </c>
      <c r="E93" s="126">
        <f t="shared" si="3"/>
        <v>0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</row>
    <row r="94" spans="1:32" ht="16.5" hidden="1" thickBot="1" x14ac:dyDescent="0.3">
      <c r="A94" s="162" t="s">
        <v>91</v>
      </c>
      <c r="B94" s="163" t="s">
        <v>269</v>
      </c>
      <c r="C94" s="193"/>
      <c r="D94" s="117">
        <f t="shared" si="2"/>
        <v>0</v>
      </c>
      <c r="E94" s="126">
        <f t="shared" si="3"/>
        <v>0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</row>
    <row r="95" spans="1:32" ht="16.5" hidden="1" thickBot="1" x14ac:dyDescent="0.3">
      <c r="A95" s="162" t="s">
        <v>92</v>
      </c>
      <c r="B95" s="163" t="s">
        <v>270</v>
      </c>
      <c r="C95" s="193"/>
      <c r="D95" s="117">
        <f t="shared" si="2"/>
        <v>0</v>
      </c>
      <c r="E95" s="126">
        <f t="shared" si="3"/>
        <v>0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</row>
    <row r="96" spans="1:32" ht="16.5" hidden="1" thickBot="1" x14ac:dyDescent="0.3">
      <c r="A96" s="162" t="s">
        <v>93</v>
      </c>
      <c r="B96" s="163" t="s">
        <v>271</v>
      </c>
      <c r="C96" s="193"/>
      <c r="D96" s="117">
        <f t="shared" si="2"/>
        <v>0</v>
      </c>
      <c r="E96" s="126">
        <f t="shared" si="3"/>
        <v>0</v>
      </c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</row>
    <row r="97" spans="1:32" ht="16.5" hidden="1" thickBot="1" x14ac:dyDescent="0.3">
      <c r="A97" s="162" t="s">
        <v>94</v>
      </c>
      <c r="B97" s="163" t="s">
        <v>272</v>
      </c>
      <c r="C97" s="193"/>
      <c r="D97" s="117">
        <f t="shared" si="2"/>
        <v>0</v>
      </c>
      <c r="E97" s="126">
        <f t="shared" si="3"/>
        <v>0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</row>
    <row r="98" spans="1:32" ht="16.5" thickBot="1" x14ac:dyDescent="0.3">
      <c r="A98" s="162" t="s">
        <v>95</v>
      </c>
      <c r="B98" s="163" t="s">
        <v>273</v>
      </c>
      <c r="C98" s="193">
        <v>43955</v>
      </c>
      <c r="D98" s="117">
        <f t="shared" si="2"/>
        <v>43956</v>
      </c>
      <c r="E98" s="126">
        <f t="shared" si="3"/>
        <v>-1</v>
      </c>
      <c r="J98" s="135"/>
      <c r="K98" s="135">
        <v>12665</v>
      </c>
      <c r="L98" s="135"/>
      <c r="M98" s="135">
        <v>2621</v>
      </c>
      <c r="N98" s="135">
        <v>3164</v>
      </c>
      <c r="O98" s="135">
        <v>3163</v>
      </c>
      <c r="P98" s="135">
        <v>3163</v>
      </c>
      <c r="Q98" s="135">
        <v>3163</v>
      </c>
      <c r="R98" s="135"/>
      <c r="S98" s="135"/>
      <c r="T98" s="135">
        <f>12133+3883</f>
        <v>16016</v>
      </c>
      <c r="U98" s="135">
        <v>1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</row>
    <row r="99" spans="1:32" ht="16.5" hidden="1" thickBot="1" x14ac:dyDescent="0.3">
      <c r="A99" s="162" t="s">
        <v>96</v>
      </c>
      <c r="B99" s="163" t="s">
        <v>274</v>
      </c>
      <c r="C99" s="193"/>
      <c r="D99" s="117">
        <f t="shared" si="2"/>
        <v>0</v>
      </c>
      <c r="E99" s="126">
        <f t="shared" si="3"/>
        <v>0</v>
      </c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</row>
    <row r="100" spans="1:32" ht="16.5" hidden="1" thickBot="1" x14ac:dyDescent="0.3">
      <c r="A100" s="162" t="s">
        <v>97</v>
      </c>
      <c r="B100" s="163" t="s">
        <v>275</v>
      </c>
      <c r="C100" s="193"/>
      <c r="D100" s="117">
        <f t="shared" si="2"/>
        <v>0</v>
      </c>
      <c r="E100" s="126">
        <f t="shared" si="3"/>
        <v>0</v>
      </c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</row>
    <row r="101" spans="1:32" ht="16.5" thickBot="1" x14ac:dyDescent="0.3">
      <c r="A101" s="162" t="s">
        <v>98</v>
      </c>
      <c r="B101" s="163" t="s">
        <v>276</v>
      </c>
      <c r="C101" s="193">
        <v>57596</v>
      </c>
      <c r="D101" s="117">
        <f t="shared" si="2"/>
        <v>57596</v>
      </c>
      <c r="E101" s="126">
        <f t="shared" si="3"/>
        <v>0</v>
      </c>
      <c r="J101" s="135">
        <v>7999</v>
      </c>
      <c r="K101" s="135"/>
      <c r="L101" s="135"/>
      <c r="M101" s="135">
        <v>10727</v>
      </c>
      <c r="N101" s="135"/>
      <c r="O101" s="135">
        <v>9229</v>
      </c>
      <c r="P101" s="135"/>
      <c r="Q101" s="135">
        <v>9176</v>
      </c>
      <c r="R101" s="135"/>
      <c r="S101" s="135">
        <v>9109</v>
      </c>
      <c r="T101" s="135"/>
      <c r="U101" s="135"/>
      <c r="V101" s="135">
        <v>6444</v>
      </c>
      <c r="W101" s="135"/>
      <c r="X101" s="135">
        <v>4912</v>
      </c>
      <c r="Y101" s="135"/>
      <c r="Z101" s="135"/>
      <c r="AA101" s="135"/>
      <c r="AB101" s="135"/>
      <c r="AC101" s="135"/>
      <c r="AD101" s="135"/>
      <c r="AE101" s="135"/>
      <c r="AF101" s="135"/>
    </row>
    <row r="102" spans="1:32" ht="16.5" hidden="1" thickBot="1" x14ac:dyDescent="0.3">
      <c r="A102" s="162" t="s">
        <v>99</v>
      </c>
      <c r="B102" s="163" t="s">
        <v>277</v>
      </c>
      <c r="C102" s="193"/>
      <c r="D102" s="117">
        <f t="shared" si="2"/>
        <v>0</v>
      </c>
      <c r="E102" s="126">
        <f t="shared" si="3"/>
        <v>0</v>
      </c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</row>
    <row r="103" spans="1:32" ht="16.5" hidden="1" thickBot="1" x14ac:dyDescent="0.3">
      <c r="A103" s="162" t="s">
        <v>100</v>
      </c>
      <c r="B103" s="163" t="s">
        <v>278</v>
      </c>
      <c r="C103" s="193"/>
      <c r="D103" s="117">
        <f t="shared" si="2"/>
        <v>0</v>
      </c>
      <c r="E103" s="126">
        <f t="shared" si="3"/>
        <v>0</v>
      </c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</row>
    <row r="104" spans="1:32" ht="16.5" hidden="1" thickBot="1" x14ac:dyDescent="0.3">
      <c r="A104" s="162" t="s">
        <v>101</v>
      </c>
      <c r="B104" s="163" t="s">
        <v>279</v>
      </c>
      <c r="C104" s="193"/>
      <c r="D104" s="117">
        <f t="shared" si="2"/>
        <v>0</v>
      </c>
      <c r="E104" s="126">
        <f t="shared" si="3"/>
        <v>0</v>
      </c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</row>
    <row r="105" spans="1:32" ht="16.5" hidden="1" thickBot="1" x14ac:dyDescent="0.3">
      <c r="A105" s="162" t="s">
        <v>102</v>
      </c>
      <c r="B105" s="163" t="s">
        <v>280</v>
      </c>
      <c r="C105" s="193"/>
      <c r="D105" s="117">
        <f t="shared" si="2"/>
        <v>0</v>
      </c>
      <c r="E105" s="126">
        <f t="shared" si="3"/>
        <v>0</v>
      </c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</row>
    <row r="106" spans="1:32" ht="16.5" hidden="1" thickBot="1" x14ac:dyDescent="0.3">
      <c r="A106" s="162" t="s">
        <v>103</v>
      </c>
      <c r="B106" s="163" t="s">
        <v>281</v>
      </c>
      <c r="C106" s="193"/>
      <c r="D106" s="117">
        <f t="shared" si="2"/>
        <v>0</v>
      </c>
      <c r="E106" s="126">
        <f t="shared" si="3"/>
        <v>0</v>
      </c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</row>
    <row r="107" spans="1:32" ht="16.5" hidden="1" thickBot="1" x14ac:dyDescent="0.3">
      <c r="A107" s="162" t="s">
        <v>104</v>
      </c>
      <c r="B107" s="163" t="s">
        <v>282</v>
      </c>
      <c r="C107" s="193"/>
      <c r="D107" s="117">
        <f t="shared" si="2"/>
        <v>0</v>
      </c>
      <c r="E107" s="126">
        <f t="shared" si="3"/>
        <v>0</v>
      </c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</row>
    <row r="108" spans="1:32" ht="16.5" hidden="1" thickBot="1" x14ac:dyDescent="0.3">
      <c r="A108" s="162" t="s">
        <v>105</v>
      </c>
      <c r="B108" s="163" t="s">
        <v>423</v>
      </c>
      <c r="C108" s="193"/>
      <c r="D108" s="117">
        <f t="shared" si="2"/>
        <v>0</v>
      </c>
      <c r="E108" s="126">
        <f t="shared" si="3"/>
        <v>0</v>
      </c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</row>
    <row r="109" spans="1:32" ht="16.5" hidden="1" thickBot="1" x14ac:dyDescent="0.3">
      <c r="A109" s="162" t="s">
        <v>106</v>
      </c>
      <c r="B109" s="163" t="s">
        <v>284</v>
      </c>
      <c r="C109" s="193"/>
      <c r="D109" s="117">
        <f t="shared" si="2"/>
        <v>0</v>
      </c>
      <c r="E109" s="126">
        <f t="shared" si="3"/>
        <v>0</v>
      </c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</row>
    <row r="110" spans="1:32" ht="16.5" hidden="1" thickBot="1" x14ac:dyDescent="0.3">
      <c r="A110" s="162" t="s">
        <v>107</v>
      </c>
      <c r="B110" s="163" t="s">
        <v>285</v>
      </c>
      <c r="C110" s="193"/>
      <c r="D110" s="117">
        <f t="shared" si="2"/>
        <v>0</v>
      </c>
      <c r="E110" s="126">
        <f t="shared" si="3"/>
        <v>0</v>
      </c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</row>
    <row r="111" spans="1:32" ht="16.5" hidden="1" thickBot="1" x14ac:dyDescent="0.3">
      <c r="A111" s="162" t="s">
        <v>108</v>
      </c>
      <c r="B111" s="163" t="s">
        <v>286</v>
      </c>
      <c r="C111" s="193"/>
      <c r="D111" s="117">
        <f t="shared" si="2"/>
        <v>0</v>
      </c>
      <c r="E111" s="126">
        <f t="shared" si="3"/>
        <v>0</v>
      </c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</row>
    <row r="112" spans="1:32" ht="16.5" hidden="1" thickBot="1" x14ac:dyDescent="0.3">
      <c r="A112" s="162" t="s">
        <v>109</v>
      </c>
      <c r="B112" s="163" t="s">
        <v>287</v>
      </c>
      <c r="C112" s="193"/>
      <c r="D112" s="117">
        <f t="shared" si="2"/>
        <v>0</v>
      </c>
      <c r="E112" s="126">
        <f t="shared" si="3"/>
        <v>0</v>
      </c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</row>
    <row r="113" spans="1:32" ht="16.5" hidden="1" thickBot="1" x14ac:dyDescent="0.3">
      <c r="A113" s="162" t="s">
        <v>110</v>
      </c>
      <c r="B113" s="163" t="s">
        <v>288</v>
      </c>
      <c r="C113" s="193"/>
      <c r="D113" s="117">
        <f t="shared" si="2"/>
        <v>0</v>
      </c>
      <c r="E113" s="126">
        <f t="shared" si="3"/>
        <v>0</v>
      </c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</row>
    <row r="114" spans="1:32" ht="16.5" hidden="1" thickBot="1" x14ac:dyDescent="0.3">
      <c r="A114" s="162" t="s">
        <v>111</v>
      </c>
      <c r="B114" s="163" t="s">
        <v>289</v>
      </c>
      <c r="C114" s="193"/>
      <c r="D114" s="117">
        <f t="shared" si="2"/>
        <v>0</v>
      </c>
      <c r="E114" s="126">
        <f t="shared" si="3"/>
        <v>0</v>
      </c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</row>
    <row r="115" spans="1:32" ht="16.5" hidden="1" thickBot="1" x14ac:dyDescent="0.3">
      <c r="A115" s="162" t="s">
        <v>112</v>
      </c>
      <c r="B115" s="163" t="s">
        <v>290</v>
      </c>
      <c r="C115" s="193"/>
      <c r="D115" s="117">
        <f t="shared" si="2"/>
        <v>0</v>
      </c>
      <c r="E115" s="126">
        <f t="shared" si="3"/>
        <v>0</v>
      </c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</row>
    <row r="116" spans="1:32" ht="16.5" hidden="1" thickBot="1" x14ac:dyDescent="0.3">
      <c r="A116" s="162" t="s">
        <v>113</v>
      </c>
      <c r="B116" s="163" t="s">
        <v>291</v>
      </c>
      <c r="C116" s="193"/>
      <c r="D116" s="117">
        <f t="shared" si="2"/>
        <v>0</v>
      </c>
      <c r="E116" s="126">
        <f t="shared" si="3"/>
        <v>0</v>
      </c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</row>
    <row r="117" spans="1:32" ht="16.5" hidden="1" thickBot="1" x14ac:dyDescent="0.3">
      <c r="A117" s="162" t="s">
        <v>114</v>
      </c>
      <c r="B117" s="163" t="s">
        <v>292</v>
      </c>
      <c r="C117" s="193"/>
      <c r="D117" s="117">
        <f t="shared" si="2"/>
        <v>0</v>
      </c>
      <c r="E117" s="126">
        <f t="shared" si="3"/>
        <v>0</v>
      </c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</row>
    <row r="118" spans="1:32" ht="16.5" hidden="1" thickBot="1" x14ac:dyDescent="0.3">
      <c r="A118" s="162" t="s">
        <v>115</v>
      </c>
      <c r="B118" s="163" t="s">
        <v>293</v>
      </c>
      <c r="C118" s="193"/>
      <c r="D118" s="117">
        <f t="shared" si="2"/>
        <v>0</v>
      </c>
      <c r="E118" s="126">
        <f t="shared" si="3"/>
        <v>0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</row>
    <row r="119" spans="1:32" ht="16.5" thickBot="1" x14ac:dyDescent="0.3">
      <c r="A119" s="162" t="s">
        <v>116</v>
      </c>
      <c r="B119" s="163" t="s">
        <v>294</v>
      </c>
      <c r="C119" s="193">
        <v>35827</v>
      </c>
      <c r="D119" s="117">
        <f t="shared" si="2"/>
        <v>35827</v>
      </c>
      <c r="E119" s="126">
        <f t="shared" si="3"/>
        <v>0</v>
      </c>
      <c r="J119" s="135"/>
      <c r="K119" s="135"/>
      <c r="L119" s="135"/>
      <c r="M119" s="135">
        <v>1851</v>
      </c>
      <c r="N119" s="135">
        <v>12636</v>
      </c>
      <c r="O119" s="135">
        <v>1477</v>
      </c>
      <c r="P119" s="135">
        <v>1476</v>
      </c>
      <c r="Q119" s="135">
        <v>1476</v>
      </c>
      <c r="R119" s="135"/>
      <c r="S119" s="135">
        <v>10794</v>
      </c>
      <c r="T119" s="135"/>
      <c r="U119" s="135"/>
      <c r="V119" s="135">
        <v>2976</v>
      </c>
      <c r="W119" s="135">
        <v>1476</v>
      </c>
      <c r="X119" s="135"/>
      <c r="Y119" s="135">
        <v>1665</v>
      </c>
      <c r="Z119" s="135"/>
      <c r="AA119" s="135"/>
      <c r="AB119" s="135"/>
      <c r="AC119" s="135"/>
      <c r="AD119" s="135"/>
      <c r="AE119" s="135"/>
      <c r="AF119" s="135"/>
    </row>
    <row r="120" spans="1:32" ht="16.5" hidden="1" thickBot="1" x14ac:dyDescent="0.3">
      <c r="A120" s="162" t="s">
        <v>117</v>
      </c>
      <c r="B120" s="163" t="s">
        <v>295</v>
      </c>
      <c r="C120" s="193"/>
      <c r="D120" s="117">
        <f t="shared" si="2"/>
        <v>0</v>
      </c>
      <c r="E120" s="126">
        <f t="shared" si="3"/>
        <v>0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</row>
    <row r="121" spans="1:32" ht="16.5" hidden="1" thickBot="1" x14ac:dyDescent="0.3">
      <c r="A121" s="162" t="s">
        <v>118</v>
      </c>
      <c r="B121" s="163" t="s">
        <v>296</v>
      </c>
      <c r="C121" s="193"/>
      <c r="D121" s="117">
        <f t="shared" si="2"/>
        <v>0</v>
      </c>
      <c r="E121" s="126">
        <f t="shared" si="3"/>
        <v>0</v>
      </c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</row>
    <row r="122" spans="1:32" ht="16.5" hidden="1" thickBot="1" x14ac:dyDescent="0.3">
      <c r="A122" s="162" t="s">
        <v>119</v>
      </c>
      <c r="B122" s="163" t="s">
        <v>297</v>
      </c>
      <c r="C122" s="193"/>
      <c r="D122" s="117">
        <f t="shared" si="2"/>
        <v>0</v>
      </c>
      <c r="E122" s="126">
        <f t="shared" si="3"/>
        <v>0</v>
      </c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</row>
    <row r="123" spans="1:32" ht="16.5" hidden="1" thickBot="1" x14ac:dyDescent="0.3">
      <c r="A123" s="162" t="s">
        <v>120</v>
      </c>
      <c r="B123" s="163" t="s">
        <v>298</v>
      </c>
      <c r="C123" s="193"/>
      <c r="D123" s="117">
        <f t="shared" si="2"/>
        <v>0</v>
      </c>
      <c r="E123" s="126">
        <f t="shared" si="3"/>
        <v>0</v>
      </c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</row>
    <row r="124" spans="1:32" ht="16.5" hidden="1" thickBot="1" x14ac:dyDescent="0.3">
      <c r="A124" s="162" t="s">
        <v>121</v>
      </c>
      <c r="B124" s="163" t="s">
        <v>299</v>
      </c>
      <c r="C124" s="193"/>
      <c r="D124" s="117">
        <f t="shared" si="2"/>
        <v>0</v>
      </c>
      <c r="E124" s="126">
        <f t="shared" si="3"/>
        <v>0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</row>
    <row r="125" spans="1:32" ht="16.5" hidden="1" thickBot="1" x14ac:dyDescent="0.3">
      <c r="A125" s="162" t="s">
        <v>122</v>
      </c>
      <c r="B125" s="163" t="s">
        <v>300</v>
      </c>
      <c r="C125" s="193"/>
      <c r="D125" s="117">
        <f t="shared" si="2"/>
        <v>0</v>
      </c>
      <c r="E125" s="126">
        <f t="shared" si="3"/>
        <v>0</v>
      </c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</row>
    <row r="126" spans="1:32" ht="16.5" hidden="1" thickBot="1" x14ac:dyDescent="0.3">
      <c r="A126" s="162" t="s">
        <v>123</v>
      </c>
      <c r="B126" s="163" t="s">
        <v>301</v>
      </c>
      <c r="C126" s="193"/>
      <c r="D126" s="117">
        <f t="shared" si="2"/>
        <v>0</v>
      </c>
      <c r="E126" s="126">
        <f t="shared" si="3"/>
        <v>0</v>
      </c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</row>
    <row r="127" spans="1:32" ht="16.5" hidden="1" thickBot="1" x14ac:dyDescent="0.3">
      <c r="A127" s="162" t="s">
        <v>124</v>
      </c>
      <c r="B127" s="163" t="s">
        <v>302</v>
      </c>
      <c r="C127" s="193"/>
      <c r="D127" s="117">
        <f t="shared" si="2"/>
        <v>0</v>
      </c>
      <c r="E127" s="126">
        <f t="shared" si="3"/>
        <v>0</v>
      </c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</row>
    <row r="128" spans="1:32" ht="16.5" hidden="1" thickBot="1" x14ac:dyDescent="0.3">
      <c r="A128" s="162" t="s">
        <v>125</v>
      </c>
      <c r="B128" s="163" t="s">
        <v>303</v>
      </c>
      <c r="C128" s="193"/>
      <c r="D128" s="117">
        <f t="shared" si="2"/>
        <v>0</v>
      </c>
      <c r="E128" s="126">
        <f t="shared" si="3"/>
        <v>0</v>
      </c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</row>
    <row r="129" spans="1:32" ht="16.5" hidden="1" thickBot="1" x14ac:dyDescent="0.3">
      <c r="A129" s="162" t="s">
        <v>126</v>
      </c>
      <c r="B129" s="163" t="s">
        <v>304</v>
      </c>
      <c r="C129" s="193"/>
      <c r="D129" s="117">
        <f t="shared" si="2"/>
        <v>0</v>
      </c>
      <c r="E129" s="126">
        <f t="shared" si="3"/>
        <v>0</v>
      </c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</row>
    <row r="130" spans="1:32" ht="16.5" hidden="1" thickBot="1" x14ac:dyDescent="0.3">
      <c r="A130" s="162" t="s">
        <v>127</v>
      </c>
      <c r="B130" s="163" t="s">
        <v>305</v>
      </c>
      <c r="C130" s="193"/>
      <c r="D130" s="117">
        <f t="shared" si="2"/>
        <v>0</v>
      </c>
      <c r="E130" s="126">
        <f t="shared" si="3"/>
        <v>0</v>
      </c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</row>
    <row r="131" spans="1:32" ht="16.5" thickBot="1" x14ac:dyDescent="0.3">
      <c r="A131" s="162" t="s">
        <v>128</v>
      </c>
      <c r="B131" s="163" t="s">
        <v>306</v>
      </c>
      <c r="C131" s="193">
        <v>48876</v>
      </c>
      <c r="D131" s="117">
        <f t="shared" si="2"/>
        <v>0</v>
      </c>
      <c r="E131" s="126">
        <f t="shared" si="3"/>
        <v>48876</v>
      </c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</row>
    <row r="132" spans="1:32" ht="16.5" hidden="1" thickBot="1" x14ac:dyDescent="0.3">
      <c r="A132" s="162" t="s">
        <v>129</v>
      </c>
      <c r="B132" s="163" t="s">
        <v>307</v>
      </c>
      <c r="C132" s="193"/>
      <c r="D132" s="117">
        <f t="shared" si="2"/>
        <v>0</v>
      </c>
      <c r="E132" s="126">
        <f t="shared" si="3"/>
        <v>0</v>
      </c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</row>
    <row r="133" spans="1:32" ht="16.5" hidden="1" thickBot="1" x14ac:dyDescent="0.3">
      <c r="A133" s="162" t="s">
        <v>130</v>
      </c>
      <c r="B133" s="163" t="s">
        <v>308</v>
      </c>
      <c r="C133" s="193"/>
      <c r="D133" s="117">
        <f t="shared" si="2"/>
        <v>0</v>
      </c>
      <c r="E133" s="126">
        <f t="shared" si="3"/>
        <v>0</v>
      </c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</row>
    <row r="134" spans="1:32" ht="16.5" hidden="1" thickBot="1" x14ac:dyDescent="0.3">
      <c r="A134" s="162" t="s">
        <v>131</v>
      </c>
      <c r="B134" s="163" t="s">
        <v>309</v>
      </c>
      <c r="C134" s="193"/>
      <c r="D134" s="117">
        <f t="shared" si="2"/>
        <v>0</v>
      </c>
      <c r="E134" s="126">
        <f t="shared" si="3"/>
        <v>0</v>
      </c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</row>
    <row r="135" spans="1:32" ht="16.5" hidden="1" thickBot="1" x14ac:dyDescent="0.3">
      <c r="A135" s="162" t="s">
        <v>132</v>
      </c>
      <c r="B135" s="163" t="s">
        <v>310</v>
      </c>
      <c r="C135" s="193"/>
      <c r="D135" s="117">
        <f t="shared" si="2"/>
        <v>0</v>
      </c>
      <c r="E135" s="126">
        <f t="shared" si="3"/>
        <v>0</v>
      </c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</row>
    <row r="136" spans="1:32" ht="16.5" hidden="1" thickBot="1" x14ac:dyDescent="0.3">
      <c r="A136" s="162" t="s">
        <v>133</v>
      </c>
      <c r="B136" s="163" t="s">
        <v>311</v>
      </c>
      <c r="C136" s="193"/>
      <c r="D136" s="117">
        <f t="shared" si="2"/>
        <v>0</v>
      </c>
      <c r="E136" s="126">
        <f t="shared" si="3"/>
        <v>0</v>
      </c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</row>
    <row r="137" spans="1:32" ht="16.5" hidden="1" thickBot="1" x14ac:dyDescent="0.3">
      <c r="A137" s="162" t="s">
        <v>134</v>
      </c>
      <c r="B137" s="163" t="s">
        <v>312</v>
      </c>
      <c r="C137" s="193"/>
      <c r="D137" s="117">
        <f t="shared" si="2"/>
        <v>0</v>
      </c>
      <c r="E137" s="126">
        <f t="shared" si="3"/>
        <v>0</v>
      </c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</row>
    <row r="138" spans="1:32" ht="16.5" hidden="1" thickBot="1" x14ac:dyDescent="0.3">
      <c r="A138" s="162" t="s">
        <v>135</v>
      </c>
      <c r="B138" s="163" t="s">
        <v>313</v>
      </c>
      <c r="C138" s="193"/>
      <c r="D138" s="117">
        <f t="shared" si="2"/>
        <v>0</v>
      </c>
      <c r="E138" s="126">
        <f t="shared" si="3"/>
        <v>0</v>
      </c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</row>
    <row r="139" spans="1:32" ht="16.5" hidden="1" thickBot="1" x14ac:dyDescent="0.3">
      <c r="A139" s="162" t="s">
        <v>136</v>
      </c>
      <c r="B139" s="163" t="s">
        <v>314</v>
      </c>
      <c r="C139" s="193"/>
      <c r="D139" s="117">
        <f t="shared" si="2"/>
        <v>0</v>
      </c>
      <c r="E139" s="126">
        <f t="shared" si="3"/>
        <v>0</v>
      </c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</row>
    <row r="140" spans="1:32" ht="16.5" hidden="1" thickBot="1" x14ac:dyDescent="0.3">
      <c r="A140" s="162" t="s">
        <v>137</v>
      </c>
      <c r="B140" s="163" t="s">
        <v>315</v>
      </c>
      <c r="C140" s="193"/>
      <c r="D140" s="117">
        <f t="shared" si="2"/>
        <v>0</v>
      </c>
      <c r="E140" s="126">
        <f t="shared" si="3"/>
        <v>0</v>
      </c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</row>
    <row r="141" spans="1:32" ht="16.5" hidden="1" thickBot="1" x14ac:dyDescent="0.3">
      <c r="A141" s="162" t="s">
        <v>138</v>
      </c>
      <c r="B141" s="163" t="s">
        <v>316</v>
      </c>
      <c r="C141" s="193"/>
      <c r="D141" s="117">
        <f t="shared" ref="D141:D196" si="4">SUM(F141:AF141)</f>
        <v>0</v>
      </c>
      <c r="E141" s="126">
        <f t="shared" ref="E141:E196" si="5">C141-D141</f>
        <v>0</v>
      </c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</row>
    <row r="142" spans="1:32" ht="16.5" hidden="1" thickBot="1" x14ac:dyDescent="0.3">
      <c r="A142" s="162" t="s">
        <v>139</v>
      </c>
      <c r="B142" s="163" t="s">
        <v>317</v>
      </c>
      <c r="C142" s="193"/>
      <c r="D142" s="117">
        <f t="shared" si="4"/>
        <v>0</v>
      </c>
      <c r="E142" s="126">
        <f t="shared" si="5"/>
        <v>0</v>
      </c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</row>
    <row r="143" spans="1:32" ht="16.5" hidden="1" thickBot="1" x14ac:dyDescent="0.3">
      <c r="A143" s="162" t="s">
        <v>140</v>
      </c>
      <c r="B143" s="163" t="s">
        <v>412</v>
      </c>
      <c r="C143" s="193"/>
      <c r="D143" s="117">
        <f t="shared" si="4"/>
        <v>0</v>
      </c>
      <c r="E143" s="126">
        <f t="shared" si="5"/>
        <v>0</v>
      </c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</row>
    <row r="144" spans="1:32" ht="16.5" hidden="1" thickBot="1" x14ac:dyDescent="0.3">
      <c r="A144" s="162" t="s">
        <v>141</v>
      </c>
      <c r="B144" s="163" t="s">
        <v>319</v>
      </c>
      <c r="C144" s="193"/>
      <c r="D144" s="117">
        <f t="shared" si="4"/>
        <v>0</v>
      </c>
      <c r="E144" s="126">
        <f t="shared" si="5"/>
        <v>0</v>
      </c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</row>
    <row r="145" spans="1:32" ht="16.5" hidden="1" thickBot="1" x14ac:dyDescent="0.3">
      <c r="A145" s="162" t="s">
        <v>142</v>
      </c>
      <c r="B145" s="163" t="s">
        <v>320</v>
      </c>
      <c r="C145" s="193"/>
      <c r="D145" s="117">
        <f t="shared" si="4"/>
        <v>0</v>
      </c>
      <c r="E145" s="126">
        <f t="shared" si="5"/>
        <v>0</v>
      </c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</row>
    <row r="146" spans="1:32" ht="16.5" hidden="1" thickBot="1" x14ac:dyDescent="0.3">
      <c r="A146" s="162" t="s">
        <v>143</v>
      </c>
      <c r="B146" s="163" t="s">
        <v>321</v>
      </c>
      <c r="C146" s="193"/>
      <c r="D146" s="117">
        <f t="shared" si="4"/>
        <v>0</v>
      </c>
      <c r="E146" s="126">
        <f t="shared" si="5"/>
        <v>0</v>
      </c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</row>
    <row r="147" spans="1:32" ht="16.5" hidden="1" thickBot="1" x14ac:dyDescent="0.3">
      <c r="A147" s="162" t="s">
        <v>144</v>
      </c>
      <c r="B147" s="163" t="s">
        <v>322</v>
      </c>
      <c r="C147" s="193"/>
      <c r="D147" s="117">
        <f t="shared" si="4"/>
        <v>0</v>
      </c>
      <c r="E147" s="126">
        <f t="shared" si="5"/>
        <v>0</v>
      </c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</row>
    <row r="148" spans="1:32" ht="16.5" thickBot="1" x14ac:dyDescent="0.3">
      <c r="A148" s="162" t="s">
        <v>145</v>
      </c>
      <c r="B148" s="163" t="s">
        <v>323</v>
      </c>
      <c r="C148" s="193">
        <v>154056</v>
      </c>
      <c r="D148" s="117">
        <f t="shared" si="4"/>
        <v>154056</v>
      </c>
      <c r="E148" s="126">
        <f t="shared" si="5"/>
        <v>0</v>
      </c>
      <c r="J148" s="135"/>
      <c r="K148" s="135"/>
      <c r="L148" s="135"/>
      <c r="M148" s="135">
        <v>16714</v>
      </c>
      <c r="N148" s="135">
        <v>25758</v>
      </c>
      <c r="O148" s="135"/>
      <c r="P148" s="135">
        <v>3485</v>
      </c>
      <c r="Q148" s="135"/>
      <c r="R148" s="135">
        <v>64251</v>
      </c>
      <c r="S148" s="135"/>
      <c r="T148" s="135">
        <v>4482</v>
      </c>
      <c r="U148" s="135"/>
      <c r="V148" s="135"/>
      <c r="W148" s="135"/>
      <c r="X148" s="135">
        <v>34976</v>
      </c>
      <c r="Y148" s="135">
        <v>2376</v>
      </c>
      <c r="Z148" s="135">
        <v>2014</v>
      </c>
      <c r="AA148" s="135"/>
      <c r="AB148" s="135"/>
      <c r="AC148" s="135"/>
      <c r="AD148" s="135"/>
      <c r="AE148" s="135"/>
      <c r="AF148" s="135"/>
    </row>
    <row r="149" spans="1:32" ht="16.5" hidden="1" thickBot="1" x14ac:dyDescent="0.3">
      <c r="A149" s="162" t="s">
        <v>146</v>
      </c>
      <c r="B149" s="163" t="s">
        <v>324</v>
      </c>
      <c r="C149" s="193"/>
      <c r="D149" s="117">
        <f t="shared" si="4"/>
        <v>0</v>
      </c>
      <c r="E149" s="126">
        <f t="shared" si="5"/>
        <v>0</v>
      </c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</row>
    <row r="150" spans="1:32" ht="16.5" hidden="1" thickBot="1" x14ac:dyDescent="0.3">
      <c r="A150" s="162" t="s">
        <v>147</v>
      </c>
      <c r="B150" s="163" t="s">
        <v>325</v>
      </c>
      <c r="C150" s="193"/>
      <c r="D150" s="117">
        <f t="shared" si="4"/>
        <v>0</v>
      </c>
      <c r="E150" s="126">
        <f t="shared" si="5"/>
        <v>0</v>
      </c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</row>
    <row r="151" spans="1:32" ht="16.5" hidden="1" thickBot="1" x14ac:dyDescent="0.3">
      <c r="A151" s="162" t="s">
        <v>148</v>
      </c>
      <c r="B151" s="163" t="s">
        <v>326</v>
      </c>
      <c r="C151" s="193"/>
      <c r="D151" s="117">
        <f t="shared" si="4"/>
        <v>0</v>
      </c>
      <c r="E151" s="126">
        <f t="shared" si="5"/>
        <v>0</v>
      </c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</row>
    <row r="152" spans="1:32" ht="16.5" hidden="1" thickBot="1" x14ac:dyDescent="0.3">
      <c r="A152" s="162" t="s">
        <v>149</v>
      </c>
      <c r="B152" s="163" t="s">
        <v>327</v>
      </c>
      <c r="C152" s="193"/>
      <c r="D152" s="117">
        <f t="shared" si="4"/>
        <v>0</v>
      </c>
      <c r="E152" s="126">
        <f t="shared" si="5"/>
        <v>0</v>
      </c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</row>
    <row r="153" spans="1:32" ht="16.5" hidden="1" thickBot="1" x14ac:dyDescent="0.3">
      <c r="A153" s="162" t="s">
        <v>150</v>
      </c>
      <c r="B153" s="163" t="s">
        <v>328</v>
      </c>
      <c r="C153" s="193"/>
      <c r="D153" s="117">
        <f t="shared" si="4"/>
        <v>0</v>
      </c>
      <c r="E153" s="126">
        <f t="shared" si="5"/>
        <v>0</v>
      </c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</row>
    <row r="154" spans="1:32" ht="16.5" hidden="1" thickBot="1" x14ac:dyDescent="0.3">
      <c r="A154" s="162" t="s">
        <v>151</v>
      </c>
      <c r="B154" s="163" t="s">
        <v>329</v>
      </c>
      <c r="C154" s="193"/>
      <c r="D154" s="117">
        <f t="shared" si="4"/>
        <v>0</v>
      </c>
      <c r="E154" s="126">
        <f t="shared" si="5"/>
        <v>0</v>
      </c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</row>
    <row r="155" spans="1:32" ht="16.5" hidden="1" thickBot="1" x14ac:dyDescent="0.3">
      <c r="A155" s="162" t="s">
        <v>152</v>
      </c>
      <c r="B155" s="163" t="s">
        <v>330</v>
      </c>
      <c r="C155" s="193"/>
      <c r="D155" s="117">
        <f t="shared" si="4"/>
        <v>0</v>
      </c>
      <c r="E155" s="126">
        <f t="shared" si="5"/>
        <v>0</v>
      </c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</row>
    <row r="156" spans="1:32" ht="16.5" hidden="1" thickBot="1" x14ac:dyDescent="0.3">
      <c r="A156" s="162" t="s">
        <v>153</v>
      </c>
      <c r="B156" s="163" t="s">
        <v>331</v>
      </c>
      <c r="C156" s="193"/>
      <c r="D156" s="117">
        <f t="shared" si="4"/>
        <v>0</v>
      </c>
      <c r="E156" s="126">
        <f t="shared" si="5"/>
        <v>0</v>
      </c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</row>
    <row r="157" spans="1:32" ht="16.5" hidden="1" thickBot="1" x14ac:dyDescent="0.3">
      <c r="A157" s="162" t="s">
        <v>154</v>
      </c>
      <c r="B157" s="163" t="s">
        <v>332</v>
      </c>
      <c r="C157" s="193"/>
      <c r="D157" s="117">
        <f t="shared" si="4"/>
        <v>0</v>
      </c>
      <c r="E157" s="126">
        <f t="shared" si="5"/>
        <v>0</v>
      </c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</row>
    <row r="158" spans="1:32" ht="16.5" hidden="1" thickBot="1" x14ac:dyDescent="0.3">
      <c r="A158" s="162" t="s">
        <v>155</v>
      </c>
      <c r="B158" s="163" t="s">
        <v>333</v>
      </c>
      <c r="C158" s="193"/>
      <c r="D158" s="117">
        <f t="shared" si="4"/>
        <v>0</v>
      </c>
      <c r="E158" s="126">
        <f t="shared" si="5"/>
        <v>0</v>
      </c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</row>
    <row r="159" spans="1:32" ht="16.5" hidden="1" thickBot="1" x14ac:dyDescent="0.3">
      <c r="A159" s="162" t="s">
        <v>156</v>
      </c>
      <c r="B159" s="163" t="s">
        <v>334</v>
      </c>
      <c r="C159" s="193"/>
      <c r="D159" s="117">
        <f t="shared" si="4"/>
        <v>0</v>
      </c>
      <c r="E159" s="126">
        <f t="shared" si="5"/>
        <v>0</v>
      </c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</row>
    <row r="160" spans="1:32" ht="16.5" hidden="1" thickBot="1" x14ac:dyDescent="0.3">
      <c r="A160" s="162" t="s">
        <v>157</v>
      </c>
      <c r="B160" s="163" t="s">
        <v>335</v>
      </c>
      <c r="C160" s="193"/>
      <c r="D160" s="117">
        <f t="shared" si="4"/>
        <v>0</v>
      </c>
      <c r="E160" s="126">
        <f t="shared" si="5"/>
        <v>0</v>
      </c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</row>
    <row r="161" spans="1:32" ht="16.5" hidden="1" thickBot="1" x14ac:dyDescent="0.3">
      <c r="A161" s="162" t="s">
        <v>158</v>
      </c>
      <c r="B161" s="163" t="s">
        <v>336</v>
      </c>
      <c r="C161" s="193"/>
      <c r="D161" s="117">
        <f t="shared" si="4"/>
        <v>0</v>
      </c>
      <c r="E161" s="126">
        <f t="shared" si="5"/>
        <v>0</v>
      </c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</row>
    <row r="162" spans="1:32" ht="16.5" hidden="1" thickBot="1" x14ac:dyDescent="0.3">
      <c r="A162" s="162" t="s">
        <v>159</v>
      </c>
      <c r="B162" s="163" t="s">
        <v>337</v>
      </c>
      <c r="C162" s="193"/>
      <c r="D162" s="117">
        <f t="shared" si="4"/>
        <v>0</v>
      </c>
      <c r="E162" s="126">
        <f t="shared" si="5"/>
        <v>0</v>
      </c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</row>
    <row r="163" spans="1:32" ht="16.5" hidden="1" thickBot="1" x14ac:dyDescent="0.3">
      <c r="A163" s="162" t="s">
        <v>160</v>
      </c>
      <c r="B163" s="163" t="s">
        <v>338</v>
      </c>
      <c r="C163" s="193"/>
      <c r="D163" s="117">
        <f t="shared" si="4"/>
        <v>0</v>
      </c>
      <c r="E163" s="126">
        <f t="shared" si="5"/>
        <v>0</v>
      </c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</row>
    <row r="164" spans="1:32" ht="16.5" hidden="1" thickBot="1" x14ac:dyDescent="0.3">
      <c r="A164" s="162" t="s">
        <v>161</v>
      </c>
      <c r="B164" s="163" t="s">
        <v>339</v>
      </c>
      <c r="C164" s="193"/>
      <c r="D164" s="117">
        <f t="shared" si="4"/>
        <v>0</v>
      </c>
      <c r="E164" s="126">
        <f t="shared" si="5"/>
        <v>0</v>
      </c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</row>
    <row r="165" spans="1:32" ht="16.5" hidden="1" thickBot="1" x14ac:dyDescent="0.3">
      <c r="A165" s="162" t="s">
        <v>162</v>
      </c>
      <c r="B165" s="163" t="s">
        <v>340</v>
      </c>
      <c r="C165" s="193"/>
      <c r="D165" s="117">
        <f t="shared" si="4"/>
        <v>0</v>
      </c>
      <c r="E165" s="126">
        <f t="shared" si="5"/>
        <v>0</v>
      </c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</row>
    <row r="166" spans="1:32" ht="16.5" hidden="1" thickBot="1" x14ac:dyDescent="0.3">
      <c r="A166" s="162" t="s">
        <v>163</v>
      </c>
      <c r="B166" s="163" t="s">
        <v>341</v>
      </c>
      <c r="C166" s="193"/>
      <c r="D166" s="117">
        <f t="shared" si="4"/>
        <v>0</v>
      </c>
      <c r="E166" s="126">
        <f t="shared" si="5"/>
        <v>0</v>
      </c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</row>
    <row r="167" spans="1:32" ht="16.5" hidden="1" thickBot="1" x14ac:dyDescent="0.3">
      <c r="A167" s="162" t="s">
        <v>164</v>
      </c>
      <c r="B167" s="163" t="s">
        <v>342</v>
      </c>
      <c r="C167" s="193"/>
      <c r="D167" s="117">
        <f t="shared" si="4"/>
        <v>0</v>
      </c>
      <c r="E167" s="126">
        <f t="shared" si="5"/>
        <v>0</v>
      </c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</row>
    <row r="168" spans="1:32" ht="16.5" hidden="1" thickBot="1" x14ac:dyDescent="0.3">
      <c r="A168" s="162" t="s">
        <v>165</v>
      </c>
      <c r="B168" s="163" t="s">
        <v>343</v>
      </c>
      <c r="C168" s="193"/>
      <c r="D168" s="117">
        <f t="shared" si="4"/>
        <v>0</v>
      </c>
      <c r="E168" s="126">
        <f t="shared" si="5"/>
        <v>0</v>
      </c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</row>
    <row r="169" spans="1:32" ht="16.5" hidden="1" thickBot="1" x14ac:dyDescent="0.3">
      <c r="A169" s="162" t="s">
        <v>166</v>
      </c>
      <c r="B169" s="163" t="s">
        <v>344</v>
      </c>
      <c r="C169" s="193"/>
      <c r="D169" s="117">
        <f t="shared" si="4"/>
        <v>0</v>
      </c>
      <c r="E169" s="126">
        <f t="shared" si="5"/>
        <v>0</v>
      </c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</row>
    <row r="170" spans="1:32" ht="16.5" hidden="1" thickBot="1" x14ac:dyDescent="0.3">
      <c r="A170" s="162" t="s">
        <v>167</v>
      </c>
      <c r="B170" s="163" t="s">
        <v>345</v>
      </c>
      <c r="C170" s="193"/>
      <c r="D170" s="117">
        <f t="shared" si="4"/>
        <v>0</v>
      </c>
      <c r="E170" s="126">
        <f t="shared" si="5"/>
        <v>0</v>
      </c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</row>
    <row r="171" spans="1:32" ht="16.5" hidden="1" thickBot="1" x14ac:dyDescent="0.3">
      <c r="A171" s="162" t="s">
        <v>168</v>
      </c>
      <c r="B171" s="163" t="s">
        <v>346</v>
      </c>
      <c r="C171" s="193"/>
      <c r="D171" s="117">
        <f t="shared" si="4"/>
        <v>0</v>
      </c>
      <c r="E171" s="126">
        <f t="shared" si="5"/>
        <v>0</v>
      </c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</row>
    <row r="172" spans="1:32" ht="16.5" hidden="1" thickBot="1" x14ac:dyDescent="0.3">
      <c r="A172" s="162" t="s">
        <v>169</v>
      </c>
      <c r="B172" s="163" t="s">
        <v>347</v>
      </c>
      <c r="C172" s="193"/>
      <c r="D172" s="117">
        <f t="shared" si="4"/>
        <v>0</v>
      </c>
      <c r="E172" s="126">
        <f t="shared" si="5"/>
        <v>0</v>
      </c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</row>
    <row r="173" spans="1:32" ht="16.5" hidden="1" thickBot="1" x14ac:dyDescent="0.3">
      <c r="A173" s="162" t="s">
        <v>170</v>
      </c>
      <c r="B173" s="163" t="s">
        <v>348</v>
      </c>
      <c r="C173" s="193"/>
      <c r="D173" s="117">
        <f t="shared" si="4"/>
        <v>0</v>
      </c>
      <c r="E173" s="126">
        <f t="shared" si="5"/>
        <v>0</v>
      </c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</row>
    <row r="174" spans="1:32" ht="16.5" hidden="1" thickBot="1" x14ac:dyDescent="0.3">
      <c r="A174" s="162" t="s">
        <v>171</v>
      </c>
      <c r="B174" s="163" t="s">
        <v>349</v>
      </c>
      <c r="C174" s="193"/>
      <c r="D174" s="117">
        <f t="shared" si="4"/>
        <v>0</v>
      </c>
      <c r="E174" s="126">
        <f t="shared" si="5"/>
        <v>0</v>
      </c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</row>
    <row r="175" spans="1:32" ht="16.5" hidden="1" thickBot="1" x14ac:dyDescent="0.3">
      <c r="A175" s="162" t="s">
        <v>172</v>
      </c>
      <c r="B175" s="163" t="s">
        <v>350</v>
      </c>
      <c r="C175" s="193"/>
      <c r="D175" s="117">
        <f t="shared" si="4"/>
        <v>0</v>
      </c>
      <c r="E175" s="126">
        <f t="shared" si="5"/>
        <v>0</v>
      </c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</row>
    <row r="176" spans="1:32" ht="16.5" hidden="1" thickBot="1" x14ac:dyDescent="0.3">
      <c r="A176" s="162" t="s">
        <v>173</v>
      </c>
      <c r="B176" s="163" t="s">
        <v>351</v>
      </c>
      <c r="C176" s="193"/>
      <c r="D176" s="117">
        <f t="shared" si="4"/>
        <v>0</v>
      </c>
      <c r="E176" s="126">
        <f t="shared" si="5"/>
        <v>0</v>
      </c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</row>
    <row r="177" spans="1:32" ht="16.5" hidden="1" thickBot="1" x14ac:dyDescent="0.3">
      <c r="A177" s="162" t="s">
        <v>174</v>
      </c>
      <c r="B177" s="163" t="s">
        <v>352</v>
      </c>
      <c r="C177" s="193"/>
      <c r="D177" s="117">
        <f t="shared" si="4"/>
        <v>0</v>
      </c>
      <c r="E177" s="126">
        <f t="shared" si="5"/>
        <v>0</v>
      </c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</row>
    <row r="178" spans="1:32" ht="16.5" hidden="1" thickBot="1" x14ac:dyDescent="0.3">
      <c r="A178" s="162" t="s">
        <v>175</v>
      </c>
      <c r="B178" s="163" t="s">
        <v>353</v>
      </c>
      <c r="C178" s="193"/>
      <c r="D178" s="117">
        <f t="shared" si="4"/>
        <v>0</v>
      </c>
      <c r="E178" s="126">
        <f t="shared" si="5"/>
        <v>0</v>
      </c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</row>
    <row r="179" spans="1:32" ht="16.5" thickBot="1" x14ac:dyDescent="0.3">
      <c r="A179" s="162" t="s">
        <v>176</v>
      </c>
      <c r="B179" s="163" t="s">
        <v>354</v>
      </c>
      <c r="C179" s="193">
        <v>10748</v>
      </c>
      <c r="D179" s="117">
        <f t="shared" si="4"/>
        <v>5492</v>
      </c>
      <c r="E179" s="126">
        <f t="shared" si="5"/>
        <v>5256</v>
      </c>
      <c r="J179" s="135"/>
      <c r="K179" s="135"/>
      <c r="L179" s="135"/>
      <c r="M179" s="135"/>
      <c r="N179" s="135">
        <v>352</v>
      </c>
      <c r="O179" s="135">
        <v>815</v>
      </c>
      <c r="P179" s="135">
        <v>624</v>
      </c>
      <c r="Q179" s="135">
        <v>625</v>
      </c>
      <c r="R179" s="135">
        <v>768</v>
      </c>
      <c r="S179" s="135">
        <v>625</v>
      </c>
      <c r="T179" s="135">
        <v>768</v>
      </c>
      <c r="U179" s="135"/>
      <c r="V179" s="135"/>
      <c r="W179" s="135"/>
      <c r="X179" s="135"/>
      <c r="Y179" s="135"/>
      <c r="Z179" s="135">
        <v>866</v>
      </c>
      <c r="AA179" s="135">
        <v>49</v>
      </c>
      <c r="AB179" s="135"/>
      <c r="AC179" s="135"/>
      <c r="AD179" s="135"/>
      <c r="AE179" s="135"/>
      <c r="AF179" s="135"/>
    </row>
    <row r="180" spans="1:32" ht="16.5" hidden="1" thickBot="1" x14ac:dyDescent="0.3">
      <c r="A180" s="162" t="s">
        <v>177</v>
      </c>
      <c r="B180" s="163" t="s">
        <v>355</v>
      </c>
      <c r="C180" s="193">
        <v>0</v>
      </c>
      <c r="D180" s="117">
        <f t="shared" si="4"/>
        <v>0</v>
      </c>
      <c r="E180" s="126">
        <f t="shared" si="5"/>
        <v>0</v>
      </c>
    </row>
    <row r="181" spans="1:32" ht="16.5" hidden="1" thickBot="1" x14ac:dyDescent="0.3">
      <c r="A181" s="162" t="s">
        <v>178</v>
      </c>
      <c r="B181" s="163" t="s">
        <v>356</v>
      </c>
      <c r="C181" s="193">
        <v>0</v>
      </c>
      <c r="D181" s="117">
        <f t="shared" si="4"/>
        <v>0</v>
      </c>
      <c r="E181" s="126">
        <f t="shared" si="5"/>
        <v>0</v>
      </c>
    </row>
    <row r="182" spans="1:32" ht="16.5" hidden="1" thickBot="1" x14ac:dyDescent="0.3">
      <c r="A182" s="162" t="s">
        <v>179</v>
      </c>
      <c r="B182" s="163" t="s">
        <v>357</v>
      </c>
      <c r="C182" s="193">
        <v>0</v>
      </c>
      <c r="D182" s="117">
        <f t="shared" si="4"/>
        <v>0</v>
      </c>
      <c r="E182" s="126">
        <f t="shared" si="5"/>
        <v>0</v>
      </c>
    </row>
    <row r="183" spans="1:32" ht="16.5" hidden="1" thickBot="1" x14ac:dyDescent="0.3">
      <c r="A183" s="162" t="s">
        <v>180</v>
      </c>
      <c r="B183" s="163" t="s">
        <v>358</v>
      </c>
      <c r="C183" s="193">
        <v>0</v>
      </c>
      <c r="D183" s="117">
        <f t="shared" si="4"/>
        <v>0</v>
      </c>
      <c r="E183" s="126">
        <f t="shared" si="5"/>
        <v>0</v>
      </c>
    </row>
    <row r="184" spans="1:32" ht="16.5" hidden="1" thickBot="1" x14ac:dyDescent="0.3">
      <c r="A184" s="162" t="s">
        <v>181</v>
      </c>
      <c r="B184" s="163" t="s">
        <v>359</v>
      </c>
      <c r="C184" s="193">
        <v>0</v>
      </c>
      <c r="D184" s="117">
        <f t="shared" si="4"/>
        <v>0</v>
      </c>
      <c r="E184" s="126">
        <f t="shared" si="5"/>
        <v>0</v>
      </c>
    </row>
    <row r="185" spans="1:32" ht="16.5" hidden="1" thickBot="1" x14ac:dyDescent="0.3">
      <c r="A185" s="162" t="s">
        <v>182</v>
      </c>
      <c r="B185" s="163" t="s">
        <v>360</v>
      </c>
      <c r="C185" s="193">
        <v>0</v>
      </c>
      <c r="D185" s="117">
        <f t="shared" si="4"/>
        <v>0</v>
      </c>
      <c r="E185" s="126">
        <f t="shared" si="5"/>
        <v>0</v>
      </c>
    </row>
    <row r="186" spans="1:32" ht="16.5" hidden="1" thickBot="1" x14ac:dyDescent="0.3">
      <c r="A186" s="162" t="s">
        <v>183</v>
      </c>
      <c r="B186" s="163" t="s">
        <v>361</v>
      </c>
      <c r="C186" s="193">
        <v>0</v>
      </c>
      <c r="D186" s="117">
        <f t="shared" si="4"/>
        <v>0</v>
      </c>
      <c r="E186" s="126">
        <f t="shared" si="5"/>
        <v>0</v>
      </c>
    </row>
    <row r="187" spans="1:32" ht="16.5" hidden="1" thickBot="1" x14ac:dyDescent="0.3">
      <c r="A187" s="162" t="s">
        <v>184</v>
      </c>
      <c r="B187" s="163" t="s">
        <v>362</v>
      </c>
      <c r="C187" s="193">
        <v>0</v>
      </c>
      <c r="D187" s="117">
        <f t="shared" si="4"/>
        <v>0</v>
      </c>
      <c r="E187" s="126">
        <f t="shared" si="5"/>
        <v>0</v>
      </c>
    </row>
    <row r="188" spans="1:32" ht="16.5" hidden="1" thickBot="1" x14ac:dyDescent="0.3">
      <c r="A188" s="162" t="s">
        <v>185</v>
      </c>
      <c r="B188" s="163" t="s">
        <v>363</v>
      </c>
      <c r="C188" s="193">
        <v>0</v>
      </c>
      <c r="D188" s="117">
        <f t="shared" si="4"/>
        <v>0</v>
      </c>
      <c r="E188" s="126">
        <f t="shared" si="5"/>
        <v>0</v>
      </c>
    </row>
    <row r="189" spans="1:32" ht="16.5" hidden="1" thickBot="1" x14ac:dyDescent="0.3">
      <c r="A189" s="162" t="s">
        <v>186</v>
      </c>
      <c r="B189" s="163" t="s">
        <v>364</v>
      </c>
      <c r="C189" s="193">
        <v>0</v>
      </c>
      <c r="D189" s="117">
        <f t="shared" si="4"/>
        <v>0</v>
      </c>
      <c r="E189" s="126">
        <f t="shared" si="5"/>
        <v>0</v>
      </c>
    </row>
    <row r="190" spans="1:32" ht="16.5" hidden="1" thickBot="1" x14ac:dyDescent="0.3">
      <c r="A190" s="162" t="s">
        <v>368</v>
      </c>
      <c r="B190" s="163" t="s">
        <v>367</v>
      </c>
      <c r="C190" s="193">
        <v>0</v>
      </c>
      <c r="D190" s="117">
        <f t="shared" si="4"/>
        <v>0</v>
      </c>
      <c r="E190" s="126">
        <f t="shared" si="5"/>
        <v>0</v>
      </c>
    </row>
    <row r="191" spans="1:32" ht="16.5" hidden="1" thickBot="1" x14ac:dyDescent="0.3">
      <c r="A191" s="166">
        <v>8001</v>
      </c>
      <c r="B191" s="163" t="s">
        <v>366</v>
      </c>
      <c r="C191" s="193">
        <v>0</v>
      </c>
      <c r="D191" s="117">
        <f t="shared" si="4"/>
        <v>0</v>
      </c>
      <c r="E191" s="126">
        <f t="shared" si="5"/>
        <v>0</v>
      </c>
    </row>
    <row r="192" spans="1:32" ht="16.5" hidden="1" thickBot="1" x14ac:dyDescent="0.3">
      <c r="A192" s="170" t="s">
        <v>376</v>
      </c>
      <c r="B192" s="167" t="s">
        <v>381</v>
      </c>
      <c r="C192" s="193">
        <v>0</v>
      </c>
      <c r="D192" s="117">
        <f t="shared" si="4"/>
        <v>0</v>
      </c>
      <c r="E192" s="126">
        <f t="shared" si="5"/>
        <v>0</v>
      </c>
    </row>
    <row r="193" spans="1:32" ht="16.5" hidden="1" thickBot="1" x14ac:dyDescent="0.3">
      <c r="A193" s="170" t="s">
        <v>377</v>
      </c>
      <c r="B193" s="167" t="s">
        <v>382</v>
      </c>
      <c r="C193" s="193">
        <v>0</v>
      </c>
      <c r="D193" s="117">
        <f t="shared" si="4"/>
        <v>0</v>
      </c>
      <c r="E193" s="126">
        <f t="shared" si="5"/>
        <v>0</v>
      </c>
    </row>
    <row r="194" spans="1:32" ht="16.5" hidden="1" thickBot="1" x14ac:dyDescent="0.3">
      <c r="A194" s="170" t="s">
        <v>378</v>
      </c>
      <c r="B194" s="168" t="s">
        <v>383</v>
      </c>
      <c r="C194" s="193">
        <v>0</v>
      </c>
      <c r="D194" s="117">
        <f t="shared" si="4"/>
        <v>0</v>
      </c>
      <c r="E194" s="126">
        <f t="shared" si="5"/>
        <v>0</v>
      </c>
    </row>
    <row r="195" spans="1:32" ht="16.5" hidden="1" thickBot="1" x14ac:dyDescent="0.3">
      <c r="A195" s="170" t="s">
        <v>379</v>
      </c>
      <c r="B195" s="167" t="s">
        <v>384</v>
      </c>
      <c r="C195" s="193">
        <v>0</v>
      </c>
      <c r="D195" s="117">
        <f t="shared" si="4"/>
        <v>0</v>
      </c>
      <c r="E195" s="126">
        <f t="shared" si="5"/>
        <v>0</v>
      </c>
    </row>
    <row r="196" spans="1:32" ht="16.5" hidden="1" thickBot="1" x14ac:dyDescent="0.3">
      <c r="A196" s="170" t="s">
        <v>380</v>
      </c>
      <c r="B196" s="169" t="s">
        <v>385</v>
      </c>
      <c r="C196" s="194">
        <v>0</v>
      </c>
      <c r="D196" s="118">
        <f t="shared" si="4"/>
        <v>0</v>
      </c>
      <c r="E196" s="127">
        <f t="shared" si="5"/>
        <v>0</v>
      </c>
    </row>
    <row r="197" spans="1:32" ht="16.5" thickBot="1" x14ac:dyDescent="0.3">
      <c r="A197" s="170"/>
      <c r="B197" s="169"/>
      <c r="C197" s="195"/>
      <c r="D197" s="184"/>
      <c r="E197" s="185"/>
    </row>
    <row r="198" spans="1:32" ht="16.5" thickBot="1" x14ac:dyDescent="0.3">
      <c r="A198" s="190"/>
      <c r="B198" s="190"/>
      <c r="C198" s="196">
        <f>SUM(C12:C196)</f>
        <v>1431786</v>
      </c>
      <c r="D198" s="196">
        <f t="shared" ref="D198:AF198" si="6">SUM(D12:D196)</f>
        <v>1377655</v>
      </c>
      <c r="E198" s="196">
        <f t="shared" si="6"/>
        <v>54131</v>
      </c>
      <c r="F198" s="196">
        <f t="shared" si="6"/>
        <v>0</v>
      </c>
      <c r="G198" s="196">
        <f t="shared" si="6"/>
        <v>0</v>
      </c>
      <c r="H198" s="196">
        <f t="shared" si="6"/>
        <v>0</v>
      </c>
      <c r="I198" s="196">
        <f t="shared" si="6"/>
        <v>0</v>
      </c>
      <c r="J198" s="196">
        <f t="shared" si="6"/>
        <v>162188</v>
      </c>
      <c r="K198" s="196">
        <f t="shared" si="6"/>
        <v>49097</v>
      </c>
      <c r="L198" s="196">
        <f t="shared" si="6"/>
        <v>117820</v>
      </c>
      <c r="M198" s="196">
        <f t="shared" si="6"/>
        <v>128767</v>
      </c>
      <c r="N198" s="196">
        <f t="shared" si="6"/>
        <v>110685</v>
      </c>
      <c r="O198" s="196">
        <f t="shared" si="6"/>
        <v>164839</v>
      </c>
      <c r="P198" s="196">
        <f t="shared" si="6"/>
        <v>119082</v>
      </c>
      <c r="Q198" s="196">
        <f t="shared" si="6"/>
        <v>83597</v>
      </c>
      <c r="R198" s="196">
        <f t="shared" si="6"/>
        <v>136527</v>
      </c>
      <c r="S198" s="196">
        <f t="shared" si="6"/>
        <v>73490</v>
      </c>
      <c r="T198" s="196">
        <f t="shared" si="6"/>
        <v>28574</v>
      </c>
      <c r="U198" s="196">
        <f t="shared" si="6"/>
        <v>74954</v>
      </c>
      <c r="V198" s="196">
        <f t="shared" si="6"/>
        <v>10980</v>
      </c>
      <c r="W198" s="196">
        <f t="shared" si="6"/>
        <v>6426</v>
      </c>
      <c r="X198" s="196">
        <f t="shared" si="6"/>
        <v>79416</v>
      </c>
      <c r="Y198" s="196">
        <f t="shared" si="6"/>
        <v>28283</v>
      </c>
      <c r="Z198" s="196">
        <f t="shared" si="6"/>
        <v>2881</v>
      </c>
      <c r="AA198" s="196">
        <f t="shared" si="6"/>
        <v>49</v>
      </c>
      <c r="AB198" s="196">
        <f t="shared" si="6"/>
        <v>0</v>
      </c>
      <c r="AC198" s="196">
        <f t="shared" si="6"/>
        <v>0</v>
      </c>
      <c r="AD198" s="196">
        <f t="shared" si="6"/>
        <v>0</v>
      </c>
      <c r="AE198" s="196">
        <f t="shared" si="6"/>
        <v>0</v>
      </c>
      <c r="AF198" s="196">
        <f t="shared" si="6"/>
        <v>0</v>
      </c>
    </row>
    <row r="200" spans="1:32" x14ac:dyDescent="0.25">
      <c r="X200" s="289"/>
    </row>
    <row r="201" spans="1:32" x14ac:dyDescent="0.25">
      <c r="T201" s="289"/>
    </row>
  </sheetData>
  <sheetProtection password="EF3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17"/>
  <sheetViews>
    <sheetView workbookViewId="0">
      <pane xSplit="5" ySplit="10" topLeftCell="Z11" activePane="bottomRight" state="frozen"/>
      <selection pane="topRight" activeCell="F1" sqref="F1"/>
      <selection pane="bottomLeft" activeCell="A18" sqref="A18"/>
      <selection pane="bottomRight" activeCell="Z13" sqref="Z13"/>
    </sheetView>
  </sheetViews>
  <sheetFormatPr defaultColWidth="9.140625" defaultRowHeight="15" x14ac:dyDescent="0.25"/>
  <cols>
    <col min="1" max="1" width="9.140625" style="20" customWidth="1"/>
    <col min="2" max="2" width="36.7109375" style="20" customWidth="1"/>
    <col min="3" max="3" width="20.85546875" style="20" customWidth="1"/>
    <col min="4" max="4" width="18.85546875" style="20" customWidth="1"/>
    <col min="5" max="5" width="17" style="20" customWidth="1"/>
    <col min="6" max="32" width="15.7109375" style="20" customWidth="1"/>
    <col min="33" max="16384" width="9.140625" style="20"/>
  </cols>
  <sheetData>
    <row r="1" spans="1:32" ht="21" x14ac:dyDescent="0.35">
      <c r="A1" s="26" t="s">
        <v>0</v>
      </c>
      <c r="B1" s="27"/>
      <c r="C1" s="28" t="s">
        <v>403</v>
      </c>
      <c r="D1" s="26"/>
      <c r="E1" s="29"/>
      <c r="F1" s="30"/>
      <c r="G1" s="30"/>
      <c r="H1" s="28" t="str">
        <f>A1</f>
        <v>Grant:</v>
      </c>
      <c r="I1" s="28" t="str">
        <f>C1</f>
        <v>Title I-D Delinquent</v>
      </c>
      <c r="J1" s="26"/>
      <c r="K1" s="26"/>
      <c r="L1" s="29"/>
      <c r="M1" s="29"/>
      <c r="N1" s="30"/>
      <c r="O1" s="30"/>
      <c r="P1" s="28" t="s">
        <v>0</v>
      </c>
      <c r="Q1" s="28" t="s">
        <v>403</v>
      </c>
      <c r="R1" s="26"/>
      <c r="S1" s="26"/>
      <c r="T1" s="29"/>
      <c r="U1" s="29"/>
      <c r="V1" s="30"/>
      <c r="W1" s="30"/>
      <c r="X1" s="28" t="s">
        <v>0</v>
      </c>
      <c r="Y1" s="28" t="str">
        <f>C1</f>
        <v>Title I-D Delinquent</v>
      </c>
      <c r="Z1" s="26"/>
      <c r="AA1" s="26"/>
      <c r="AB1" s="29"/>
      <c r="AC1" s="29"/>
      <c r="AD1" s="30"/>
      <c r="AE1" s="30"/>
      <c r="AF1" s="28"/>
    </row>
    <row r="2" spans="1:32" ht="15.75" x14ac:dyDescent="0.25">
      <c r="A2" s="31" t="s">
        <v>1</v>
      </c>
      <c r="B2" s="27"/>
      <c r="C2" s="34" t="s">
        <v>465</v>
      </c>
      <c r="D2" s="31"/>
      <c r="E2" s="33"/>
      <c r="F2" s="30"/>
      <c r="G2" s="30"/>
      <c r="H2" s="31" t="s">
        <v>2</v>
      </c>
      <c r="I2" s="31"/>
      <c r="J2" s="34" t="str">
        <f>$C$4</f>
        <v>2012-13</v>
      </c>
      <c r="K2" s="34"/>
      <c r="L2" s="33"/>
      <c r="M2" s="33"/>
      <c r="N2" s="33"/>
      <c r="O2" s="33"/>
      <c r="P2" s="31" t="s">
        <v>2</v>
      </c>
      <c r="Q2" s="31"/>
      <c r="R2" s="34" t="str">
        <f>$C$4</f>
        <v>2012-13</v>
      </c>
      <c r="S2" s="34"/>
      <c r="T2" s="33"/>
      <c r="U2" s="33"/>
      <c r="V2" s="33"/>
      <c r="W2" s="33"/>
      <c r="X2" s="31" t="s">
        <v>2</v>
      </c>
      <c r="Y2" s="31"/>
      <c r="Z2" s="34" t="str">
        <f>$C$4</f>
        <v>2012-13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>
        <v>4013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.75" x14ac:dyDescent="0.25">
      <c r="A4" s="31" t="s">
        <v>2</v>
      </c>
      <c r="B4" s="27"/>
      <c r="C4" s="34" t="str">
        <f>'NCLB Title I-A Formula'!$C$4</f>
        <v>2012-13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457</v>
      </c>
      <c r="B5" s="27"/>
      <c r="C5" s="31" t="s">
        <v>503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6</v>
      </c>
      <c r="B6" s="27"/>
      <c r="C6" s="31" t="s">
        <v>7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.75" x14ac:dyDescent="0.25">
      <c r="A7" s="31" t="s">
        <v>400</v>
      </c>
      <c r="B7" s="27"/>
      <c r="C7" s="31" t="s">
        <v>487</v>
      </c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.75" x14ac:dyDescent="0.25">
      <c r="A8" s="31" t="s">
        <v>401</v>
      </c>
      <c r="B8" s="27"/>
      <c r="C8" s="31" t="s">
        <v>402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6.5" thickBot="1" x14ac:dyDescent="0.3">
      <c r="A9" s="31" t="s">
        <v>458</v>
      </c>
      <c r="B9" s="27"/>
      <c r="C9" s="31" t="s">
        <v>467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32.25" customHeight="1" thickBot="1" x14ac:dyDescent="0.3">
      <c r="A10" s="139" t="s">
        <v>371</v>
      </c>
      <c r="B10" s="140" t="s">
        <v>372</v>
      </c>
      <c r="C10" s="140" t="s">
        <v>373</v>
      </c>
      <c r="D10" s="140" t="s">
        <v>374</v>
      </c>
      <c r="E10" s="122" t="s">
        <v>375</v>
      </c>
      <c r="F10" s="143" t="s">
        <v>386</v>
      </c>
      <c r="G10" s="143" t="s">
        <v>388</v>
      </c>
      <c r="H10" s="143" t="s">
        <v>389</v>
      </c>
      <c r="I10" s="143" t="s">
        <v>390</v>
      </c>
      <c r="J10" s="143" t="s">
        <v>391</v>
      </c>
      <c r="K10" s="143" t="s">
        <v>392</v>
      </c>
      <c r="L10" s="143" t="s">
        <v>393</v>
      </c>
      <c r="M10" s="143" t="s">
        <v>455</v>
      </c>
      <c r="N10" s="143" t="s">
        <v>394</v>
      </c>
      <c r="O10" s="143" t="s">
        <v>395</v>
      </c>
      <c r="P10" s="143" t="s">
        <v>396</v>
      </c>
      <c r="Q10" s="143" t="s">
        <v>397</v>
      </c>
      <c r="R10" s="143" t="s">
        <v>387</v>
      </c>
      <c r="S10" s="143" t="s">
        <v>398</v>
      </c>
      <c r="T10" s="143" t="s">
        <v>399</v>
      </c>
      <c r="U10" s="144" t="s">
        <v>475</v>
      </c>
      <c r="V10" s="145" t="s">
        <v>476</v>
      </c>
      <c r="W10" s="144" t="s">
        <v>477</v>
      </c>
      <c r="X10" s="145" t="s">
        <v>478</v>
      </c>
      <c r="Y10" s="144" t="s">
        <v>479</v>
      </c>
      <c r="Z10" s="145" t="s">
        <v>480</v>
      </c>
      <c r="AA10" s="144" t="s">
        <v>481</v>
      </c>
      <c r="AB10" s="145" t="s">
        <v>482</v>
      </c>
      <c r="AC10" s="144" t="s">
        <v>483</v>
      </c>
      <c r="AD10" s="145" t="s">
        <v>472</v>
      </c>
      <c r="AE10" s="144" t="s">
        <v>473</v>
      </c>
      <c r="AF10" s="145" t="s">
        <v>474</v>
      </c>
    </row>
    <row r="11" spans="1:32" ht="16.5" thickBot="1" x14ac:dyDescent="0.3">
      <c r="A11" s="167" t="s">
        <v>461</v>
      </c>
      <c r="B11" s="167" t="s">
        <v>463</v>
      </c>
      <c r="C11" s="193">
        <v>483160</v>
      </c>
      <c r="D11" s="117">
        <f t="shared" ref="D11:D12" si="0">SUM(F11:AF11)</f>
        <v>483160</v>
      </c>
      <c r="E11" s="126">
        <f t="shared" ref="E11:E12" si="1">C11-D11</f>
        <v>0</v>
      </c>
      <c r="F11" s="214"/>
      <c r="G11" s="214"/>
      <c r="H11" s="214"/>
      <c r="I11" s="214"/>
      <c r="J11" s="214"/>
      <c r="K11" s="214">
        <v>19674</v>
      </c>
      <c r="L11" s="214"/>
      <c r="M11" s="214"/>
      <c r="N11" s="214"/>
      <c r="O11" s="214">
        <v>32409</v>
      </c>
      <c r="P11" s="214">
        <f>102501+219858</f>
        <v>322359</v>
      </c>
      <c r="Q11" s="214"/>
      <c r="R11" s="214"/>
      <c r="S11" s="214"/>
      <c r="T11" s="214"/>
      <c r="U11" s="214">
        <v>99204</v>
      </c>
      <c r="V11" s="214"/>
      <c r="W11" s="214"/>
      <c r="X11" s="214"/>
      <c r="Y11" s="214"/>
      <c r="Z11" s="214">
        <v>9514</v>
      </c>
      <c r="AA11" s="214"/>
      <c r="AB11" s="214"/>
      <c r="AC11" s="214"/>
      <c r="AD11" s="214"/>
      <c r="AE11" s="214"/>
      <c r="AF11" s="214"/>
    </row>
    <row r="12" spans="1:32" ht="16.5" thickBot="1" x14ac:dyDescent="0.3">
      <c r="A12" s="167" t="s">
        <v>462</v>
      </c>
      <c r="B12" s="169" t="s">
        <v>464</v>
      </c>
      <c r="C12" s="194">
        <v>80046</v>
      </c>
      <c r="D12" s="118">
        <f t="shared" si="0"/>
        <v>80045.66</v>
      </c>
      <c r="E12" s="127">
        <f t="shared" si="1"/>
        <v>0.33999999999650754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>
        <v>16196</v>
      </c>
      <c r="P12" s="214"/>
      <c r="Q12" s="214"/>
      <c r="R12" s="214"/>
      <c r="S12" s="214">
        <v>20415</v>
      </c>
      <c r="T12" s="214"/>
      <c r="U12" s="214">
        <v>29893.66</v>
      </c>
      <c r="V12" s="214"/>
      <c r="W12" s="214"/>
      <c r="X12" s="214"/>
      <c r="Y12" s="214"/>
      <c r="Z12" s="214">
        <v>13541</v>
      </c>
      <c r="AA12" s="214"/>
      <c r="AB12" s="214"/>
      <c r="AC12" s="214"/>
      <c r="AD12" s="214"/>
      <c r="AE12" s="214"/>
      <c r="AF12" s="214"/>
    </row>
    <row r="13" spans="1:32" ht="16.5" thickBot="1" x14ac:dyDescent="0.3">
      <c r="A13" s="170"/>
      <c r="B13" s="169"/>
      <c r="C13" s="195"/>
      <c r="D13" s="184"/>
      <c r="E13" s="185"/>
    </row>
    <row r="14" spans="1:32" ht="16.5" thickBot="1" x14ac:dyDescent="0.3">
      <c r="A14" s="190"/>
      <c r="B14" s="190"/>
      <c r="C14" s="196">
        <f t="shared" ref="C14:AF14" si="2">SUM(C11:C12)</f>
        <v>563206</v>
      </c>
      <c r="D14" s="196">
        <f t="shared" si="2"/>
        <v>563205.66</v>
      </c>
      <c r="E14" s="196">
        <f t="shared" si="2"/>
        <v>0.33999999999650754</v>
      </c>
      <c r="F14" s="196">
        <f t="shared" si="2"/>
        <v>0</v>
      </c>
      <c r="G14" s="196">
        <f t="shared" si="2"/>
        <v>0</v>
      </c>
      <c r="H14" s="196">
        <f t="shared" si="2"/>
        <v>0</v>
      </c>
      <c r="I14" s="196">
        <f t="shared" si="2"/>
        <v>0</v>
      </c>
      <c r="J14" s="196">
        <f t="shared" si="2"/>
        <v>0</v>
      </c>
      <c r="K14" s="196">
        <f t="shared" si="2"/>
        <v>19674</v>
      </c>
      <c r="L14" s="196">
        <f t="shared" si="2"/>
        <v>0</v>
      </c>
      <c r="M14" s="196">
        <f t="shared" si="2"/>
        <v>0</v>
      </c>
      <c r="N14" s="196">
        <f t="shared" si="2"/>
        <v>0</v>
      </c>
      <c r="O14" s="196">
        <f t="shared" si="2"/>
        <v>48605</v>
      </c>
      <c r="P14" s="196">
        <f t="shared" si="2"/>
        <v>322359</v>
      </c>
      <c r="Q14" s="196">
        <f t="shared" si="2"/>
        <v>0</v>
      </c>
      <c r="R14" s="196">
        <f t="shared" si="2"/>
        <v>0</v>
      </c>
      <c r="S14" s="196">
        <f t="shared" si="2"/>
        <v>20415</v>
      </c>
      <c r="T14" s="196">
        <f t="shared" si="2"/>
        <v>0</v>
      </c>
      <c r="U14" s="196">
        <f t="shared" si="2"/>
        <v>129097.66</v>
      </c>
      <c r="V14" s="196">
        <f t="shared" si="2"/>
        <v>0</v>
      </c>
      <c r="W14" s="196">
        <f t="shared" si="2"/>
        <v>0</v>
      </c>
      <c r="X14" s="196">
        <f t="shared" si="2"/>
        <v>0</v>
      </c>
      <c r="Y14" s="196">
        <f t="shared" si="2"/>
        <v>0</v>
      </c>
      <c r="Z14" s="196">
        <f t="shared" si="2"/>
        <v>23055</v>
      </c>
      <c r="AA14" s="196">
        <f t="shared" si="2"/>
        <v>0</v>
      </c>
      <c r="AB14" s="196">
        <f t="shared" si="2"/>
        <v>0</v>
      </c>
      <c r="AC14" s="196">
        <f t="shared" si="2"/>
        <v>0</v>
      </c>
      <c r="AD14" s="196">
        <f t="shared" si="2"/>
        <v>0</v>
      </c>
      <c r="AE14" s="196">
        <f t="shared" si="2"/>
        <v>0</v>
      </c>
      <c r="AF14" s="196">
        <f t="shared" si="2"/>
        <v>0</v>
      </c>
    </row>
    <row r="17" spans="16:16" x14ac:dyDescent="0.25">
      <c r="P17" s="289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R229"/>
  <sheetViews>
    <sheetView zoomScaleNormal="100" workbookViewId="0">
      <pane xSplit="7" ySplit="13" topLeftCell="AB14" activePane="bottomRight" state="frozen"/>
      <selection pane="topRight" activeCell="H1" sqref="H1"/>
      <selection pane="bottomLeft" activeCell="A14" sqref="A14"/>
      <selection pane="bottomRight" activeCell="AB91" sqref="AB91"/>
    </sheetView>
  </sheetViews>
  <sheetFormatPr defaultColWidth="9.140625" defaultRowHeight="15" x14ac:dyDescent="0.25"/>
  <cols>
    <col min="1" max="1" width="8.28515625" style="20" customWidth="1"/>
    <col min="2" max="2" width="29.140625" style="20" customWidth="1"/>
    <col min="3" max="3" width="16.5703125" style="20" customWidth="1"/>
    <col min="4" max="4" width="17.5703125" style="18" customWidth="1"/>
    <col min="5" max="5" width="18.7109375" style="20" customWidth="1"/>
    <col min="6" max="6" width="24" style="20" bestFit="1" customWidth="1"/>
    <col min="7" max="7" width="17" style="20" customWidth="1"/>
    <col min="8" max="37" width="15.7109375" style="20" customWidth="1"/>
    <col min="38" max="43" width="12.7109375" style="20" customWidth="1"/>
    <col min="44" max="16384" width="9.140625" style="20"/>
  </cols>
  <sheetData>
    <row r="1" spans="1:44" s="21" customFormat="1" ht="21" x14ac:dyDescent="0.35">
      <c r="A1" s="290" t="s">
        <v>0</v>
      </c>
      <c r="B1" s="291"/>
      <c r="C1" s="292" t="s">
        <v>414</v>
      </c>
      <c r="D1" s="37"/>
      <c r="E1" s="292"/>
      <c r="F1" s="290"/>
      <c r="G1" s="293"/>
      <c r="H1" s="294"/>
      <c r="I1" s="294"/>
      <c r="J1" s="292" t="str">
        <f>A1</f>
        <v>Grant:</v>
      </c>
      <c r="K1" s="292" t="str">
        <f>C1</f>
        <v>Title II-A Formula</v>
      </c>
      <c r="L1" s="290"/>
      <c r="M1" s="290"/>
      <c r="N1" s="293"/>
      <c r="O1" s="293"/>
      <c r="P1" s="294"/>
      <c r="Q1" s="294"/>
      <c r="R1" s="292" t="s">
        <v>0</v>
      </c>
      <c r="S1" s="292" t="str">
        <f>$C$1</f>
        <v>Title II-A Formula</v>
      </c>
      <c r="T1" s="290"/>
      <c r="U1" s="290"/>
      <c r="V1" s="293"/>
      <c r="W1" s="293"/>
      <c r="X1" s="294"/>
      <c r="Y1" s="294"/>
      <c r="Z1" s="292" t="s">
        <v>0</v>
      </c>
      <c r="AA1" s="292" t="str">
        <f>$C$1</f>
        <v>Title II-A Formula</v>
      </c>
      <c r="AB1" s="290"/>
      <c r="AC1" s="290"/>
      <c r="AD1" s="293"/>
      <c r="AE1" s="293"/>
      <c r="AF1" s="294"/>
      <c r="AG1" s="294"/>
      <c r="AH1" s="292"/>
      <c r="AI1" s="292"/>
      <c r="AJ1" s="79"/>
      <c r="AK1" s="80"/>
      <c r="AL1" s="80"/>
      <c r="AM1" s="78" t="s">
        <v>0</v>
      </c>
      <c r="AN1" s="78" t="str">
        <f>$C$1</f>
        <v>Title II-A Formula</v>
      </c>
      <c r="AO1" s="79"/>
      <c r="AP1" s="80"/>
    </row>
    <row r="2" spans="1:44" s="21" customFormat="1" ht="21" x14ac:dyDescent="0.35">
      <c r="A2" s="295" t="s">
        <v>1</v>
      </c>
      <c r="B2" s="291"/>
      <c r="C2" s="296">
        <v>84.367000000000004</v>
      </c>
      <c r="D2" s="38"/>
      <c r="E2" s="296"/>
      <c r="F2" s="295"/>
      <c r="G2" s="297"/>
      <c r="H2" s="294"/>
      <c r="I2" s="294"/>
      <c r="J2" s="295" t="s">
        <v>2</v>
      </c>
      <c r="K2" s="292" t="str">
        <f>$C$4</f>
        <v>2012-13</v>
      </c>
      <c r="L2" s="298"/>
      <c r="M2" s="298"/>
      <c r="N2" s="297"/>
      <c r="O2" s="297"/>
      <c r="P2" s="297"/>
      <c r="Q2" s="297"/>
      <c r="R2" s="295" t="s">
        <v>2</v>
      </c>
      <c r="S2" s="292" t="str">
        <f>$C$4</f>
        <v>2012-13</v>
      </c>
      <c r="T2" s="298" t="s">
        <v>410</v>
      </c>
      <c r="U2" s="298"/>
      <c r="V2" s="297"/>
      <c r="W2" s="297"/>
      <c r="X2" s="297"/>
      <c r="Y2" s="297"/>
      <c r="Z2" s="295" t="s">
        <v>2</v>
      </c>
      <c r="AA2" s="292" t="str">
        <f>$C$4</f>
        <v>2012-13</v>
      </c>
      <c r="AB2" s="298"/>
      <c r="AC2" s="298"/>
      <c r="AD2" s="297"/>
      <c r="AE2" s="297"/>
      <c r="AF2" s="297"/>
      <c r="AG2" s="297"/>
      <c r="AH2" s="295"/>
      <c r="AI2" s="295"/>
      <c r="AJ2" s="82"/>
      <c r="AK2" s="82"/>
      <c r="AL2" s="82"/>
      <c r="AM2" s="81" t="s">
        <v>2</v>
      </c>
      <c r="AN2" s="81"/>
      <c r="AO2" s="83" t="s">
        <v>3</v>
      </c>
      <c r="AP2" s="82"/>
    </row>
    <row r="3" spans="1:44" s="21" customFormat="1" ht="15.75" x14ac:dyDescent="0.25">
      <c r="A3" s="295" t="s">
        <v>4</v>
      </c>
      <c r="B3" s="291"/>
      <c r="C3" s="298">
        <v>4367</v>
      </c>
      <c r="D3" s="39"/>
      <c r="E3" s="298"/>
      <c r="F3" s="295"/>
      <c r="G3" s="297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80"/>
      <c r="AK3" s="80"/>
      <c r="AL3" s="80"/>
      <c r="AM3" s="80"/>
    </row>
    <row r="4" spans="1:44" s="21" customFormat="1" ht="21" x14ac:dyDescent="0.35">
      <c r="A4" s="295" t="s">
        <v>2</v>
      </c>
      <c r="B4" s="291"/>
      <c r="C4" s="292" t="str">
        <f>'NCLB Title I-A Formula'!$C$4</f>
        <v>2012-13</v>
      </c>
      <c r="D4" s="39"/>
      <c r="E4" s="298"/>
      <c r="F4" s="297"/>
      <c r="G4" s="297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80"/>
      <c r="AK4" s="80"/>
      <c r="AL4" s="80"/>
      <c r="AM4" s="80"/>
    </row>
    <row r="5" spans="1:44" s="21" customFormat="1" ht="15.75" x14ac:dyDescent="0.25">
      <c r="A5" s="295" t="s">
        <v>457</v>
      </c>
      <c r="B5" s="291"/>
      <c r="C5" s="295" t="s">
        <v>5</v>
      </c>
      <c r="D5" s="39"/>
      <c r="E5" s="295"/>
      <c r="F5" s="295"/>
      <c r="G5" s="299"/>
      <c r="H5" s="299"/>
      <c r="I5" s="299"/>
      <c r="J5" s="299"/>
      <c r="K5" s="299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84"/>
      <c r="AK5" s="84"/>
      <c r="AL5" s="84"/>
      <c r="AM5" s="84"/>
      <c r="AN5" s="85"/>
      <c r="AO5" s="85"/>
    </row>
    <row r="6" spans="1:44" s="21" customFormat="1" ht="15.75" x14ac:dyDescent="0.25">
      <c r="A6" s="295" t="s">
        <v>6</v>
      </c>
      <c r="B6" s="291"/>
      <c r="C6" s="295" t="s">
        <v>370</v>
      </c>
      <c r="D6" s="39"/>
      <c r="E6" s="295"/>
      <c r="F6" s="295"/>
      <c r="G6" s="299"/>
      <c r="H6" s="299"/>
      <c r="I6" s="299"/>
      <c r="J6" s="299"/>
      <c r="K6" s="299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84"/>
      <c r="AK6" s="84"/>
      <c r="AL6" s="84"/>
      <c r="AM6" s="84"/>
      <c r="AN6" s="85"/>
      <c r="AO6" s="85"/>
    </row>
    <row r="7" spans="1:44" s="21" customFormat="1" ht="15.75" x14ac:dyDescent="0.25">
      <c r="A7" s="295"/>
      <c r="B7" s="291"/>
      <c r="C7" s="295" t="s">
        <v>501</v>
      </c>
      <c r="D7" s="39"/>
      <c r="E7" s="295"/>
      <c r="F7" s="295"/>
      <c r="G7" s="299"/>
      <c r="H7" s="299"/>
      <c r="I7" s="299"/>
      <c r="J7" s="299"/>
      <c r="K7" s="299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84"/>
      <c r="AK7" s="84"/>
      <c r="AL7" s="84"/>
      <c r="AM7" s="84"/>
      <c r="AN7" s="85"/>
      <c r="AO7" s="85"/>
    </row>
    <row r="8" spans="1:44" s="21" customFormat="1" ht="15.75" x14ac:dyDescent="0.25">
      <c r="A8" s="295"/>
      <c r="B8" s="291"/>
      <c r="C8" s="295"/>
      <c r="D8" s="39"/>
      <c r="E8" s="295"/>
      <c r="F8" s="295"/>
      <c r="G8" s="299"/>
      <c r="H8" s="299"/>
      <c r="I8" s="299"/>
      <c r="J8" s="299"/>
      <c r="K8" s="299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84"/>
      <c r="AK8" s="84"/>
      <c r="AL8" s="84"/>
      <c r="AM8" s="84"/>
      <c r="AN8" s="85"/>
      <c r="AO8" s="85"/>
    </row>
    <row r="9" spans="1:44" s="21" customFormat="1" ht="15.75" x14ac:dyDescent="0.25">
      <c r="A9" s="295" t="s">
        <v>400</v>
      </c>
      <c r="B9" s="291"/>
      <c r="C9" s="295" t="s">
        <v>488</v>
      </c>
      <c r="D9" s="39"/>
      <c r="E9" s="295"/>
      <c r="F9" s="297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84"/>
      <c r="AK9" s="84"/>
      <c r="AL9" s="84"/>
      <c r="AM9" s="84"/>
      <c r="AN9" s="85"/>
      <c r="AO9" s="85"/>
    </row>
    <row r="10" spans="1:44" s="21" customFormat="1" ht="15.75" x14ac:dyDescent="0.25">
      <c r="A10" s="295" t="s">
        <v>401</v>
      </c>
      <c r="B10" s="291"/>
      <c r="C10" s="295" t="s">
        <v>402</v>
      </c>
      <c r="D10" s="39"/>
      <c r="E10" s="295"/>
      <c r="F10" s="297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84"/>
      <c r="AK10" s="84"/>
      <c r="AL10" s="84"/>
      <c r="AM10" s="84"/>
      <c r="AN10" s="85"/>
      <c r="AO10" s="85"/>
    </row>
    <row r="11" spans="1:44" s="21" customFormat="1" ht="15.75" x14ac:dyDescent="0.25">
      <c r="A11" s="295" t="s">
        <v>458</v>
      </c>
      <c r="B11" s="291"/>
      <c r="C11" s="295" t="s">
        <v>471</v>
      </c>
      <c r="D11" s="39"/>
      <c r="E11" s="295"/>
      <c r="F11" s="297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84"/>
      <c r="AK11" s="84"/>
      <c r="AL11" s="84"/>
      <c r="AM11" s="84"/>
      <c r="AN11" s="85"/>
      <c r="AO11" s="85"/>
    </row>
    <row r="12" spans="1:44" s="21" customFormat="1" ht="16.5" thickBot="1" x14ac:dyDescent="0.3">
      <c r="A12" s="44" t="s">
        <v>365</v>
      </c>
      <c r="B12" s="295" t="s">
        <v>408</v>
      </c>
      <c r="C12" s="295"/>
      <c r="D12" s="39"/>
      <c r="E12" s="295"/>
      <c r="F12" s="297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84"/>
      <c r="AK12" s="84"/>
      <c r="AL12" s="84"/>
      <c r="AM12" s="84"/>
      <c r="AN12" s="85"/>
      <c r="AO12" s="85"/>
    </row>
    <row r="13" spans="1:44" s="95" customFormat="1" ht="46.5" customHeight="1" thickBot="1" x14ac:dyDescent="0.3">
      <c r="A13" s="308" t="s">
        <v>371</v>
      </c>
      <c r="B13" s="309" t="s">
        <v>372</v>
      </c>
      <c r="C13" s="151" t="s">
        <v>373</v>
      </c>
      <c r="D13" s="156" t="s">
        <v>406</v>
      </c>
      <c r="E13" s="152" t="s">
        <v>453</v>
      </c>
      <c r="F13" s="211" t="s">
        <v>374</v>
      </c>
      <c r="G13" s="100" t="s">
        <v>375</v>
      </c>
      <c r="H13" s="143" t="s">
        <v>386</v>
      </c>
      <c r="I13" s="143" t="s">
        <v>388</v>
      </c>
      <c r="J13" s="143" t="s">
        <v>389</v>
      </c>
      <c r="K13" s="143" t="s">
        <v>390</v>
      </c>
      <c r="L13" s="143" t="s">
        <v>391</v>
      </c>
      <c r="M13" s="143" t="s">
        <v>392</v>
      </c>
      <c r="N13" s="143" t="s">
        <v>393</v>
      </c>
      <c r="O13" s="143" t="s">
        <v>455</v>
      </c>
      <c r="P13" s="143" t="s">
        <v>394</v>
      </c>
      <c r="Q13" s="143" t="s">
        <v>395</v>
      </c>
      <c r="R13" s="143" t="s">
        <v>396</v>
      </c>
      <c r="S13" s="143" t="s">
        <v>397</v>
      </c>
      <c r="T13" s="143" t="s">
        <v>387</v>
      </c>
      <c r="U13" s="143" t="s">
        <v>398</v>
      </c>
      <c r="V13" s="143" t="s">
        <v>399</v>
      </c>
      <c r="W13" s="312" t="s">
        <v>475</v>
      </c>
      <c r="X13" s="311" t="s">
        <v>476</v>
      </c>
      <c r="Y13" s="312" t="s">
        <v>477</v>
      </c>
      <c r="Z13" s="311" t="s">
        <v>478</v>
      </c>
      <c r="AA13" s="312" t="s">
        <v>479</v>
      </c>
      <c r="AB13" s="311" t="s">
        <v>480</v>
      </c>
      <c r="AC13" s="312" t="s">
        <v>481</v>
      </c>
      <c r="AD13" s="311" t="s">
        <v>482</v>
      </c>
      <c r="AE13" s="312" t="s">
        <v>483</v>
      </c>
      <c r="AF13" s="311" t="s">
        <v>472</v>
      </c>
      <c r="AG13" s="312" t="s">
        <v>473</v>
      </c>
      <c r="AH13" s="312" t="s">
        <v>474</v>
      </c>
      <c r="AI13" s="312" t="s">
        <v>505</v>
      </c>
      <c r="AJ13" s="94"/>
      <c r="AK13" s="94"/>
      <c r="AL13" s="94"/>
      <c r="AM13" s="94"/>
      <c r="AN13" s="94"/>
      <c r="AO13" s="94"/>
      <c r="AP13" s="94"/>
      <c r="AQ13" s="94"/>
      <c r="AR13" s="94"/>
    </row>
    <row r="14" spans="1:44" s="4" customFormat="1" ht="19.5" thickBot="1" x14ac:dyDescent="0.35">
      <c r="A14" s="280">
        <v>10</v>
      </c>
      <c r="B14" s="149" t="s">
        <v>187</v>
      </c>
      <c r="C14" s="263">
        <v>188596</v>
      </c>
      <c r="D14" s="150"/>
      <c r="E14" s="115"/>
      <c r="F14" s="115">
        <f>SUM(H14:AI14)</f>
        <v>188596</v>
      </c>
      <c r="G14" s="115">
        <f>IF(ISBLANK(E14),C14-F14,C14-E14)</f>
        <v>0</v>
      </c>
      <c r="H14" s="96"/>
      <c r="I14" s="106"/>
      <c r="K14" s="106"/>
      <c r="L14" s="106"/>
      <c r="M14" s="106"/>
      <c r="N14" s="106">
        <v>2805</v>
      </c>
      <c r="O14" s="106">
        <v>64453</v>
      </c>
      <c r="P14" s="106">
        <v>20488</v>
      </c>
      <c r="Q14" s="106">
        <v>8776</v>
      </c>
      <c r="R14" s="106"/>
      <c r="S14" s="106">
        <v>375</v>
      </c>
      <c r="T14" s="106"/>
      <c r="U14" s="106">
        <v>42635</v>
      </c>
      <c r="V14" s="106">
        <v>9428</v>
      </c>
      <c r="W14" s="106"/>
      <c r="X14" s="106">
        <v>4195</v>
      </c>
      <c r="Y14" s="106"/>
      <c r="Z14" s="106">
        <v>1642</v>
      </c>
      <c r="AA14" s="106">
        <v>8452</v>
      </c>
      <c r="AB14" s="106">
        <v>6516</v>
      </c>
      <c r="AC14" s="106">
        <v>18831</v>
      </c>
      <c r="AD14" s="106"/>
      <c r="AE14" s="106"/>
      <c r="AF14" s="106"/>
      <c r="AG14" s="106"/>
      <c r="AH14" s="106"/>
      <c r="AI14" s="96"/>
    </row>
    <row r="15" spans="1:44" s="4" customFormat="1" ht="19.5" thickBot="1" x14ac:dyDescent="0.35">
      <c r="A15" s="281">
        <v>20</v>
      </c>
      <c r="B15" s="302" t="s">
        <v>188</v>
      </c>
      <c r="C15" s="264">
        <v>755474</v>
      </c>
      <c r="D15" s="97"/>
      <c r="E15" s="115"/>
      <c r="F15" s="115">
        <f t="shared" ref="F15:F78" si="0">SUM(H15:AI15)</f>
        <v>755474</v>
      </c>
      <c r="G15" s="115">
        <f t="shared" ref="G15:G78" si="1">IF(ISBLANK(E15),C15-F15,C15-E15)</f>
        <v>0</v>
      </c>
      <c r="H15" s="96"/>
      <c r="I15" s="106"/>
      <c r="K15" s="106"/>
      <c r="L15" s="106"/>
      <c r="M15" s="106"/>
      <c r="N15" s="106"/>
      <c r="O15" s="106"/>
      <c r="P15" s="106"/>
      <c r="Q15" s="106">
        <v>75916</v>
      </c>
      <c r="R15" s="106">
        <v>95092</v>
      </c>
      <c r="S15" s="106">
        <v>209246</v>
      </c>
      <c r="T15" s="106">
        <v>166405</v>
      </c>
      <c r="U15" s="106">
        <v>48552</v>
      </c>
      <c r="V15" s="106">
        <v>35253</v>
      </c>
      <c r="W15" s="106"/>
      <c r="X15" s="106">
        <v>125010</v>
      </c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96"/>
    </row>
    <row r="16" spans="1:44" s="4" customFormat="1" ht="19.5" thickBot="1" x14ac:dyDescent="0.35">
      <c r="A16" s="281">
        <v>30</v>
      </c>
      <c r="B16" s="302" t="s">
        <v>189</v>
      </c>
      <c r="C16" s="264">
        <v>377441</v>
      </c>
      <c r="D16" s="97"/>
      <c r="E16" s="115"/>
      <c r="F16" s="115">
        <f t="shared" si="0"/>
        <v>377441</v>
      </c>
      <c r="G16" s="115">
        <f t="shared" si="1"/>
        <v>0</v>
      </c>
      <c r="H16" s="96"/>
      <c r="I16" s="106"/>
      <c r="K16" s="106"/>
      <c r="L16" s="106"/>
      <c r="M16" s="106"/>
      <c r="N16" s="106"/>
      <c r="O16" s="106">
        <v>150909</v>
      </c>
      <c r="P16" s="106"/>
      <c r="Q16" s="106">
        <v>88150</v>
      </c>
      <c r="R16" s="106">
        <v>21894</v>
      </c>
      <c r="S16" s="106">
        <v>68480</v>
      </c>
      <c r="T16" s="106"/>
      <c r="U16" s="106">
        <v>47004</v>
      </c>
      <c r="V16" s="106">
        <v>1004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96"/>
    </row>
    <row r="17" spans="1:35" s="4" customFormat="1" ht="19.5" thickBot="1" x14ac:dyDescent="0.35">
      <c r="A17" s="281">
        <v>40</v>
      </c>
      <c r="B17" s="302" t="s">
        <v>190</v>
      </c>
      <c r="C17" s="264">
        <v>204493</v>
      </c>
      <c r="D17" s="97"/>
      <c r="E17" s="115"/>
      <c r="F17" s="115">
        <f t="shared" si="0"/>
        <v>204493</v>
      </c>
      <c r="G17" s="115">
        <f t="shared" si="1"/>
        <v>0</v>
      </c>
      <c r="H17" s="96"/>
      <c r="I17" s="106"/>
      <c r="K17" s="106"/>
      <c r="L17" s="106"/>
      <c r="M17" s="106">
        <v>8454</v>
      </c>
      <c r="N17" s="106"/>
      <c r="O17" s="106"/>
      <c r="P17" s="106">
        <v>49370</v>
      </c>
      <c r="Q17" s="106">
        <v>10185</v>
      </c>
      <c r="R17" s="106">
        <v>8512</v>
      </c>
      <c r="S17" s="106">
        <v>12896</v>
      </c>
      <c r="T17" s="106"/>
      <c r="U17" s="106"/>
      <c r="V17" s="106"/>
      <c r="W17" s="106">
        <v>52637</v>
      </c>
      <c r="X17" s="106">
        <v>46181</v>
      </c>
      <c r="Y17" s="106"/>
      <c r="Z17" s="106">
        <v>9797</v>
      </c>
      <c r="AA17" s="106">
        <v>6461</v>
      </c>
      <c r="AB17" s="106"/>
      <c r="AC17" s="106"/>
      <c r="AD17" s="106"/>
      <c r="AE17" s="106"/>
      <c r="AF17" s="106"/>
      <c r="AG17" s="106"/>
      <c r="AH17" s="106"/>
      <c r="AI17" s="96"/>
    </row>
    <row r="18" spans="1:35" s="4" customFormat="1" ht="19.5" thickBot="1" x14ac:dyDescent="0.35">
      <c r="A18" s="281">
        <v>50</v>
      </c>
      <c r="B18" s="302" t="s">
        <v>191</v>
      </c>
      <c r="C18" s="264">
        <v>29430</v>
      </c>
      <c r="D18" s="97" t="s">
        <v>381</v>
      </c>
      <c r="E18" s="115">
        <f t="shared" ref="E18:E61" si="2">IF(ISBLANK(D18),"",C18)</f>
        <v>29430</v>
      </c>
      <c r="F18" s="115">
        <f t="shared" si="0"/>
        <v>0</v>
      </c>
      <c r="G18" s="115">
        <f t="shared" si="1"/>
        <v>0</v>
      </c>
      <c r="H18" s="96"/>
      <c r="I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96"/>
    </row>
    <row r="19" spans="1:35" s="4" customFormat="1" ht="19.5" thickBot="1" x14ac:dyDescent="0.35">
      <c r="A19" s="281">
        <v>60</v>
      </c>
      <c r="B19" s="302" t="s">
        <v>192</v>
      </c>
      <c r="C19" s="264">
        <v>9594</v>
      </c>
      <c r="D19" s="97" t="s">
        <v>381</v>
      </c>
      <c r="E19" s="115">
        <f t="shared" si="2"/>
        <v>9594</v>
      </c>
      <c r="F19" s="115">
        <f t="shared" si="0"/>
        <v>0</v>
      </c>
      <c r="G19" s="115">
        <f t="shared" si="1"/>
        <v>0</v>
      </c>
      <c r="H19" s="96"/>
      <c r="I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96"/>
    </row>
    <row r="20" spans="1:35" s="4" customFormat="1" ht="19.5" thickBot="1" x14ac:dyDescent="0.35">
      <c r="A20" s="281">
        <v>70</v>
      </c>
      <c r="B20" s="302" t="s">
        <v>193</v>
      </c>
      <c r="C20" s="264">
        <v>448587</v>
      </c>
      <c r="D20" s="97"/>
      <c r="E20" s="115"/>
      <c r="F20" s="115">
        <f t="shared" si="0"/>
        <v>448587</v>
      </c>
      <c r="G20" s="115">
        <f t="shared" si="1"/>
        <v>0</v>
      </c>
      <c r="H20" s="96"/>
      <c r="I20" s="106"/>
      <c r="K20" s="106"/>
      <c r="L20" s="106"/>
      <c r="M20" s="106"/>
      <c r="N20" s="106"/>
      <c r="O20" s="106"/>
      <c r="P20" s="106"/>
      <c r="Q20" s="106">
        <v>10642</v>
      </c>
      <c r="R20" s="106">
        <v>51209</v>
      </c>
      <c r="S20" s="106">
        <v>38345</v>
      </c>
      <c r="T20" s="106">
        <v>77000</v>
      </c>
      <c r="U20" s="106"/>
      <c r="V20" s="106">
        <v>36052</v>
      </c>
      <c r="W20" s="106"/>
      <c r="X20" s="106">
        <f>64374+53880</f>
        <v>118254</v>
      </c>
      <c r="Y20" s="106">
        <v>27098</v>
      </c>
      <c r="Z20" s="106">
        <v>45506</v>
      </c>
      <c r="AA20" s="106">
        <v>17721</v>
      </c>
      <c r="AB20" s="106">
        <v>25601</v>
      </c>
      <c r="AC20" s="106">
        <v>1159</v>
      </c>
      <c r="AD20" s="106"/>
      <c r="AE20" s="106"/>
      <c r="AF20" s="106"/>
      <c r="AG20" s="106"/>
      <c r="AH20" s="106"/>
      <c r="AI20" s="96"/>
    </row>
    <row r="21" spans="1:35" s="4" customFormat="1" ht="19.5" thickBot="1" x14ac:dyDescent="0.35">
      <c r="A21" s="281">
        <v>100</v>
      </c>
      <c r="B21" s="302" t="s">
        <v>194</v>
      </c>
      <c r="C21" s="264">
        <v>170562</v>
      </c>
      <c r="D21" s="97"/>
      <c r="E21" s="115"/>
      <c r="F21" s="115">
        <f t="shared" si="0"/>
        <v>170562</v>
      </c>
      <c r="G21" s="115">
        <f t="shared" si="1"/>
        <v>0</v>
      </c>
      <c r="H21" s="96"/>
      <c r="I21" s="106"/>
      <c r="K21" s="106"/>
      <c r="L21" s="106">
        <v>19242</v>
      </c>
      <c r="M21" s="106">
        <v>29076</v>
      </c>
      <c r="N21" s="106">
        <v>11839</v>
      </c>
      <c r="O21" s="106">
        <v>11925</v>
      </c>
      <c r="P21" s="106">
        <v>11926</v>
      </c>
      <c r="Q21" s="106">
        <v>11926</v>
      </c>
      <c r="R21" s="106">
        <v>15632</v>
      </c>
      <c r="S21" s="106">
        <v>11926</v>
      </c>
      <c r="T21" s="106">
        <v>11908</v>
      </c>
      <c r="U21" s="106">
        <v>16310</v>
      </c>
      <c r="V21" s="106">
        <v>11908</v>
      </c>
      <c r="W21" s="106">
        <v>6944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96"/>
    </row>
    <row r="22" spans="1:35" s="4" customFormat="1" ht="19.5" thickBot="1" x14ac:dyDescent="0.35">
      <c r="A22" s="281">
        <v>110</v>
      </c>
      <c r="B22" s="302" t="s">
        <v>195</v>
      </c>
      <c r="C22" s="264">
        <v>13653</v>
      </c>
      <c r="D22" s="97"/>
      <c r="E22" s="115"/>
      <c r="F22" s="115">
        <f t="shared" si="0"/>
        <v>13653</v>
      </c>
      <c r="G22" s="115">
        <f t="shared" si="1"/>
        <v>0</v>
      </c>
      <c r="H22" s="96"/>
      <c r="I22" s="106"/>
      <c r="K22" s="106"/>
      <c r="L22" s="106"/>
      <c r="M22" s="106"/>
      <c r="N22" s="106"/>
      <c r="O22" s="106"/>
      <c r="P22" s="106">
        <v>3776</v>
      </c>
      <c r="Q22" s="106"/>
      <c r="R22" s="106"/>
      <c r="S22" s="106">
        <v>9877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96"/>
    </row>
    <row r="23" spans="1:35" s="4" customFormat="1" ht="19.5" thickBot="1" x14ac:dyDescent="0.35">
      <c r="A23" s="281">
        <v>120</v>
      </c>
      <c r="B23" s="302" t="s">
        <v>196</v>
      </c>
      <c r="C23" s="264">
        <v>180466</v>
      </c>
      <c r="D23" s="97"/>
      <c r="E23" s="115"/>
      <c r="F23" s="115">
        <f t="shared" si="0"/>
        <v>180466</v>
      </c>
      <c r="G23" s="115">
        <f t="shared" si="1"/>
        <v>0</v>
      </c>
      <c r="H23" s="96"/>
      <c r="I23" s="106"/>
      <c r="K23" s="106"/>
      <c r="L23" s="106"/>
      <c r="M23" s="106"/>
      <c r="N23" s="106"/>
      <c r="O23" s="106">
        <v>41075</v>
      </c>
      <c r="P23" s="106">
        <v>6527</v>
      </c>
      <c r="Q23" s="106"/>
      <c r="R23" s="106">
        <f>2293+1893</f>
        <v>4186</v>
      </c>
      <c r="S23" s="106">
        <v>27321</v>
      </c>
      <c r="T23" s="106">
        <v>20415</v>
      </c>
      <c r="U23" s="106"/>
      <c r="V23" s="106"/>
      <c r="W23" s="106">
        <v>21214</v>
      </c>
      <c r="X23" s="106">
        <v>59728</v>
      </c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96"/>
    </row>
    <row r="24" spans="1:35" s="4" customFormat="1" ht="19.5" thickBot="1" x14ac:dyDescent="0.35">
      <c r="A24" s="281">
        <v>123</v>
      </c>
      <c r="B24" s="302" t="s">
        <v>197</v>
      </c>
      <c r="C24" s="264">
        <v>90288</v>
      </c>
      <c r="D24" s="97"/>
      <c r="E24" s="115"/>
      <c r="F24" s="115">
        <f t="shared" si="0"/>
        <v>90288</v>
      </c>
      <c r="G24" s="115">
        <f t="shared" si="1"/>
        <v>0</v>
      </c>
      <c r="H24" s="96"/>
      <c r="I24" s="106"/>
      <c r="K24" s="106"/>
      <c r="L24" s="106"/>
      <c r="M24" s="106"/>
      <c r="N24" s="106"/>
      <c r="O24" s="106">
        <v>545</v>
      </c>
      <c r="P24" s="106"/>
      <c r="Q24" s="106"/>
      <c r="R24" s="106">
        <v>6967</v>
      </c>
      <c r="S24" s="106"/>
      <c r="T24" s="106"/>
      <c r="U24" s="106">
        <v>42186</v>
      </c>
      <c r="V24" s="106"/>
      <c r="W24" s="106">
        <v>9522</v>
      </c>
      <c r="X24" s="106"/>
      <c r="Y24" s="106"/>
      <c r="Z24" s="106">
        <v>29664</v>
      </c>
      <c r="AA24" s="106"/>
      <c r="AB24" s="106"/>
      <c r="AC24" s="106">
        <v>1404</v>
      </c>
      <c r="AD24" s="106"/>
      <c r="AE24" s="106"/>
      <c r="AF24" s="106"/>
      <c r="AG24" s="106"/>
      <c r="AH24" s="106"/>
      <c r="AI24" s="96"/>
    </row>
    <row r="25" spans="1:35" s="4" customFormat="1" ht="19.5" thickBot="1" x14ac:dyDescent="0.35">
      <c r="A25" s="281">
        <v>130</v>
      </c>
      <c r="B25" s="302" t="s">
        <v>198</v>
      </c>
      <c r="C25" s="264">
        <v>768415</v>
      </c>
      <c r="D25" s="97"/>
      <c r="E25" s="115"/>
      <c r="F25" s="115">
        <f t="shared" si="0"/>
        <v>768415</v>
      </c>
      <c r="G25" s="115">
        <f t="shared" si="1"/>
        <v>0</v>
      </c>
      <c r="H25" s="96"/>
      <c r="I25" s="106"/>
      <c r="K25" s="106"/>
      <c r="L25" s="106"/>
      <c r="M25" s="106">
        <v>48146</v>
      </c>
      <c r="N25" s="106">
        <v>54052</v>
      </c>
      <c r="O25" s="106">
        <v>59784</v>
      </c>
      <c r="P25" s="106">
        <v>48831</v>
      </c>
      <c r="Q25" s="106">
        <v>59283</v>
      </c>
      <c r="R25" s="106">
        <v>67910</v>
      </c>
      <c r="S25" s="106">
        <v>79933</v>
      </c>
      <c r="T25" s="106"/>
      <c r="U25" s="106"/>
      <c r="V25" s="106"/>
      <c r="W25" s="106"/>
      <c r="X25" s="106"/>
      <c r="Y25" s="106"/>
      <c r="Z25" s="106">
        <f>215362+135114</f>
        <v>350476</v>
      </c>
      <c r="AA25" s="106"/>
      <c r="AB25" s="106"/>
      <c r="AC25" s="106"/>
      <c r="AD25" s="106"/>
      <c r="AE25" s="106"/>
      <c r="AF25" s="106"/>
      <c r="AG25" s="106"/>
      <c r="AH25" s="106"/>
      <c r="AI25" s="96"/>
    </row>
    <row r="26" spans="1:35" s="4" customFormat="1" ht="19.5" thickBot="1" x14ac:dyDescent="0.35">
      <c r="A26" s="281">
        <v>140</v>
      </c>
      <c r="B26" s="302" t="s">
        <v>199</v>
      </c>
      <c r="C26" s="264">
        <v>393667</v>
      </c>
      <c r="D26" s="97"/>
      <c r="E26" s="115"/>
      <c r="F26" s="115">
        <f t="shared" si="0"/>
        <v>393667</v>
      </c>
      <c r="G26" s="115">
        <f t="shared" si="1"/>
        <v>0</v>
      </c>
      <c r="H26" s="96"/>
      <c r="I26" s="106"/>
      <c r="K26" s="106"/>
      <c r="L26" s="106"/>
      <c r="M26" s="106"/>
      <c r="N26" s="106"/>
      <c r="O26" s="106"/>
      <c r="P26" s="106">
        <f>71133+70313</f>
        <v>141446</v>
      </c>
      <c r="Q26" s="106"/>
      <c r="R26" s="106"/>
      <c r="S26" s="106"/>
      <c r="T26" s="106"/>
      <c r="U26" s="106"/>
      <c r="V26" s="106"/>
      <c r="W26" s="106"/>
      <c r="X26" s="106">
        <v>157755</v>
      </c>
      <c r="Y26" s="106"/>
      <c r="Z26" s="106"/>
      <c r="AA26" s="106">
        <v>94466</v>
      </c>
      <c r="AB26" s="106"/>
      <c r="AC26" s="106"/>
      <c r="AD26" s="106"/>
      <c r="AE26" s="106"/>
      <c r="AF26" s="106"/>
      <c r="AG26" s="106"/>
      <c r="AH26" s="106"/>
      <c r="AI26" s="96"/>
    </row>
    <row r="27" spans="1:35" s="4" customFormat="1" ht="19.5" thickBot="1" x14ac:dyDescent="0.35">
      <c r="A27" s="281">
        <v>170</v>
      </c>
      <c r="B27" s="302" t="s">
        <v>200</v>
      </c>
      <c r="C27" s="264">
        <v>8470</v>
      </c>
      <c r="D27" s="97" t="s">
        <v>381</v>
      </c>
      <c r="E27" s="115">
        <f t="shared" si="2"/>
        <v>8470</v>
      </c>
      <c r="F27" s="115">
        <f t="shared" si="0"/>
        <v>0</v>
      </c>
      <c r="G27" s="115">
        <f t="shared" si="1"/>
        <v>0</v>
      </c>
      <c r="H27" s="96"/>
      <c r="I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96"/>
    </row>
    <row r="28" spans="1:35" s="4" customFormat="1" ht="19.5" thickBot="1" x14ac:dyDescent="0.35">
      <c r="A28" s="281">
        <v>180</v>
      </c>
      <c r="B28" s="302" t="s">
        <v>201</v>
      </c>
      <c r="C28" s="264">
        <v>1275807</v>
      </c>
      <c r="D28" s="97"/>
      <c r="E28" s="115"/>
      <c r="F28" s="115">
        <f t="shared" si="0"/>
        <v>1275807</v>
      </c>
      <c r="G28" s="115">
        <f t="shared" si="1"/>
        <v>0</v>
      </c>
      <c r="H28" s="96"/>
      <c r="I28" s="106"/>
      <c r="K28" s="106"/>
      <c r="L28" s="106"/>
      <c r="M28" s="106">
        <v>56582</v>
      </c>
      <c r="N28" s="106"/>
      <c r="O28" s="106">
        <v>223440</v>
      </c>
      <c r="P28" s="106">
        <v>121384</v>
      </c>
      <c r="Q28" s="106">
        <v>98597</v>
      </c>
      <c r="R28" s="106">
        <v>129496</v>
      </c>
      <c r="S28" s="106">
        <v>191113</v>
      </c>
      <c r="T28" s="106">
        <v>44711</v>
      </c>
      <c r="U28" s="106">
        <v>104676</v>
      </c>
      <c r="V28" s="106">
        <v>27866</v>
      </c>
      <c r="W28" s="106">
        <v>11908</v>
      </c>
      <c r="X28" s="106">
        <v>266034</v>
      </c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96"/>
    </row>
    <row r="29" spans="1:35" s="4" customFormat="1" ht="19.5" thickBot="1" x14ac:dyDescent="0.35">
      <c r="A29" s="281">
        <v>190</v>
      </c>
      <c r="B29" s="302" t="s">
        <v>202</v>
      </c>
      <c r="C29" s="264">
        <v>20826</v>
      </c>
      <c r="D29" s="97" t="s">
        <v>381</v>
      </c>
      <c r="E29" s="115">
        <f t="shared" si="2"/>
        <v>20826</v>
      </c>
      <c r="F29" s="115">
        <f t="shared" si="0"/>
        <v>0</v>
      </c>
      <c r="G29" s="115">
        <f t="shared" si="1"/>
        <v>0</v>
      </c>
      <c r="H29" s="96"/>
      <c r="I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96"/>
    </row>
    <row r="30" spans="1:35" s="4" customFormat="1" ht="19.5" thickBot="1" x14ac:dyDescent="0.35">
      <c r="A30" s="281">
        <v>220</v>
      </c>
      <c r="B30" s="302" t="s">
        <v>203</v>
      </c>
      <c r="C30" s="264">
        <v>78111</v>
      </c>
      <c r="D30" s="97"/>
      <c r="E30" s="115"/>
      <c r="F30" s="115">
        <f t="shared" si="0"/>
        <v>78111</v>
      </c>
      <c r="G30" s="115">
        <f t="shared" si="1"/>
        <v>0</v>
      </c>
      <c r="H30" s="96"/>
      <c r="I30" s="106"/>
      <c r="K30" s="106">
        <v>21314</v>
      </c>
      <c r="L30" s="106">
        <v>6129</v>
      </c>
      <c r="M30" s="106">
        <v>6259</v>
      </c>
      <c r="N30" s="106">
        <v>6260</v>
      </c>
      <c r="O30" s="106">
        <v>6259</v>
      </c>
      <c r="P30" s="106">
        <v>6259</v>
      </c>
      <c r="Q30" s="106">
        <v>6259</v>
      </c>
      <c r="R30" s="106">
        <v>6259</v>
      </c>
      <c r="S30" s="106">
        <v>6259</v>
      </c>
      <c r="T30" s="106">
        <v>6259</v>
      </c>
      <c r="U30" s="106"/>
      <c r="V30" s="106"/>
      <c r="W30" s="106"/>
      <c r="X30" s="106"/>
      <c r="Y30" s="106"/>
      <c r="Z30" s="106">
        <v>595</v>
      </c>
      <c r="AA30" s="106"/>
      <c r="AB30" s="106"/>
      <c r="AC30" s="106"/>
      <c r="AD30" s="106"/>
      <c r="AE30" s="106"/>
      <c r="AF30" s="106"/>
      <c r="AG30" s="106"/>
      <c r="AH30" s="106"/>
      <c r="AI30" s="96"/>
    </row>
    <row r="31" spans="1:35" s="4" customFormat="1" ht="19.5" thickBot="1" x14ac:dyDescent="0.35">
      <c r="A31" s="281">
        <v>230</v>
      </c>
      <c r="B31" s="302" t="s">
        <v>204</v>
      </c>
      <c r="C31" s="264">
        <v>12227</v>
      </c>
      <c r="D31" s="97"/>
      <c r="E31" s="115"/>
      <c r="F31" s="115">
        <f t="shared" si="0"/>
        <v>12227</v>
      </c>
      <c r="G31" s="115">
        <f t="shared" si="1"/>
        <v>0</v>
      </c>
      <c r="H31" s="96"/>
      <c r="I31" s="106"/>
      <c r="K31" s="106"/>
      <c r="L31" s="106"/>
      <c r="M31" s="106"/>
      <c r="N31" s="106"/>
      <c r="O31" s="106"/>
      <c r="P31" s="106"/>
      <c r="Q31" s="106">
        <v>3826</v>
      </c>
      <c r="R31" s="106"/>
      <c r="S31" s="106"/>
      <c r="T31" s="106">
        <v>8401</v>
      </c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96"/>
    </row>
    <row r="32" spans="1:35" s="4" customFormat="1" ht="19.5" thickBot="1" x14ac:dyDescent="0.35">
      <c r="A32" s="281">
        <v>240</v>
      </c>
      <c r="B32" s="302" t="s">
        <v>205</v>
      </c>
      <c r="C32" s="264">
        <v>5992</v>
      </c>
      <c r="D32" s="97"/>
      <c r="E32" s="115"/>
      <c r="F32" s="115">
        <f t="shared" si="0"/>
        <v>0</v>
      </c>
      <c r="G32" s="115">
        <f t="shared" si="1"/>
        <v>5992</v>
      </c>
      <c r="H32" s="96"/>
      <c r="I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96"/>
    </row>
    <row r="33" spans="1:35" s="4" customFormat="1" ht="19.5" thickBot="1" x14ac:dyDescent="0.35">
      <c r="A33" s="281">
        <v>250</v>
      </c>
      <c r="B33" s="302" t="s">
        <v>206</v>
      </c>
      <c r="C33" s="264">
        <v>17902</v>
      </c>
      <c r="D33" s="97"/>
      <c r="E33" s="115"/>
      <c r="F33" s="115">
        <f t="shared" si="0"/>
        <v>17902</v>
      </c>
      <c r="G33" s="115">
        <f t="shared" si="1"/>
        <v>0</v>
      </c>
      <c r="H33" s="96"/>
      <c r="I33" s="106"/>
      <c r="K33" s="106"/>
      <c r="L33" s="106"/>
      <c r="M33" s="106">
        <v>4732</v>
      </c>
      <c r="N33" s="106"/>
      <c r="O33" s="106"/>
      <c r="P33" s="106"/>
      <c r="Q33" s="106"/>
      <c r="R33" s="106"/>
      <c r="S33" s="106"/>
      <c r="T33" s="106">
        <v>11071</v>
      </c>
      <c r="U33" s="106"/>
      <c r="V33" s="106"/>
      <c r="W33" s="106"/>
      <c r="X33" s="106"/>
      <c r="Y33" s="106"/>
      <c r="Z33" s="106"/>
      <c r="AA33" s="106">
        <v>2099</v>
      </c>
      <c r="AB33" s="106"/>
      <c r="AC33" s="106"/>
      <c r="AD33" s="106"/>
      <c r="AE33" s="106"/>
      <c r="AF33" s="106"/>
      <c r="AG33" s="106"/>
      <c r="AH33" s="106"/>
      <c r="AI33" s="96"/>
    </row>
    <row r="34" spans="1:35" s="4" customFormat="1" ht="19.5" thickBot="1" x14ac:dyDescent="0.35">
      <c r="A34" s="281">
        <v>260</v>
      </c>
      <c r="B34" s="302" t="s">
        <v>207</v>
      </c>
      <c r="C34" s="264">
        <v>1319</v>
      </c>
      <c r="D34" s="97"/>
      <c r="E34" s="115"/>
      <c r="F34" s="115">
        <f t="shared" si="0"/>
        <v>1319</v>
      </c>
      <c r="G34" s="115">
        <f t="shared" si="1"/>
        <v>0</v>
      </c>
      <c r="H34" s="96"/>
      <c r="I34" s="106"/>
      <c r="K34" s="106"/>
      <c r="L34" s="106"/>
      <c r="M34" s="106">
        <v>1318</v>
      </c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>
        <v>1</v>
      </c>
      <c r="AC34" s="106"/>
      <c r="AD34" s="106"/>
      <c r="AE34" s="106"/>
      <c r="AF34" s="106"/>
      <c r="AG34" s="106"/>
      <c r="AH34" s="106"/>
      <c r="AI34" s="96"/>
    </row>
    <row r="35" spans="1:35" s="4" customFormat="1" ht="19.5" thickBot="1" x14ac:dyDescent="0.35">
      <c r="A35" s="281">
        <v>270</v>
      </c>
      <c r="B35" s="302" t="s">
        <v>208</v>
      </c>
      <c r="C35" s="264">
        <v>2256</v>
      </c>
      <c r="D35" s="97"/>
      <c r="E35" s="115"/>
      <c r="F35" s="115">
        <f t="shared" si="0"/>
        <v>2256</v>
      </c>
      <c r="G35" s="115">
        <f t="shared" si="1"/>
        <v>0</v>
      </c>
      <c r="H35" s="96"/>
      <c r="I35" s="106"/>
      <c r="K35" s="106"/>
      <c r="L35" s="106"/>
      <c r="M35" s="106">
        <v>131</v>
      </c>
      <c r="N35" s="106"/>
      <c r="O35" s="106"/>
      <c r="P35" s="106"/>
      <c r="Q35" s="106"/>
      <c r="R35" s="106"/>
      <c r="S35" s="106"/>
      <c r="T35" s="106">
        <v>2125</v>
      </c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96"/>
    </row>
    <row r="36" spans="1:35" s="4" customFormat="1" ht="19.5" thickBot="1" x14ac:dyDescent="0.35">
      <c r="A36" s="281">
        <v>290</v>
      </c>
      <c r="B36" s="302" t="s">
        <v>209</v>
      </c>
      <c r="C36" s="264">
        <v>52780</v>
      </c>
      <c r="D36" s="97"/>
      <c r="E36" s="115"/>
      <c r="F36" s="115">
        <f t="shared" si="0"/>
        <v>52780</v>
      </c>
      <c r="G36" s="115">
        <f t="shared" si="1"/>
        <v>0</v>
      </c>
      <c r="H36" s="96"/>
      <c r="I36" s="106"/>
      <c r="K36" s="106">
        <v>18082</v>
      </c>
      <c r="L36" s="106"/>
      <c r="M36" s="106"/>
      <c r="N36" s="106"/>
      <c r="O36" s="106">
        <v>18768</v>
      </c>
      <c r="P36" s="106"/>
      <c r="Q36" s="106"/>
      <c r="R36" s="106"/>
      <c r="S36" s="106">
        <v>15930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96"/>
    </row>
    <row r="37" spans="1:35" s="4" customFormat="1" ht="19.5" thickBot="1" x14ac:dyDescent="0.35">
      <c r="A37" s="281">
        <v>310</v>
      </c>
      <c r="B37" s="302" t="s">
        <v>210</v>
      </c>
      <c r="C37" s="264">
        <v>11063</v>
      </c>
      <c r="D37" s="97"/>
      <c r="E37" s="115"/>
      <c r="F37" s="115">
        <f t="shared" si="0"/>
        <v>11063</v>
      </c>
      <c r="G37" s="115">
        <f t="shared" si="1"/>
        <v>0</v>
      </c>
      <c r="H37" s="96"/>
      <c r="I37" s="106"/>
      <c r="K37" s="106"/>
      <c r="L37" s="106"/>
      <c r="M37" s="106"/>
      <c r="N37" s="106"/>
      <c r="O37" s="106"/>
      <c r="P37" s="106"/>
      <c r="Q37" s="106"/>
      <c r="R37" s="106">
        <v>11063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96"/>
    </row>
    <row r="38" spans="1:35" s="4" customFormat="1" ht="19.5" thickBot="1" x14ac:dyDescent="0.35">
      <c r="A38" s="281">
        <v>470</v>
      </c>
      <c r="B38" s="302" t="s">
        <v>211</v>
      </c>
      <c r="C38" s="264">
        <v>504915</v>
      </c>
      <c r="D38" s="97"/>
      <c r="E38" s="115"/>
      <c r="F38" s="115">
        <f t="shared" si="0"/>
        <v>504915</v>
      </c>
      <c r="G38" s="115">
        <f t="shared" si="1"/>
        <v>0</v>
      </c>
      <c r="H38" s="96"/>
      <c r="I38" s="106"/>
      <c r="K38" s="106"/>
      <c r="L38" s="106">
        <v>61943</v>
      </c>
      <c r="M38" s="106">
        <v>37520</v>
      </c>
      <c r="N38" s="106">
        <v>37519</v>
      </c>
      <c r="O38" s="106">
        <v>37564</v>
      </c>
      <c r="P38" s="106">
        <v>37723</v>
      </c>
      <c r="Q38" s="106">
        <v>37904</v>
      </c>
      <c r="R38" s="106">
        <v>37816</v>
      </c>
      <c r="S38" s="106"/>
      <c r="T38" s="106">
        <v>75628</v>
      </c>
      <c r="U38" s="106"/>
      <c r="V38" s="106"/>
      <c r="W38" s="106">
        <v>83238</v>
      </c>
      <c r="X38" s="106">
        <v>58060</v>
      </c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96"/>
    </row>
    <row r="39" spans="1:35" s="4" customFormat="1" ht="19.5" thickBot="1" x14ac:dyDescent="0.35">
      <c r="A39" s="281">
        <v>480</v>
      </c>
      <c r="B39" s="302" t="s">
        <v>212</v>
      </c>
      <c r="C39" s="264">
        <v>737341</v>
      </c>
      <c r="D39" s="97"/>
      <c r="E39" s="115"/>
      <c r="F39" s="115">
        <f t="shared" si="0"/>
        <v>737341</v>
      </c>
      <c r="G39" s="115">
        <f t="shared" si="1"/>
        <v>0</v>
      </c>
      <c r="H39" s="96"/>
      <c r="I39" s="106"/>
      <c r="K39" s="106">
        <v>30969</v>
      </c>
      <c r="L39" s="106">
        <v>72005</v>
      </c>
      <c r="M39" s="106">
        <v>74469</v>
      </c>
      <c r="N39" s="106">
        <v>89473</v>
      </c>
      <c r="O39" s="106">
        <v>62996</v>
      </c>
      <c r="P39" s="106">
        <v>63261</v>
      </c>
      <c r="Q39" s="106">
        <v>71824</v>
      </c>
      <c r="R39" s="106">
        <v>80766</v>
      </c>
      <c r="S39" s="106">
        <v>66270</v>
      </c>
      <c r="T39" s="106">
        <v>61165</v>
      </c>
      <c r="U39" s="106">
        <v>45334</v>
      </c>
      <c r="V39" s="106">
        <v>8149</v>
      </c>
      <c r="W39" s="106"/>
      <c r="X39" s="106">
        <v>10660</v>
      </c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96"/>
    </row>
    <row r="40" spans="1:35" s="4" customFormat="1" ht="19.5" thickBot="1" x14ac:dyDescent="0.35">
      <c r="A40" s="281">
        <v>490</v>
      </c>
      <c r="B40" s="302" t="s">
        <v>213</v>
      </c>
      <c r="C40" s="264">
        <v>39028</v>
      </c>
      <c r="D40" s="97"/>
      <c r="E40" s="115"/>
      <c r="F40" s="115">
        <f t="shared" si="0"/>
        <v>39028</v>
      </c>
      <c r="G40" s="115">
        <f t="shared" si="1"/>
        <v>0</v>
      </c>
      <c r="H40" s="96"/>
      <c r="I40" s="106"/>
      <c r="K40" s="106"/>
      <c r="L40" s="106"/>
      <c r="M40" s="106">
        <v>19501</v>
      </c>
      <c r="N40" s="106"/>
      <c r="O40" s="106"/>
      <c r="P40" s="106"/>
      <c r="Q40" s="106"/>
      <c r="R40" s="106"/>
      <c r="S40" s="106">
        <v>19527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96"/>
    </row>
    <row r="41" spans="1:35" s="4" customFormat="1" ht="19.5" thickBot="1" x14ac:dyDescent="0.35">
      <c r="A41" s="281">
        <v>500</v>
      </c>
      <c r="B41" s="302" t="s">
        <v>214</v>
      </c>
      <c r="C41" s="264">
        <v>59705</v>
      </c>
      <c r="D41" s="97"/>
      <c r="E41" s="115"/>
      <c r="F41" s="115">
        <f t="shared" si="0"/>
        <v>59705</v>
      </c>
      <c r="G41" s="115">
        <f t="shared" si="1"/>
        <v>0</v>
      </c>
      <c r="H41" s="96"/>
      <c r="I41" s="106"/>
      <c r="K41" s="106">
        <v>17807</v>
      </c>
      <c r="L41" s="106">
        <v>3447</v>
      </c>
      <c r="M41" s="106">
        <v>3447</v>
      </c>
      <c r="N41" s="106"/>
      <c r="O41" s="106">
        <f>6747+3471</f>
        <v>10218</v>
      </c>
      <c r="P41" s="106">
        <v>247</v>
      </c>
      <c r="Q41" s="106">
        <v>6751</v>
      </c>
      <c r="R41" s="106">
        <v>3471</v>
      </c>
      <c r="S41" s="106">
        <v>3472</v>
      </c>
      <c r="T41" s="106">
        <v>3471</v>
      </c>
      <c r="U41" s="106"/>
      <c r="V41" s="106">
        <v>3621</v>
      </c>
      <c r="W41" s="106">
        <v>3753</v>
      </c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96"/>
    </row>
    <row r="42" spans="1:35" s="4" customFormat="1" ht="19.5" thickBot="1" x14ac:dyDescent="0.35">
      <c r="A42" s="281">
        <v>510</v>
      </c>
      <c r="B42" s="302" t="s">
        <v>407</v>
      </c>
      <c r="C42" s="264">
        <v>0</v>
      </c>
      <c r="D42" s="97"/>
      <c r="E42" s="115"/>
      <c r="F42" s="115">
        <f t="shared" si="0"/>
        <v>0</v>
      </c>
      <c r="G42" s="115">
        <f t="shared" si="1"/>
        <v>0</v>
      </c>
      <c r="H42" s="96"/>
      <c r="I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96"/>
    </row>
    <row r="43" spans="1:35" s="4" customFormat="1" ht="19.5" thickBot="1" x14ac:dyDescent="0.35">
      <c r="A43" s="281">
        <v>520</v>
      </c>
      <c r="B43" s="302" t="s">
        <v>216</v>
      </c>
      <c r="C43" s="264">
        <v>12231</v>
      </c>
      <c r="D43" s="97" t="s">
        <v>381</v>
      </c>
      <c r="E43" s="115">
        <f t="shared" si="2"/>
        <v>12231</v>
      </c>
      <c r="F43" s="115">
        <f t="shared" si="0"/>
        <v>0</v>
      </c>
      <c r="G43" s="115">
        <f t="shared" si="1"/>
        <v>0</v>
      </c>
      <c r="H43" s="96"/>
      <c r="I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96"/>
    </row>
    <row r="44" spans="1:35" s="4" customFormat="1" ht="19.5" thickBot="1" x14ac:dyDescent="0.35">
      <c r="A44" s="281">
        <v>540</v>
      </c>
      <c r="B44" s="302" t="s">
        <v>217</v>
      </c>
      <c r="C44" s="264">
        <v>39999</v>
      </c>
      <c r="D44" s="97"/>
      <c r="E44" s="115"/>
      <c r="F44" s="115">
        <f t="shared" si="0"/>
        <v>39999</v>
      </c>
      <c r="G44" s="115">
        <f t="shared" si="1"/>
        <v>0</v>
      </c>
      <c r="H44" s="96"/>
      <c r="I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>
        <v>9814</v>
      </c>
      <c r="U44" s="106">
        <v>1293</v>
      </c>
      <c r="V44" s="106"/>
      <c r="W44" s="106"/>
      <c r="X44" s="106"/>
      <c r="Y44" s="106"/>
      <c r="Z44" s="106">
        <v>28418</v>
      </c>
      <c r="AA44" s="106"/>
      <c r="AB44" s="106"/>
      <c r="AC44" s="106">
        <v>474</v>
      </c>
      <c r="AD44" s="106"/>
      <c r="AE44" s="106"/>
      <c r="AF44" s="106"/>
      <c r="AG44" s="106"/>
      <c r="AH44" s="106"/>
      <c r="AI44" s="96"/>
    </row>
    <row r="45" spans="1:35" s="4" customFormat="1" ht="19.5" thickBot="1" x14ac:dyDescent="0.35">
      <c r="A45" s="281">
        <v>550</v>
      </c>
      <c r="B45" s="302" t="s">
        <v>218</v>
      </c>
      <c r="C45" s="264">
        <v>74221</v>
      </c>
      <c r="D45" s="97"/>
      <c r="E45" s="115"/>
      <c r="F45" s="115">
        <f t="shared" si="0"/>
        <v>74221</v>
      </c>
      <c r="G45" s="115">
        <f t="shared" si="1"/>
        <v>0</v>
      </c>
      <c r="H45" s="96"/>
      <c r="I45" s="106"/>
      <c r="K45" s="106"/>
      <c r="L45" s="106">
        <v>15722</v>
      </c>
      <c r="M45" s="106">
        <v>8120</v>
      </c>
      <c r="N45" s="106"/>
      <c r="O45" s="106">
        <v>16238</v>
      </c>
      <c r="P45" s="106">
        <v>8119</v>
      </c>
      <c r="Q45" s="106"/>
      <c r="R45" s="106">
        <v>15825</v>
      </c>
      <c r="S45" s="106">
        <v>8209</v>
      </c>
      <c r="T45" s="106">
        <v>1472</v>
      </c>
      <c r="U45" s="106"/>
      <c r="V45" s="106"/>
      <c r="W45" s="106">
        <v>516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96"/>
    </row>
    <row r="46" spans="1:35" s="4" customFormat="1" ht="19.5" thickBot="1" x14ac:dyDescent="0.35">
      <c r="A46" s="281">
        <v>560</v>
      </c>
      <c r="B46" s="302" t="s">
        <v>219</v>
      </c>
      <c r="C46" s="264">
        <v>24168</v>
      </c>
      <c r="D46" s="97"/>
      <c r="E46" s="115"/>
      <c r="F46" s="115">
        <f t="shared" si="0"/>
        <v>24168</v>
      </c>
      <c r="G46" s="115">
        <f t="shared" si="1"/>
        <v>0</v>
      </c>
      <c r="H46" s="96"/>
      <c r="I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>
        <v>24159</v>
      </c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>
        <v>9</v>
      </c>
      <c r="AF46" s="106"/>
      <c r="AG46" s="106"/>
      <c r="AH46" s="106"/>
      <c r="AI46" s="96"/>
    </row>
    <row r="47" spans="1:35" s="4" customFormat="1" ht="19.5" thickBot="1" x14ac:dyDescent="0.35">
      <c r="A47" s="281">
        <v>580</v>
      </c>
      <c r="B47" s="302" t="s">
        <v>220</v>
      </c>
      <c r="C47" s="264">
        <v>36112</v>
      </c>
      <c r="D47" s="97"/>
      <c r="E47" s="115"/>
      <c r="F47" s="115">
        <f t="shared" si="0"/>
        <v>34407</v>
      </c>
      <c r="G47" s="115">
        <f t="shared" si="1"/>
        <v>1705</v>
      </c>
      <c r="H47" s="96"/>
      <c r="I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>
        <v>3841</v>
      </c>
      <c r="Y47" s="106"/>
      <c r="Z47" s="106">
        <v>3228</v>
      </c>
      <c r="AA47" s="106"/>
      <c r="AB47" s="106">
        <v>9142</v>
      </c>
      <c r="AC47" s="106"/>
      <c r="AD47" s="106">
        <v>4729</v>
      </c>
      <c r="AE47" s="106">
        <v>6230</v>
      </c>
      <c r="AF47" s="106">
        <v>6827</v>
      </c>
      <c r="AG47" s="106">
        <v>410</v>
      </c>
      <c r="AH47" s="106"/>
      <c r="AI47" s="96"/>
    </row>
    <row r="48" spans="1:35" s="4" customFormat="1" ht="19.5" thickBot="1" x14ac:dyDescent="0.35">
      <c r="A48" s="281">
        <v>640</v>
      </c>
      <c r="B48" s="61" t="s">
        <v>221</v>
      </c>
      <c r="C48" s="264">
        <v>38776</v>
      </c>
      <c r="D48" s="97"/>
      <c r="E48" s="115"/>
      <c r="F48" s="115">
        <f t="shared" si="0"/>
        <v>38776</v>
      </c>
      <c r="G48" s="115">
        <f t="shared" si="1"/>
        <v>0</v>
      </c>
      <c r="H48" s="96"/>
      <c r="I48" s="106"/>
      <c r="K48" s="106"/>
      <c r="L48" s="106"/>
      <c r="M48" s="106"/>
      <c r="N48" s="106"/>
      <c r="O48" s="106"/>
      <c r="P48" s="106"/>
      <c r="Q48" s="106"/>
      <c r="R48" s="106"/>
      <c r="S48" s="106">
        <v>3127</v>
      </c>
      <c r="T48" s="106"/>
      <c r="U48" s="106"/>
      <c r="V48" s="106"/>
      <c r="W48" s="106"/>
      <c r="X48" s="106">
        <v>8072</v>
      </c>
      <c r="Y48" s="106">
        <v>9969</v>
      </c>
      <c r="Z48" s="106">
        <v>2281</v>
      </c>
      <c r="AA48" s="106"/>
      <c r="AB48" s="106">
        <v>2277</v>
      </c>
      <c r="AC48" s="106">
        <v>2283</v>
      </c>
      <c r="AD48" s="106">
        <v>2453</v>
      </c>
      <c r="AE48" s="106">
        <v>8314</v>
      </c>
      <c r="AF48" s="106"/>
      <c r="AG48" s="106"/>
      <c r="AH48" s="106"/>
      <c r="AI48" s="96"/>
    </row>
    <row r="49" spans="1:35" s="4" customFormat="1" ht="19.5" thickBot="1" x14ac:dyDescent="0.35">
      <c r="A49" s="281">
        <v>740</v>
      </c>
      <c r="B49" s="302" t="s">
        <v>222</v>
      </c>
      <c r="C49" s="264">
        <v>26126</v>
      </c>
      <c r="D49" s="97"/>
      <c r="E49" s="115"/>
      <c r="F49" s="115">
        <f t="shared" si="0"/>
        <v>26126</v>
      </c>
      <c r="G49" s="115">
        <f t="shared" si="1"/>
        <v>0</v>
      </c>
      <c r="H49" s="96"/>
      <c r="I49" s="106"/>
      <c r="K49" s="106">
        <v>4353</v>
      </c>
      <c r="L49" s="106"/>
      <c r="M49" s="106">
        <v>2176</v>
      </c>
      <c r="N49" s="106"/>
      <c r="O49" s="106"/>
      <c r="P49" s="106">
        <f>4352+2176</f>
        <v>6528</v>
      </c>
      <c r="Q49" s="106"/>
      <c r="R49" s="106">
        <f>2176+2176</f>
        <v>4352</v>
      </c>
      <c r="S49" s="106"/>
      <c r="T49" s="106"/>
      <c r="U49" s="106">
        <v>8717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96"/>
    </row>
    <row r="50" spans="1:35" s="4" customFormat="1" ht="19.5" thickBot="1" x14ac:dyDescent="0.35">
      <c r="A50" s="281">
        <v>770</v>
      </c>
      <c r="B50" s="302" t="s">
        <v>223</v>
      </c>
      <c r="C50" s="264">
        <v>47388</v>
      </c>
      <c r="D50" s="97"/>
      <c r="E50" s="115"/>
      <c r="F50" s="115">
        <f t="shared" si="0"/>
        <v>47388</v>
      </c>
      <c r="G50" s="115">
        <f t="shared" si="1"/>
        <v>0</v>
      </c>
      <c r="H50" s="96"/>
      <c r="I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>
        <v>22201</v>
      </c>
      <c r="U50" s="106"/>
      <c r="V50" s="106"/>
      <c r="W50" s="106">
        <v>4057</v>
      </c>
      <c r="X50" s="106">
        <v>4664</v>
      </c>
      <c r="Y50" s="106"/>
      <c r="Z50" s="106"/>
      <c r="AA50" s="106">
        <v>6518</v>
      </c>
      <c r="AB50" s="106"/>
      <c r="AC50" s="106"/>
      <c r="AD50" s="106"/>
      <c r="AE50" s="106">
        <v>9948</v>
      </c>
      <c r="AF50" s="106"/>
      <c r="AG50" s="106"/>
      <c r="AH50" s="106"/>
      <c r="AI50" s="96"/>
    </row>
    <row r="51" spans="1:35" s="4" customFormat="1" ht="19.5" thickBot="1" x14ac:dyDescent="0.35">
      <c r="A51" s="281">
        <v>860</v>
      </c>
      <c r="B51" s="302" t="s">
        <v>224</v>
      </c>
      <c r="C51" s="264">
        <v>29765</v>
      </c>
      <c r="D51" s="97"/>
      <c r="E51" s="115"/>
      <c r="F51" s="115">
        <f t="shared" si="0"/>
        <v>29765</v>
      </c>
      <c r="G51" s="115">
        <f t="shared" si="1"/>
        <v>0</v>
      </c>
      <c r="H51" s="96"/>
      <c r="I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>
        <v>29765</v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96"/>
    </row>
    <row r="52" spans="1:35" s="4" customFormat="1" ht="19.5" thickBot="1" x14ac:dyDescent="0.35">
      <c r="A52" s="281">
        <v>870</v>
      </c>
      <c r="B52" s="302" t="s">
        <v>225</v>
      </c>
      <c r="C52" s="264">
        <v>233207</v>
      </c>
      <c r="D52" s="97"/>
      <c r="E52" s="115"/>
      <c r="F52" s="115">
        <f t="shared" si="0"/>
        <v>233207</v>
      </c>
      <c r="G52" s="115">
        <f t="shared" si="1"/>
        <v>0</v>
      </c>
      <c r="H52" s="96"/>
      <c r="I52" s="106"/>
      <c r="K52" s="106"/>
      <c r="L52" s="106">
        <v>23968</v>
      </c>
      <c r="M52" s="106"/>
      <c r="N52" s="106">
        <v>50287</v>
      </c>
      <c r="O52" s="106">
        <v>7471</v>
      </c>
      <c r="P52" s="106">
        <v>19462</v>
      </c>
      <c r="Q52" s="106">
        <v>19478</v>
      </c>
      <c r="R52" s="106">
        <v>19415</v>
      </c>
      <c r="S52" s="106">
        <v>19495</v>
      </c>
      <c r="T52" s="106">
        <v>51686</v>
      </c>
      <c r="U52" s="106"/>
      <c r="V52" s="106"/>
      <c r="W52" s="106"/>
      <c r="X52" s="106">
        <v>21945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96"/>
    </row>
    <row r="53" spans="1:35" s="4" customFormat="1" ht="19.5" thickBot="1" x14ac:dyDescent="0.35">
      <c r="A53" s="281">
        <v>880</v>
      </c>
      <c r="B53" s="302" t="s">
        <v>226</v>
      </c>
      <c r="C53" s="264">
        <v>4358079</v>
      </c>
      <c r="D53" s="97"/>
      <c r="E53" s="115"/>
      <c r="F53" s="115">
        <f t="shared" si="0"/>
        <v>4358079</v>
      </c>
      <c r="G53" s="115">
        <f t="shared" si="1"/>
        <v>0</v>
      </c>
      <c r="H53" s="96"/>
      <c r="I53" s="106"/>
      <c r="K53" s="106"/>
      <c r="L53" s="106"/>
      <c r="M53" s="106">
        <v>377149</v>
      </c>
      <c r="N53" s="106">
        <v>354377</v>
      </c>
      <c r="O53" s="106">
        <v>381993</v>
      </c>
      <c r="P53" s="106">
        <v>320968</v>
      </c>
      <c r="Q53" s="106">
        <v>564285</v>
      </c>
      <c r="R53" s="106">
        <v>247004</v>
      </c>
      <c r="S53" s="106">
        <v>485875</v>
      </c>
      <c r="T53" s="106">
        <v>405981</v>
      </c>
      <c r="U53" s="106">
        <v>380252</v>
      </c>
      <c r="V53" s="106"/>
      <c r="W53" s="106">
        <v>403839</v>
      </c>
      <c r="X53" s="106"/>
      <c r="Y53" s="106"/>
      <c r="Z53" s="106">
        <v>436356</v>
      </c>
      <c r="AA53" s="106"/>
      <c r="AB53" s="106"/>
      <c r="AC53" s="106"/>
      <c r="AD53" s="106"/>
      <c r="AE53" s="106"/>
      <c r="AF53" s="106"/>
      <c r="AG53" s="106"/>
      <c r="AH53" s="106"/>
      <c r="AI53" s="96"/>
    </row>
    <row r="54" spans="1:35" s="4" customFormat="1" ht="19.5" thickBot="1" x14ac:dyDescent="0.35">
      <c r="A54" s="281">
        <v>890</v>
      </c>
      <c r="B54" s="302" t="s">
        <v>227</v>
      </c>
      <c r="C54" s="264">
        <v>15181</v>
      </c>
      <c r="D54" s="98"/>
      <c r="E54" s="115"/>
      <c r="F54" s="115">
        <f t="shared" si="0"/>
        <v>15181</v>
      </c>
      <c r="G54" s="115">
        <f t="shared" si="1"/>
        <v>0</v>
      </c>
      <c r="H54" s="96"/>
      <c r="I54" s="106"/>
      <c r="K54" s="106"/>
      <c r="L54" s="106"/>
      <c r="M54" s="106"/>
      <c r="N54" s="106"/>
      <c r="O54" s="106">
        <v>15149</v>
      </c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>
        <v>32</v>
      </c>
      <c r="AC54" s="106"/>
      <c r="AD54" s="106"/>
      <c r="AE54" s="106"/>
      <c r="AF54" s="106"/>
      <c r="AG54" s="106"/>
      <c r="AH54" s="106"/>
      <c r="AI54" s="96"/>
    </row>
    <row r="55" spans="1:35" s="4" customFormat="1" ht="19.5" thickBot="1" x14ac:dyDescent="0.35">
      <c r="A55" s="281">
        <v>900</v>
      </c>
      <c r="B55" s="302" t="s">
        <v>228</v>
      </c>
      <c r="C55" s="264">
        <v>508433</v>
      </c>
      <c r="D55" s="97"/>
      <c r="E55" s="115"/>
      <c r="F55" s="115">
        <f t="shared" si="0"/>
        <v>508433</v>
      </c>
      <c r="G55" s="115">
        <f t="shared" si="1"/>
        <v>0</v>
      </c>
      <c r="H55" s="96"/>
      <c r="I55" s="106"/>
      <c r="K55" s="106"/>
      <c r="L55" s="106"/>
      <c r="M55" s="106"/>
      <c r="N55" s="106">
        <v>66850</v>
      </c>
      <c r="O55" s="106">
        <v>6381</v>
      </c>
      <c r="P55" s="106">
        <v>31587</v>
      </c>
      <c r="Q55" s="106">
        <v>30797</v>
      </c>
      <c r="R55" s="106">
        <v>32392</v>
      </c>
      <c r="S55" s="106">
        <v>31892</v>
      </c>
      <c r="T55" s="106">
        <v>75353</v>
      </c>
      <c r="U55" s="106"/>
      <c r="V55" s="106">
        <v>72380</v>
      </c>
      <c r="W55" s="106"/>
      <c r="X55" s="106">
        <v>53121</v>
      </c>
      <c r="Y55" s="106">
        <v>18773</v>
      </c>
      <c r="Z55" s="106">
        <v>20646</v>
      </c>
      <c r="AA55" s="106">
        <v>68261</v>
      </c>
      <c r="AB55" s="106"/>
      <c r="AC55" s="106"/>
      <c r="AD55" s="106"/>
      <c r="AE55" s="106"/>
      <c r="AF55" s="106"/>
      <c r="AG55" s="106"/>
      <c r="AH55" s="106"/>
      <c r="AI55" s="96"/>
    </row>
    <row r="56" spans="1:35" s="4" customFormat="1" ht="19.5" thickBot="1" x14ac:dyDescent="0.35">
      <c r="A56" s="281">
        <v>910</v>
      </c>
      <c r="B56" s="302" t="s">
        <v>229</v>
      </c>
      <c r="C56" s="264">
        <v>114272</v>
      </c>
      <c r="D56" s="97"/>
      <c r="E56" s="115"/>
      <c r="F56" s="115">
        <f t="shared" si="0"/>
        <v>114272</v>
      </c>
      <c r="G56" s="115">
        <f t="shared" si="1"/>
        <v>0</v>
      </c>
      <c r="H56" s="96"/>
      <c r="I56" s="106"/>
      <c r="K56" s="106"/>
      <c r="L56" s="106"/>
      <c r="M56" s="106"/>
      <c r="N56" s="106"/>
      <c r="O56" s="106"/>
      <c r="P56" s="106"/>
      <c r="Q56" s="106">
        <v>17232</v>
      </c>
      <c r="R56" s="106"/>
      <c r="S56" s="106"/>
      <c r="T56" s="106"/>
      <c r="U56" s="106">
        <v>94097</v>
      </c>
      <c r="V56" s="106"/>
      <c r="W56" s="106">
        <v>2861</v>
      </c>
      <c r="X56" s="106"/>
      <c r="Y56" s="106">
        <v>82</v>
      </c>
      <c r="Z56" s="106"/>
      <c r="AA56" s="106"/>
      <c r="AB56" s="106"/>
      <c r="AC56" s="106"/>
      <c r="AD56" s="106"/>
      <c r="AE56" s="106"/>
      <c r="AF56" s="106"/>
      <c r="AG56" s="106"/>
      <c r="AH56" s="106"/>
      <c r="AI56" s="96"/>
    </row>
    <row r="57" spans="1:35" s="4" customFormat="1" ht="19.5" thickBot="1" x14ac:dyDescent="0.35">
      <c r="A57" s="281">
        <v>920</v>
      </c>
      <c r="B57" s="302" t="s">
        <v>230</v>
      </c>
      <c r="C57" s="264">
        <v>43054</v>
      </c>
      <c r="D57" s="97"/>
      <c r="E57" s="115"/>
      <c r="F57" s="115">
        <f t="shared" si="0"/>
        <v>43054</v>
      </c>
      <c r="G57" s="115">
        <f t="shared" si="1"/>
        <v>0</v>
      </c>
      <c r="H57" s="96"/>
      <c r="I57" s="106"/>
      <c r="K57" s="106"/>
      <c r="L57" s="106"/>
      <c r="M57" s="106"/>
      <c r="N57" s="106"/>
      <c r="O57" s="106"/>
      <c r="P57" s="106"/>
      <c r="Q57" s="106">
        <v>26679</v>
      </c>
      <c r="R57" s="106"/>
      <c r="S57" s="106">
        <v>16375</v>
      </c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96"/>
    </row>
    <row r="58" spans="1:35" s="4" customFormat="1" ht="19.5" thickBot="1" x14ac:dyDescent="0.35">
      <c r="A58" s="281">
        <v>930</v>
      </c>
      <c r="B58" s="302" t="s">
        <v>231</v>
      </c>
      <c r="C58" s="264">
        <v>10532</v>
      </c>
      <c r="D58" s="97" t="s">
        <v>381</v>
      </c>
      <c r="E58" s="115">
        <f t="shared" si="2"/>
        <v>10532</v>
      </c>
      <c r="F58" s="115">
        <f t="shared" si="0"/>
        <v>0</v>
      </c>
      <c r="G58" s="115">
        <f t="shared" si="1"/>
        <v>0</v>
      </c>
      <c r="H58" s="96"/>
      <c r="I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96"/>
    </row>
    <row r="59" spans="1:35" s="4" customFormat="1" ht="19.5" thickBot="1" x14ac:dyDescent="0.35">
      <c r="A59" s="281">
        <v>940</v>
      </c>
      <c r="B59" s="302" t="s">
        <v>232</v>
      </c>
      <c r="C59" s="264">
        <v>24544</v>
      </c>
      <c r="D59" s="97"/>
      <c r="E59" s="115"/>
      <c r="F59" s="115">
        <f t="shared" si="0"/>
        <v>24544</v>
      </c>
      <c r="G59" s="115">
        <f t="shared" si="1"/>
        <v>0</v>
      </c>
      <c r="H59" s="96"/>
      <c r="I59" s="106"/>
      <c r="K59" s="106"/>
      <c r="L59" s="106"/>
      <c r="M59" s="106"/>
      <c r="N59" s="106"/>
      <c r="O59" s="106"/>
      <c r="P59" s="106"/>
      <c r="Q59" s="106"/>
      <c r="R59" s="106"/>
      <c r="S59" s="106">
        <v>24339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>
        <v>205</v>
      </c>
      <c r="AF59" s="106"/>
      <c r="AG59" s="106"/>
      <c r="AH59" s="106"/>
      <c r="AI59" s="96"/>
    </row>
    <row r="60" spans="1:35" s="4" customFormat="1" ht="19.5" thickBot="1" x14ac:dyDescent="0.35">
      <c r="A60" s="281">
        <v>950</v>
      </c>
      <c r="B60" s="302" t="s">
        <v>233</v>
      </c>
      <c r="C60" s="264">
        <v>3133</v>
      </c>
      <c r="D60" s="97"/>
      <c r="E60" s="115"/>
      <c r="F60" s="115">
        <f t="shared" si="0"/>
        <v>3133</v>
      </c>
      <c r="G60" s="115">
        <f t="shared" si="1"/>
        <v>0</v>
      </c>
      <c r="H60" s="96"/>
      <c r="I60" s="106"/>
      <c r="K60" s="106"/>
      <c r="L60" s="106"/>
      <c r="M60" s="106"/>
      <c r="N60" s="106"/>
      <c r="O60" s="106"/>
      <c r="P60" s="106"/>
      <c r="Q60" s="106"/>
      <c r="R60" s="106"/>
      <c r="S60" s="106">
        <v>3133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96"/>
    </row>
    <row r="61" spans="1:35" s="4" customFormat="1" ht="19.5" thickBot="1" x14ac:dyDescent="0.35">
      <c r="A61" s="281">
        <v>960</v>
      </c>
      <c r="B61" s="302" t="s">
        <v>234</v>
      </c>
      <c r="C61" s="264">
        <v>1344</v>
      </c>
      <c r="D61" s="97" t="s">
        <v>381</v>
      </c>
      <c r="E61" s="115">
        <f t="shared" si="2"/>
        <v>1344</v>
      </c>
      <c r="F61" s="115">
        <f t="shared" si="0"/>
        <v>0</v>
      </c>
      <c r="G61" s="115">
        <f t="shared" si="1"/>
        <v>0</v>
      </c>
      <c r="H61" s="96"/>
      <c r="I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96"/>
    </row>
    <row r="62" spans="1:35" s="4" customFormat="1" ht="19.5" thickBot="1" x14ac:dyDescent="0.35">
      <c r="A62" s="281">
        <v>970</v>
      </c>
      <c r="B62" s="302" t="s">
        <v>235</v>
      </c>
      <c r="C62" s="264">
        <v>14348</v>
      </c>
      <c r="D62" s="97"/>
      <c r="E62" s="115"/>
      <c r="F62" s="115">
        <f t="shared" si="0"/>
        <v>14348</v>
      </c>
      <c r="G62" s="115">
        <f t="shared" si="1"/>
        <v>0</v>
      </c>
      <c r="H62" s="96"/>
      <c r="I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>
        <v>14348</v>
      </c>
      <c r="AC62" s="106"/>
      <c r="AD62" s="106"/>
      <c r="AE62" s="106"/>
      <c r="AF62" s="106"/>
      <c r="AG62" s="106"/>
      <c r="AH62" s="106"/>
      <c r="AI62" s="96"/>
    </row>
    <row r="63" spans="1:35" s="4" customFormat="1" ht="19.5" thickBot="1" x14ac:dyDescent="0.35">
      <c r="A63" s="281">
        <v>980</v>
      </c>
      <c r="B63" s="302" t="s">
        <v>236</v>
      </c>
      <c r="C63" s="264">
        <v>626609</v>
      </c>
      <c r="D63" s="97"/>
      <c r="E63" s="115"/>
      <c r="F63" s="115">
        <f t="shared" si="0"/>
        <v>626609</v>
      </c>
      <c r="G63" s="115">
        <f t="shared" si="1"/>
        <v>0</v>
      </c>
      <c r="H63" s="96"/>
      <c r="I63" s="106"/>
      <c r="K63" s="106">
        <v>359143</v>
      </c>
      <c r="L63" s="106">
        <v>15646</v>
      </c>
      <c r="M63" s="106">
        <v>15646</v>
      </c>
      <c r="N63" s="106">
        <v>15646</v>
      </c>
      <c r="O63" s="106">
        <v>15753</v>
      </c>
      <c r="P63" s="106">
        <v>16917</v>
      </c>
      <c r="Q63" s="106">
        <v>37992</v>
      </c>
      <c r="R63" s="106">
        <v>34052</v>
      </c>
      <c r="S63" s="106">
        <v>36617</v>
      </c>
      <c r="T63" s="106">
        <v>11130</v>
      </c>
      <c r="U63" s="106">
        <v>4623</v>
      </c>
      <c r="V63" s="106">
        <v>31872</v>
      </c>
      <c r="W63" s="106">
        <v>31572</v>
      </c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96"/>
    </row>
    <row r="64" spans="1:35" s="4" customFormat="1" ht="19.5" thickBot="1" x14ac:dyDescent="0.35">
      <c r="A64" s="281">
        <v>990</v>
      </c>
      <c r="B64" s="302" t="s">
        <v>237</v>
      </c>
      <c r="C64" s="264">
        <v>266333</v>
      </c>
      <c r="D64" s="97"/>
      <c r="E64" s="115"/>
      <c r="F64" s="115">
        <f t="shared" si="0"/>
        <v>266333</v>
      </c>
      <c r="G64" s="115">
        <f t="shared" si="1"/>
        <v>0</v>
      </c>
      <c r="H64" s="96"/>
      <c r="I64" s="106"/>
      <c r="K64" s="106">
        <v>46792</v>
      </c>
      <c r="L64" s="106"/>
      <c r="M64" s="106">
        <v>19419</v>
      </c>
      <c r="N64" s="106"/>
      <c r="O64" s="106">
        <v>38897</v>
      </c>
      <c r="P64" s="106">
        <v>19560</v>
      </c>
      <c r="Q64" s="106">
        <v>39201</v>
      </c>
      <c r="R64" s="106">
        <v>20140</v>
      </c>
      <c r="S64" s="106">
        <v>19634</v>
      </c>
      <c r="T64" s="106">
        <v>24719</v>
      </c>
      <c r="U64" s="106"/>
      <c r="V64" s="106">
        <v>37605</v>
      </c>
      <c r="W64" s="106">
        <v>366</v>
      </c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96"/>
    </row>
    <row r="65" spans="1:35" s="4" customFormat="1" ht="19.5" thickBot="1" x14ac:dyDescent="0.35">
      <c r="A65" s="281">
        <v>1000</v>
      </c>
      <c r="B65" s="302" t="s">
        <v>238</v>
      </c>
      <c r="C65" s="264">
        <v>175559</v>
      </c>
      <c r="D65" s="97"/>
      <c r="E65" s="115"/>
      <c r="F65" s="115">
        <f t="shared" si="0"/>
        <v>175559</v>
      </c>
      <c r="G65" s="115">
        <f t="shared" si="1"/>
        <v>0</v>
      </c>
      <c r="H65" s="96"/>
      <c r="I65" s="106"/>
      <c r="K65" s="106">
        <v>29189</v>
      </c>
      <c r="L65" s="106">
        <v>15701</v>
      </c>
      <c r="M65" s="106">
        <v>9931</v>
      </c>
      <c r="N65" s="106">
        <v>10188</v>
      </c>
      <c r="O65" s="106">
        <v>9603</v>
      </c>
      <c r="P65" s="106">
        <v>10086</v>
      </c>
      <c r="Q65" s="106">
        <v>9933</v>
      </c>
      <c r="R65" s="106">
        <v>9933</v>
      </c>
      <c r="S65" s="106">
        <v>9933</v>
      </c>
      <c r="T65" s="106">
        <v>20383</v>
      </c>
      <c r="U65" s="106"/>
      <c r="V65" s="106"/>
      <c r="W65" s="106">
        <v>40679</v>
      </c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96"/>
    </row>
    <row r="66" spans="1:35" s="4" customFormat="1" ht="19.5" thickBot="1" x14ac:dyDescent="0.35">
      <c r="A66" s="281">
        <v>1010</v>
      </c>
      <c r="B66" s="302" t="s">
        <v>239</v>
      </c>
      <c r="C66" s="264">
        <v>1330693</v>
      </c>
      <c r="D66" s="97"/>
      <c r="E66" s="115"/>
      <c r="F66" s="115">
        <f t="shared" si="0"/>
        <v>1330693</v>
      </c>
      <c r="G66" s="115">
        <f t="shared" si="1"/>
        <v>0</v>
      </c>
      <c r="H66" s="96"/>
      <c r="I66" s="106"/>
      <c r="K66" s="106"/>
      <c r="L66" s="106"/>
      <c r="M66" s="106"/>
      <c r="N66" s="106"/>
      <c r="O66" s="106">
        <v>43328</v>
      </c>
      <c r="P66" s="106">
        <v>91078</v>
      </c>
      <c r="Q66" s="106">
        <v>92969</v>
      </c>
      <c r="R66" s="106">
        <v>95062</v>
      </c>
      <c r="S66" s="106">
        <v>172775</v>
      </c>
      <c r="T66" s="106">
        <v>73250</v>
      </c>
      <c r="U66" s="106"/>
      <c r="V66" s="106">
        <v>163452</v>
      </c>
      <c r="W66" s="106">
        <v>102968</v>
      </c>
      <c r="X66" s="106">
        <v>81168</v>
      </c>
      <c r="Y66" s="106">
        <v>82534</v>
      </c>
      <c r="Z66" s="106">
        <v>53932</v>
      </c>
      <c r="AA66" s="106">
        <v>77111</v>
      </c>
      <c r="AB66" s="106">
        <v>153843</v>
      </c>
      <c r="AC66" s="106">
        <v>47223</v>
      </c>
      <c r="AD66" s="106"/>
      <c r="AE66" s="106"/>
      <c r="AF66" s="106"/>
      <c r="AG66" s="106"/>
      <c r="AH66" s="106"/>
      <c r="AI66" s="96"/>
    </row>
    <row r="67" spans="1:35" s="4" customFormat="1" ht="19.5" thickBot="1" x14ac:dyDescent="0.35">
      <c r="A67" s="281">
        <v>1020</v>
      </c>
      <c r="B67" s="302" t="s">
        <v>240</v>
      </c>
      <c r="C67" s="264">
        <v>70164</v>
      </c>
      <c r="D67" s="97"/>
      <c r="E67" s="115"/>
      <c r="F67" s="115">
        <f t="shared" si="0"/>
        <v>70164</v>
      </c>
      <c r="G67" s="115">
        <f t="shared" si="1"/>
        <v>0</v>
      </c>
      <c r="H67" s="96"/>
      <c r="I67" s="106"/>
      <c r="K67" s="106"/>
      <c r="L67" s="106"/>
      <c r="M67" s="106"/>
      <c r="N67" s="106"/>
      <c r="O67" s="106"/>
      <c r="P67" s="106"/>
      <c r="Q67" s="106"/>
      <c r="R67" s="106"/>
      <c r="S67" s="106">
        <v>37974</v>
      </c>
      <c r="T67" s="106">
        <v>28515</v>
      </c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>
        <v>3675</v>
      </c>
      <c r="AF67" s="106"/>
      <c r="AG67" s="106"/>
      <c r="AH67" s="106"/>
      <c r="AI67" s="96"/>
    </row>
    <row r="68" spans="1:35" s="4" customFormat="1" ht="19.5" thickBot="1" x14ac:dyDescent="0.35">
      <c r="A68" s="281">
        <v>1030</v>
      </c>
      <c r="B68" s="302" t="s">
        <v>241</v>
      </c>
      <c r="C68" s="264">
        <v>90292</v>
      </c>
      <c r="D68" s="97"/>
      <c r="E68" s="115"/>
      <c r="F68" s="115">
        <f t="shared" si="0"/>
        <v>90292</v>
      </c>
      <c r="G68" s="115">
        <f t="shared" si="1"/>
        <v>0</v>
      </c>
      <c r="H68" s="96"/>
      <c r="I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>
        <v>74436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>
        <v>15856</v>
      </c>
      <c r="AE68" s="106"/>
      <c r="AF68" s="106"/>
      <c r="AG68" s="106"/>
      <c r="AH68" s="106"/>
      <c r="AI68" s="96"/>
    </row>
    <row r="69" spans="1:35" s="4" customFormat="1" ht="19.5" thickBot="1" x14ac:dyDescent="0.35">
      <c r="A69" s="281">
        <v>1040</v>
      </c>
      <c r="B69" s="302" t="s">
        <v>242</v>
      </c>
      <c r="C69" s="264">
        <v>260070</v>
      </c>
      <c r="D69" s="97"/>
      <c r="E69" s="115"/>
      <c r="F69" s="115">
        <f t="shared" si="0"/>
        <v>260070</v>
      </c>
      <c r="G69" s="115">
        <f t="shared" si="1"/>
        <v>0</v>
      </c>
      <c r="H69" s="96"/>
      <c r="I69" s="106"/>
      <c r="K69" s="106"/>
      <c r="L69" s="106"/>
      <c r="M69" s="106"/>
      <c r="N69" s="106"/>
      <c r="O69" s="106"/>
      <c r="P69" s="106">
        <v>42159</v>
      </c>
      <c r="Q69" s="106"/>
      <c r="R69" s="106">
        <v>45365</v>
      </c>
      <c r="S69" s="106"/>
      <c r="T69" s="106">
        <v>84059</v>
      </c>
      <c r="U69" s="106">
        <v>34412</v>
      </c>
      <c r="V69" s="106">
        <v>9434</v>
      </c>
      <c r="W69" s="106"/>
      <c r="X69" s="106"/>
      <c r="Y69" s="106"/>
      <c r="Z69" s="106"/>
      <c r="AA69" s="106">
        <v>44641</v>
      </c>
      <c r="AB69" s="106"/>
      <c r="AC69" s="106"/>
      <c r="AD69" s="106"/>
      <c r="AE69" s="106"/>
      <c r="AF69" s="106"/>
      <c r="AG69" s="106"/>
      <c r="AH69" s="106"/>
      <c r="AI69" s="96"/>
    </row>
    <row r="70" spans="1:35" s="4" customFormat="1" ht="19.5" thickBot="1" x14ac:dyDescent="0.35">
      <c r="A70" s="281">
        <v>1050</v>
      </c>
      <c r="B70" s="302" t="s">
        <v>243</v>
      </c>
      <c r="C70" s="264">
        <v>32236</v>
      </c>
      <c r="D70" s="97"/>
      <c r="E70" s="115"/>
      <c r="F70" s="115">
        <f t="shared" si="0"/>
        <v>32236</v>
      </c>
      <c r="G70" s="115">
        <f t="shared" si="1"/>
        <v>0</v>
      </c>
      <c r="H70" s="96"/>
      <c r="I70" s="106"/>
      <c r="K70" s="106"/>
      <c r="L70" s="106"/>
      <c r="M70" s="106"/>
      <c r="N70" s="106"/>
      <c r="O70" s="106"/>
      <c r="P70" s="106">
        <v>15645</v>
      </c>
      <c r="Q70" s="106"/>
      <c r="R70" s="106"/>
      <c r="S70" s="106"/>
      <c r="T70" s="106"/>
      <c r="U70" s="106"/>
      <c r="V70" s="106"/>
      <c r="W70" s="106">
        <v>15468</v>
      </c>
      <c r="X70" s="106"/>
      <c r="Y70" s="106"/>
      <c r="Z70" s="106"/>
      <c r="AA70" s="106"/>
      <c r="AB70" s="106"/>
      <c r="AC70" s="106"/>
      <c r="AD70" s="106"/>
      <c r="AE70" s="106">
        <v>1123</v>
      </c>
      <c r="AF70" s="106"/>
      <c r="AG70" s="106"/>
      <c r="AH70" s="106"/>
      <c r="AI70" s="96"/>
    </row>
    <row r="71" spans="1:35" s="4" customFormat="1" ht="19.5" thickBot="1" x14ac:dyDescent="0.35">
      <c r="A71" s="281">
        <v>1060</v>
      </c>
      <c r="B71" s="302" t="s">
        <v>244</v>
      </c>
      <c r="C71" s="264">
        <v>18796</v>
      </c>
      <c r="D71" s="97"/>
      <c r="E71" s="115"/>
      <c r="F71" s="115">
        <f t="shared" si="0"/>
        <v>18796</v>
      </c>
      <c r="G71" s="115">
        <f t="shared" si="1"/>
        <v>0</v>
      </c>
      <c r="H71" s="96"/>
      <c r="I71" s="106"/>
      <c r="K71" s="106"/>
      <c r="L71" s="106"/>
      <c r="M71" s="106">
        <v>4677</v>
      </c>
      <c r="N71" s="106"/>
      <c r="O71" s="106"/>
      <c r="P71" s="106">
        <v>9354</v>
      </c>
      <c r="Q71" s="106"/>
      <c r="R71" s="106">
        <v>4765</v>
      </c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96"/>
    </row>
    <row r="72" spans="1:35" s="4" customFormat="1" ht="19.5" thickBot="1" x14ac:dyDescent="0.35">
      <c r="A72" s="281">
        <v>1070</v>
      </c>
      <c r="B72" s="302" t="s">
        <v>245</v>
      </c>
      <c r="C72" s="264">
        <v>7235</v>
      </c>
      <c r="D72" s="97"/>
      <c r="E72" s="115"/>
      <c r="F72" s="115">
        <f t="shared" si="0"/>
        <v>7235</v>
      </c>
      <c r="G72" s="115">
        <f t="shared" si="1"/>
        <v>0</v>
      </c>
      <c r="H72" s="96"/>
      <c r="I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>
        <v>7235</v>
      </c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96"/>
    </row>
    <row r="73" spans="1:35" s="4" customFormat="1" ht="19.5" thickBot="1" x14ac:dyDescent="0.35">
      <c r="A73" s="281">
        <v>1080</v>
      </c>
      <c r="B73" s="302" t="s">
        <v>246</v>
      </c>
      <c r="C73" s="264">
        <v>68305</v>
      </c>
      <c r="D73" s="97"/>
      <c r="E73" s="115"/>
      <c r="F73" s="115">
        <f t="shared" si="0"/>
        <v>68305</v>
      </c>
      <c r="G73" s="115">
        <f t="shared" si="1"/>
        <v>0</v>
      </c>
      <c r="H73" s="96"/>
      <c r="I73" s="106"/>
      <c r="K73" s="106"/>
      <c r="L73" s="106"/>
      <c r="M73" s="106"/>
      <c r="N73" s="106"/>
      <c r="O73" s="106"/>
      <c r="P73" s="106">
        <v>13352</v>
      </c>
      <c r="Q73" s="106">
        <v>5533</v>
      </c>
      <c r="R73" s="106">
        <v>5533</v>
      </c>
      <c r="S73" s="106">
        <v>5533</v>
      </c>
      <c r="T73" s="106">
        <v>5533</v>
      </c>
      <c r="U73" s="106">
        <v>5533</v>
      </c>
      <c r="V73" s="106">
        <v>20783</v>
      </c>
      <c r="W73" s="106"/>
      <c r="X73" s="106"/>
      <c r="Y73" s="106"/>
      <c r="Z73" s="106"/>
      <c r="AA73" s="106">
        <v>6505</v>
      </c>
      <c r="AB73" s="106"/>
      <c r="AC73" s="106"/>
      <c r="AD73" s="106"/>
      <c r="AE73" s="106"/>
      <c r="AF73" s="106"/>
      <c r="AG73" s="106"/>
      <c r="AH73" s="106"/>
      <c r="AI73" s="96"/>
    </row>
    <row r="74" spans="1:35" s="4" customFormat="1" ht="19.5" thickBot="1" x14ac:dyDescent="0.35">
      <c r="A74" s="281">
        <v>1110</v>
      </c>
      <c r="B74" s="302" t="s">
        <v>247</v>
      </c>
      <c r="C74" s="264">
        <v>143601</v>
      </c>
      <c r="D74" s="97"/>
      <c r="E74" s="115"/>
      <c r="F74" s="115">
        <f t="shared" si="0"/>
        <v>143601</v>
      </c>
      <c r="G74" s="115">
        <f t="shared" si="1"/>
        <v>0</v>
      </c>
      <c r="H74" s="96"/>
      <c r="I74" s="106"/>
      <c r="K74" s="106"/>
      <c r="L74" s="106"/>
      <c r="M74" s="106">
        <v>33875</v>
      </c>
      <c r="N74" s="106"/>
      <c r="O74" s="106">
        <v>17024</v>
      </c>
      <c r="P74" s="106"/>
      <c r="Q74" s="106">
        <v>20518</v>
      </c>
      <c r="R74" s="106"/>
      <c r="S74" s="106">
        <v>10351</v>
      </c>
      <c r="T74" s="106"/>
      <c r="U74" s="106">
        <v>25934</v>
      </c>
      <c r="V74" s="106"/>
      <c r="W74" s="106"/>
      <c r="X74" s="106">
        <v>26129</v>
      </c>
      <c r="Y74" s="106"/>
      <c r="Z74" s="106"/>
      <c r="AA74" s="106">
        <v>9770</v>
      </c>
      <c r="AB74" s="106"/>
      <c r="AC74" s="106"/>
      <c r="AD74" s="106"/>
      <c r="AE74" s="106"/>
      <c r="AF74" s="106"/>
      <c r="AG74" s="106"/>
      <c r="AH74" s="106"/>
      <c r="AI74" s="96"/>
    </row>
    <row r="75" spans="1:35" s="4" customFormat="1" ht="19.5" thickBot="1" x14ac:dyDescent="0.35">
      <c r="A75" s="281">
        <v>1120</v>
      </c>
      <c r="B75" s="302" t="s">
        <v>248</v>
      </c>
      <c r="C75" s="264">
        <v>1357</v>
      </c>
      <c r="D75" s="97"/>
      <c r="E75" s="115"/>
      <c r="F75" s="115">
        <f t="shared" si="0"/>
        <v>1357</v>
      </c>
      <c r="G75" s="115">
        <f t="shared" si="1"/>
        <v>0</v>
      </c>
      <c r="H75" s="96"/>
      <c r="I75" s="106"/>
      <c r="K75" s="106"/>
      <c r="L75" s="106"/>
      <c r="M75" s="106"/>
      <c r="N75" s="106">
        <v>1357</v>
      </c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96"/>
    </row>
    <row r="76" spans="1:35" s="4" customFormat="1" ht="19.5" thickBot="1" x14ac:dyDescent="0.35">
      <c r="A76" s="281">
        <v>1130</v>
      </c>
      <c r="B76" s="302" t="s">
        <v>249</v>
      </c>
      <c r="C76" s="264">
        <v>13701</v>
      </c>
      <c r="D76" s="97"/>
      <c r="E76" s="115"/>
      <c r="F76" s="115">
        <f t="shared" si="0"/>
        <v>13701</v>
      </c>
      <c r="G76" s="115">
        <f t="shared" si="1"/>
        <v>0</v>
      </c>
      <c r="H76" s="96"/>
      <c r="I76" s="106"/>
      <c r="K76" s="106"/>
      <c r="L76" s="106"/>
      <c r="M76" s="106"/>
      <c r="N76" s="106"/>
      <c r="O76" s="106">
        <v>5335</v>
      </c>
      <c r="P76" s="106"/>
      <c r="Q76" s="106"/>
      <c r="R76" s="106"/>
      <c r="S76" s="106"/>
      <c r="T76" s="106">
        <v>2296</v>
      </c>
      <c r="U76" s="106"/>
      <c r="V76" s="106">
        <f>4833+1194</f>
        <v>6027</v>
      </c>
      <c r="W76" s="106"/>
      <c r="X76" s="106"/>
      <c r="Y76" s="106"/>
      <c r="Z76" s="106"/>
      <c r="AA76" s="106">
        <v>43</v>
      </c>
      <c r="AB76" s="106"/>
      <c r="AC76" s="106"/>
      <c r="AD76" s="106"/>
      <c r="AE76" s="106"/>
      <c r="AF76" s="106"/>
      <c r="AG76" s="106"/>
      <c r="AH76" s="106"/>
      <c r="AI76" s="96"/>
    </row>
    <row r="77" spans="1:35" s="4" customFormat="1" ht="19.5" thickBot="1" x14ac:dyDescent="0.35">
      <c r="A77" s="281">
        <v>1140</v>
      </c>
      <c r="B77" s="302" t="s">
        <v>250</v>
      </c>
      <c r="C77" s="264">
        <v>193352</v>
      </c>
      <c r="D77" s="97"/>
      <c r="E77" s="115"/>
      <c r="F77" s="115">
        <f t="shared" si="0"/>
        <v>193352</v>
      </c>
      <c r="G77" s="115">
        <f t="shared" si="1"/>
        <v>0</v>
      </c>
      <c r="H77" s="96"/>
      <c r="I77" s="106"/>
      <c r="K77" s="106"/>
      <c r="L77" s="106"/>
      <c r="M77" s="106"/>
      <c r="N77" s="106">
        <v>46447</v>
      </c>
      <c r="O77" s="106"/>
      <c r="P77" s="106">
        <v>16591</v>
      </c>
      <c r="Q77" s="106">
        <v>28130</v>
      </c>
      <c r="R77" s="106"/>
      <c r="S77" s="106">
        <v>45002</v>
      </c>
      <c r="T77" s="106"/>
      <c r="U77" s="106">
        <f>39920+17262</f>
        <v>57182</v>
      </c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96"/>
    </row>
    <row r="78" spans="1:35" s="4" customFormat="1" ht="19.5" thickBot="1" x14ac:dyDescent="0.35">
      <c r="A78" s="281">
        <v>1150</v>
      </c>
      <c r="B78" s="302" t="s">
        <v>251</v>
      </c>
      <c r="C78" s="264">
        <v>103353</v>
      </c>
      <c r="D78" s="97"/>
      <c r="E78" s="115"/>
      <c r="F78" s="115">
        <f t="shared" si="0"/>
        <v>103353</v>
      </c>
      <c r="G78" s="115">
        <f t="shared" si="1"/>
        <v>0</v>
      </c>
      <c r="H78" s="96"/>
      <c r="I78" s="106"/>
      <c r="K78" s="106"/>
      <c r="L78" s="106"/>
      <c r="M78" s="106">
        <v>19727</v>
      </c>
      <c r="N78" s="106"/>
      <c r="O78" s="106">
        <v>19736</v>
      </c>
      <c r="P78" s="106"/>
      <c r="Q78" s="106">
        <f>8140+8141</f>
        <v>16281</v>
      </c>
      <c r="R78" s="106"/>
      <c r="S78" s="106"/>
      <c r="T78" s="106">
        <v>16298</v>
      </c>
      <c r="U78" s="106">
        <v>7638</v>
      </c>
      <c r="V78" s="106">
        <v>8358</v>
      </c>
      <c r="W78" s="106">
        <v>13141</v>
      </c>
      <c r="X78" s="106">
        <v>2174</v>
      </c>
      <c r="Y78" s="106"/>
      <c r="Z78" s="106"/>
      <c r="AA78" s="106" t="s">
        <v>410</v>
      </c>
      <c r="AB78" s="106"/>
      <c r="AC78" s="106"/>
      <c r="AD78" s="106"/>
      <c r="AE78" s="106"/>
      <c r="AF78" s="106"/>
      <c r="AG78" s="106"/>
      <c r="AH78" s="106"/>
      <c r="AI78" s="96"/>
    </row>
    <row r="79" spans="1:35" s="4" customFormat="1" ht="19.5" thickBot="1" x14ac:dyDescent="0.35">
      <c r="A79" s="281">
        <v>1160</v>
      </c>
      <c r="B79" s="302" t="s">
        <v>252</v>
      </c>
      <c r="C79" s="264">
        <v>6492</v>
      </c>
      <c r="D79" s="97"/>
      <c r="E79" s="115"/>
      <c r="F79" s="115">
        <f t="shared" ref="F79:F142" si="3">SUM(H79:AI79)</f>
        <v>6492</v>
      </c>
      <c r="G79" s="115">
        <f t="shared" ref="G79:G142" si="4">IF(ISBLANK(E79),C79-F79,C79-E79)</f>
        <v>0</v>
      </c>
      <c r="H79" s="96"/>
      <c r="I79" s="106"/>
      <c r="K79" s="106"/>
      <c r="L79" s="106"/>
      <c r="M79" s="106">
        <v>3266</v>
      </c>
      <c r="N79" s="106"/>
      <c r="O79" s="106"/>
      <c r="P79" s="106"/>
      <c r="Q79" s="106"/>
      <c r="R79" s="106"/>
      <c r="S79" s="106">
        <v>3226</v>
      </c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96"/>
    </row>
    <row r="80" spans="1:35" s="4" customFormat="1" ht="19.5" thickBot="1" x14ac:dyDescent="0.35">
      <c r="A80" s="281">
        <v>1180</v>
      </c>
      <c r="B80" s="302" t="s">
        <v>253</v>
      </c>
      <c r="C80" s="264">
        <v>128380</v>
      </c>
      <c r="D80" s="97"/>
      <c r="E80" s="115"/>
      <c r="F80" s="115">
        <f t="shared" si="3"/>
        <v>128380</v>
      </c>
      <c r="G80" s="115">
        <f t="shared" si="4"/>
        <v>0</v>
      </c>
      <c r="H80" s="96"/>
      <c r="I80" s="106"/>
      <c r="K80" s="106"/>
      <c r="L80" s="106"/>
      <c r="M80" s="106"/>
      <c r="N80" s="106"/>
      <c r="O80" s="106"/>
      <c r="P80" s="106">
        <v>38001</v>
      </c>
      <c r="Q80" s="106"/>
      <c r="R80" s="106"/>
      <c r="S80" s="106">
        <v>18850</v>
      </c>
      <c r="T80" s="106"/>
      <c r="U80" s="106"/>
      <c r="V80" s="106"/>
      <c r="W80" s="106">
        <v>2471</v>
      </c>
      <c r="X80" s="106"/>
      <c r="Y80" s="106"/>
      <c r="Z80" s="106"/>
      <c r="AA80" s="106"/>
      <c r="AB80" s="106">
        <v>37807</v>
      </c>
      <c r="AC80" s="106"/>
      <c r="AD80" s="106"/>
      <c r="AE80" s="106"/>
      <c r="AF80" s="106"/>
      <c r="AG80" s="106"/>
      <c r="AH80" s="106"/>
      <c r="AI80" s="106">
        <v>31251</v>
      </c>
    </row>
    <row r="81" spans="1:35" s="4" customFormat="1" ht="19.5" thickBot="1" x14ac:dyDescent="0.35">
      <c r="A81" s="281">
        <v>1195</v>
      </c>
      <c r="B81" s="302" t="s">
        <v>254</v>
      </c>
      <c r="C81" s="264">
        <v>128859</v>
      </c>
      <c r="D81" s="97"/>
      <c r="E81" s="115"/>
      <c r="F81" s="115">
        <f t="shared" si="3"/>
        <v>128859</v>
      </c>
      <c r="G81" s="115">
        <f t="shared" si="4"/>
        <v>0</v>
      </c>
      <c r="H81" s="96"/>
      <c r="I81" s="106"/>
      <c r="K81" s="106"/>
      <c r="L81" s="106"/>
      <c r="M81" s="106">
        <v>41000</v>
      </c>
      <c r="N81" s="106"/>
      <c r="O81" s="106">
        <v>9906</v>
      </c>
      <c r="P81" s="106">
        <v>10207</v>
      </c>
      <c r="Q81" s="106">
        <v>19935</v>
      </c>
      <c r="R81" s="106"/>
      <c r="S81" s="106"/>
      <c r="T81" s="106">
        <v>19744</v>
      </c>
      <c r="U81" s="106">
        <v>11090</v>
      </c>
      <c r="V81" s="106">
        <v>10147</v>
      </c>
      <c r="W81" s="106"/>
      <c r="X81" s="106">
        <v>6830</v>
      </c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96"/>
    </row>
    <row r="82" spans="1:35" s="4" customFormat="1" ht="19.5" thickBot="1" x14ac:dyDescent="0.35">
      <c r="A82" s="281">
        <v>1220</v>
      </c>
      <c r="B82" s="302" t="s">
        <v>255</v>
      </c>
      <c r="C82" s="264">
        <v>28748</v>
      </c>
      <c r="D82" s="97"/>
      <c r="E82" s="115"/>
      <c r="F82" s="115">
        <f t="shared" si="3"/>
        <v>28748</v>
      </c>
      <c r="G82" s="115">
        <f t="shared" si="4"/>
        <v>0</v>
      </c>
      <c r="H82" s="96"/>
      <c r="I82" s="106"/>
      <c r="K82" s="106"/>
      <c r="L82" s="106"/>
      <c r="M82" s="106"/>
      <c r="N82" s="106"/>
      <c r="O82" s="106"/>
      <c r="P82" s="106"/>
      <c r="Q82" s="106"/>
      <c r="R82" s="106"/>
      <c r="S82" s="106">
        <v>28748</v>
      </c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96"/>
    </row>
    <row r="83" spans="1:35" s="4" customFormat="1" ht="19.5" thickBot="1" x14ac:dyDescent="0.35">
      <c r="A83" s="281">
        <v>1330</v>
      </c>
      <c r="B83" s="302" t="s">
        <v>256</v>
      </c>
      <c r="C83" s="264">
        <v>11157</v>
      </c>
      <c r="D83" s="97"/>
      <c r="E83" s="115"/>
      <c r="F83" s="115">
        <f t="shared" si="3"/>
        <v>11157</v>
      </c>
      <c r="G83" s="115">
        <f t="shared" si="4"/>
        <v>0</v>
      </c>
      <c r="H83" s="96"/>
      <c r="I83" s="106"/>
      <c r="K83" s="106"/>
      <c r="L83" s="106"/>
      <c r="M83" s="106"/>
      <c r="N83" s="106"/>
      <c r="O83" s="106"/>
      <c r="P83" s="106"/>
      <c r="Q83" s="106"/>
      <c r="R83" s="106"/>
      <c r="S83" s="106">
        <v>9695</v>
      </c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>
        <v>1462</v>
      </c>
      <c r="AE83" s="106"/>
      <c r="AF83" s="106"/>
      <c r="AG83" s="106"/>
      <c r="AH83" s="106"/>
      <c r="AI83" s="96"/>
    </row>
    <row r="84" spans="1:35" s="4" customFormat="1" ht="19.5" thickBot="1" x14ac:dyDescent="0.35">
      <c r="A84" s="281">
        <v>1340</v>
      </c>
      <c r="B84" s="302" t="s">
        <v>257</v>
      </c>
      <c r="C84" s="264">
        <v>19110</v>
      </c>
      <c r="D84" s="97"/>
      <c r="E84" s="115"/>
      <c r="F84" s="115">
        <f t="shared" si="3"/>
        <v>19110</v>
      </c>
      <c r="G84" s="115">
        <f t="shared" si="4"/>
        <v>0</v>
      </c>
      <c r="H84" s="96"/>
      <c r="I84" s="106"/>
      <c r="K84" s="106"/>
      <c r="L84" s="106"/>
      <c r="M84" s="106"/>
      <c r="N84" s="106"/>
      <c r="O84" s="106"/>
      <c r="P84" s="106"/>
      <c r="Q84" s="106">
        <v>19110</v>
      </c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96"/>
    </row>
    <row r="85" spans="1:35" s="4" customFormat="1" ht="19.5" thickBot="1" x14ac:dyDescent="0.35">
      <c r="A85" s="281">
        <v>1350</v>
      </c>
      <c r="B85" s="302" t="s">
        <v>258</v>
      </c>
      <c r="C85" s="264">
        <v>31065</v>
      </c>
      <c r="D85" s="97"/>
      <c r="E85" s="115"/>
      <c r="F85" s="115">
        <f t="shared" si="3"/>
        <v>31065</v>
      </c>
      <c r="G85" s="115">
        <f t="shared" si="4"/>
        <v>0</v>
      </c>
      <c r="H85" s="96"/>
      <c r="I85" s="106"/>
      <c r="K85" s="106"/>
      <c r="L85" s="106"/>
      <c r="M85" s="106">
        <v>1522</v>
      </c>
      <c r="N85" s="106"/>
      <c r="O85" s="106"/>
      <c r="P85" s="106"/>
      <c r="Q85" s="106"/>
      <c r="R85" s="106">
        <v>16039</v>
      </c>
      <c r="S85" s="106"/>
      <c r="T85" s="106">
        <v>13504</v>
      </c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96"/>
    </row>
    <row r="86" spans="1:35" s="4" customFormat="1" ht="19.5" thickBot="1" x14ac:dyDescent="0.35">
      <c r="A86" s="281">
        <v>1360</v>
      </c>
      <c r="B86" s="302" t="s">
        <v>259</v>
      </c>
      <c r="C86" s="264">
        <v>60968</v>
      </c>
      <c r="D86" s="97"/>
      <c r="E86" s="115"/>
      <c r="F86" s="115">
        <f t="shared" si="3"/>
        <v>60968</v>
      </c>
      <c r="G86" s="115">
        <f t="shared" si="4"/>
        <v>0</v>
      </c>
      <c r="H86" s="96"/>
      <c r="I86" s="106"/>
      <c r="K86" s="106"/>
      <c r="L86" s="106"/>
      <c r="M86" s="106">
        <v>4000</v>
      </c>
      <c r="N86" s="106"/>
      <c r="O86" s="106">
        <v>21806</v>
      </c>
      <c r="P86" s="106"/>
      <c r="Q86" s="106"/>
      <c r="R86" s="106"/>
      <c r="S86" s="106">
        <v>6759</v>
      </c>
      <c r="T86" s="106"/>
      <c r="U86" s="106"/>
      <c r="V86" s="106"/>
      <c r="W86" s="106"/>
      <c r="X86" s="106"/>
      <c r="Y86" s="106">
        <v>27681</v>
      </c>
      <c r="Z86" s="106">
        <v>722</v>
      </c>
      <c r="AA86" s="106"/>
      <c r="AB86" s="106"/>
      <c r="AC86" s="106"/>
      <c r="AD86" s="106"/>
      <c r="AE86" s="106"/>
      <c r="AF86" s="106"/>
      <c r="AG86" s="106"/>
      <c r="AH86" s="106"/>
      <c r="AI86" s="96"/>
    </row>
    <row r="87" spans="1:35" s="4" customFormat="1" ht="19.5" thickBot="1" x14ac:dyDescent="0.35">
      <c r="A87" s="281">
        <v>1380</v>
      </c>
      <c r="B87" s="302" t="s">
        <v>260</v>
      </c>
      <c r="C87" s="264">
        <v>4093</v>
      </c>
      <c r="D87" s="97"/>
      <c r="E87" s="115"/>
      <c r="F87" s="115">
        <f t="shared" si="3"/>
        <v>4093</v>
      </c>
      <c r="G87" s="115">
        <f t="shared" si="4"/>
        <v>0</v>
      </c>
      <c r="H87" s="96"/>
      <c r="I87" s="106"/>
      <c r="K87" s="106"/>
      <c r="L87" s="106"/>
      <c r="M87" s="106"/>
      <c r="N87" s="106"/>
      <c r="O87" s="106"/>
      <c r="P87" s="106"/>
      <c r="Q87" s="106"/>
      <c r="R87" s="106"/>
      <c r="S87" s="106">
        <v>4093</v>
      </c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96"/>
    </row>
    <row r="88" spans="1:35" s="4" customFormat="1" ht="19.5" thickBot="1" x14ac:dyDescent="0.35">
      <c r="A88" s="281">
        <v>1390</v>
      </c>
      <c r="B88" s="302" t="s">
        <v>261</v>
      </c>
      <c r="C88" s="264">
        <v>66335</v>
      </c>
      <c r="D88" s="97"/>
      <c r="E88" s="115"/>
      <c r="F88" s="115">
        <f t="shared" si="3"/>
        <v>66335</v>
      </c>
      <c r="G88" s="115">
        <f t="shared" si="4"/>
        <v>0</v>
      </c>
      <c r="H88" s="96"/>
      <c r="I88" s="106"/>
      <c r="K88" s="106"/>
      <c r="L88" s="106"/>
      <c r="M88" s="106"/>
      <c r="N88" s="106">
        <v>14133</v>
      </c>
      <c r="O88" s="106"/>
      <c r="P88" s="106"/>
      <c r="Q88" s="106"/>
      <c r="R88" s="106"/>
      <c r="S88" s="106">
        <v>2252</v>
      </c>
      <c r="T88" s="106">
        <v>49281</v>
      </c>
      <c r="U88" s="106"/>
      <c r="V88" s="106"/>
      <c r="W88" s="106"/>
      <c r="X88" s="106"/>
      <c r="Y88" s="106"/>
      <c r="Z88" s="106">
        <v>669</v>
      </c>
      <c r="AA88" s="106"/>
      <c r="AB88" s="106"/>
      <c r="AC88" s="106"/>
      <c r="AD88" s="106"/>
      <c r="AE88" s="106"/>
      <c r="AF88" s="106"/>
      <c r="AG88" s="106"/>
      <c r="AH88" s="106"/>
      <c r="AI88" s="96"/>
    </row>
    <row r="89" spans="1:35" s="4" customFormat="1" ht="19.5" thickBot="1" x14ac:dyDescent="0.35">
      <c r="A89" s="281">
        <v>1400</v>
      </c>
      <c r="B89" s="302" t="s">
        <v>262</v>
      </c>
      <c r="C89" s="264">
        <v>15917</v>
      </c>
      <c r="D89" s="97"/>
      <c r="E89" s="115"/>
      <c r="F89" s="115">
        <f t="shared" si="3"/>
        <v>15917</v>
      </c>
      <c r="G89" s="115">
        <f t="shared" si="4"/>
        <v>0</v>
      </c>
      <c r="H89" s="96"/>
      <c r="I89" s="106"/>
      <c r="K89" s="106"/>
      <c r="L89" s="106"/>
      <c r="M89" s="106"/>
      <c r="N89" s="106"/>
      <c r="O89" s="106">
        <v>4278</v>
      </c>
      <c r="P89" s="106"/>
      <c r="Q89" s="106">
        <v>4482</v>
      </c>
      <c r="R89" s="106"/>
      <c r="S89" s="106">
        <v>805</v>
      </c>
      <c r="T89" s="106">
        <v>1835</v>
      </c>
      <c r="U89" s="106">
        <v>1573</v>
      </c>
      <c r="V89" s="106"/>
      <c r="W89" s="106"/>
      <c r="X89" s="106">
        <v>2944</v>
      </c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96"/>
    </row>
    <row r="90" spans="1:35" s="4" customFormat="1" ht="19.5" thickBot="1" x14ac:dyDescent="0.35">
      <c r="A90" s="281">
        <v>1410</v>
      </c>
      <c r="B90" s="61" t="s">
        <v>263</v>
      </c>
      <c r="C90" s="264">
        <v>11747</v>
      </c>
      <c r="D90" s="97" t="s">
        <v>384</v>
      </c>
      <c r="E90" s="115">
        <f t="shared" ref="E90:E132" si="5">IF(ISBLANK(D90),"",C90)</f>
        <v>11747</v>
      </c>
      <c r="F90" s="115">
        <f t="shared" si="3"/>
        <v>0</v>
      </c>
      <c r="G90" s="115">
        <f t="shared" si="4"/>
        <v>0</v>
      </c>
      <c r="H90" s="96"/>
      <c r="I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96"/>
    </row>
    <row r="91" spans="1:35" s="4" customFormat="1" ht="19.5" thickBot="1" x14ac:dyDescent="0.35">
      <c r="A91" s="281">
        <v>1420</v>
      </c>
      <c r="B91" s="302" t="s">
        <v>264</v>
      </c>
      <c r="C91" s="264">
        <v>2010948</v>
      </c>
      <c r="D91" s="97"/>
      <c r="E91" s="115"/>
      <c r="F91" s="115">
        <f t="shared" si="3"/>
        <v>2010948</v>
      </c>
      <c r="G91" s="115">
        <f t="shared" si="4"/>
        <v>0</v>
      </c>
      <c r="H91" s="96"/>
      <c r="I91" s="106"/>
      <c r="K91" s="106">
        <v>148076</v>
      </c>
      <c r="L91" s="106">
        <v>163207</v>
      </c>
      <c r="M91" s="106">
        <v>159452</v>
      </c>
      <c r="N91" s="106">
        <v>163568</v>
      </c>
      <c r="O91" s="106">
        <v>161372</v>
      </c>
      <c r="P91" s="106">
        <v>163894</v>
      </c>
      <c r="Q91" s="106">
        <v>168317</v>
      </c>
      <c r="R91" s="106"/>
      <c r="S91" s="106">
        <v>-323288</v>
      </c>
      <c r="T91" s="106">
        <v>97097</v>
      </c>
      <c r="U91" s="106"/>
      <c r="V91" s="106">
        <v>162980</v>
      </c>
      <c r="W91" s="106"/>
      <c r="X91" s="106">
        <f>307521+203046</f>
        <v>510567</v>
      </c>
      <c r="Y91" s="106">
        <f>112418+90164</f>
        <v>202582</v>
      </c>
      <c r="Z91" s="106">
        <v>203946</v>
      </c>
      <c r="AB91" s="106">
        <v>29178</v>
      </c>
      <c r="AC91" s="106"/>
      <c r="AD91" s="106"/>
      <c r="AE91" s="106"/>
      <c r="AF91" s="106"/>
      <c r="AG91" s="106"/>
      <c r="AH91" s="106"/>
      <c r="AI91" s="96"/>
    </row>
    <row r="92" spans="1:35" s="4" customFormat="1" ht="19.5" thickBot="1" x14ac:dyDescent="0.35">
      <c r="A92" s="281">
        <v>1430</v>
      </c>
      <c r="B92" s="302" t="s">
        <v>265</v>
      </c>
      <c r="C92" s="264">
        <v>12072</v>
      </c>
      <c r="D92" s="97"/>
      <c r="E92" s="115"/>
      <c r="F92" s="115">
        <f t="shared" si="3"/>
        <v>12072</v>
      </c>
      <c r="G92" s="115">
        <f t="shared" si="4"/>
        <v>0</v>
      </c>
      <c r="H92" s="96"/>
      <c r="I92" s="106"/>
      <c r="K92" s="106"/>
      <c r="L92" s="106"/>
      <c r="M92" s="106"/>
      <c r="N92" s="106"/>
      <c r="O92" s="106"/>
      <c r="P92" s="106"/>
      <c r="Q92" s="106"/>
      <c r="R92" s="106"/>
      <c r="S92" s="106">
        <v>12072</v>
      </c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96"/>
    </row>
    <row r="93" spans="1:35" s="4" customFormat="1" ht="19.5" thickBot="1" x14ac:dyDescent="0.35">
      <c r="A93" s="281">
        <v>1440</v>
      </c>
      <c r="B93" s="302" t="s">
        <v>266</v>
      </c>
      <c r="C93" s="264">
        <v>1128</v>
      </c>
      <c r="D93" s="97"/>
      <c r="E93" s="115"/>
      <c r="F93" s="115">
        <f t="shared" si="3"/>
        <v>1128</v>
      </c>
      <c r="G93" s="115">
        <f t="shared" si="4"/>
        <v>0</v>
      </c>
      <c r="H93" s="96"/>
      <c r="I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>
        <v>1128</v>
      </c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96"/>
    </row>
    <row r="94" spans="1:35" s="4" customFormat="1" ht="19.5" thickBot="1" x14ac:dyDescent="0.35">
      <c r="A94" s="281">
        <v>1450</v>
      </c>
      <c r="B94" s="302" t="s">
        <v>267</v>
      </c>
      <c r="C94" s="264">
        <v>11536</v>
      </c>
      <c r="D94" s="97" t="s">
        <v>381</v>
      </c>
      <c r="E94" s="115">
        <f t="shared" si="5"/>
        <v>11536</v>
      </c>
      <c r="F94" s="115">
        <f t="shared" si="3"/>
        <v>0</v>
      </c>
      <c r="G94" s="115">
        <f t="shared" si="4"/>
        <v>0</v>
      </c>
      <c r="H94" s="96"/>
      <c r="I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96"/>
    </row>
    <row r="95" spans="1:35" s="4" customFormat="1" ht="19.5" thickBot="1" x14ac:dyDescent="0.35">
      <c r="A95" s="281">
        <v>1460</v>
      </c>
      <c r="B95" s="302" t="s">
        <v>268</v>
      </c>
      <c r="C95" s="264">
        <v>4858</v>
      </c>
      <c r="D95" s="97" t="s">
        <v>381</v>
      </c>
      <c r="E95" s="115">
        <f t="shared" si="5"/>
        <v>4858</v>
      </c>
      <c r="F95" s="115">
        <f t="shared" si="3"/>
        <v>0</v>
      </c>
      <c r="G95" s="115">
        <f t="shared" si="4"/>
        <v>0</v>
      </c>
      <c r="H95" s="96"/>
      <c r="I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96"/>
    </row>
    <row r="96" spans="1:35" s="4" customFormat="1" ht="19.5" thickBot="1" x14ac:dyDescent="0.35">
      <c r="A96" s="281">
        <v>1480</v>
      </c>
      <c r="B96" s="302" t="s">
        <v>269</v>
      </c>
      <c r="C96" s="264">
        <v>9586</v>
      </c>
      <c r="D96" s="97" t="s">
        <v>381</v>
      </c>
      <c r="E96" s="115">
        <f t="shared" si="5"/>
        <v>9586</v>
      </c>
      <c r="F96" s="115">
        <f t="shared" si="3"/>
        <v>0</v>
      </c>
      <c r="G96" s="115">
        <f t="shared" si="4"/>
        <v>0</v>
      </c>
      <c r="H96" s="96"/>
      <c r="I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96"/>
    </row>
    <row r="97" spans="1:35" s="4" customFormat="1" ht="19.5" thickBot="1" x14ac:dyDescent="0.35">
      <c r="A97" s="281">
        <v>1490</v>
      </c>
      <c r="B97" s="302" t="s">
        <v>270</v>
      </c>
      <c r="C97" s="264">
        <v>4013</v>
      </c>
      <c r="D97" s="97" t="s">
        <v>381</v>
      </c>
      <c r="E97" s="115">
        <f t="shared" si="5"/>
        <v>4013</v>
      </c>
      <c r="F97" s="115">
        <f t="shared" si="3"/>
        <v>0</v>
      </c>
      <c r="G97" s="115">
        <f t="shared" si="4"/>
        <v>0</v>
      </c>
      <c r="H97" s="96"/>
      <c r="I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96"/>
    </row>
    <row r="98" spans="1:35" s="4" customFormat="1" ht="19.5" thickBot="1" x14ac:dyDescent="0.35">
      <c r="A98" s="281">
        <v>1500</v>
      </c>
      <c r="B98" s="302" t="s">
        <v>271</v>
      </c>
      <c r="C98" s="264">
        <v>33564</v>
      </c>
      <c r="D98" s="97" t="s">
        <v>381</v>
      </c>
      <c r="E98" s="115">
        <f t="shared" si="5"/>
        <v>33564</v>
      </c>
      <c r="F98" s="115">
        <f t="shared" si="3"/>
        <v>0</v>
      </c>
      <c r="G98" s="115">
        <f t="shared" si="4"/>
        <v>0</v>
      </c>
      <c r="H98" s="96"/>
      <c r="I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96"/>
    </row>
    <row r="99" spans="1:35" s="4" customFormat="1" ht="19.5" thickBot="1" x14ac:dyDescent="0.35">
      <c r="A99" s="281">
        <v>1510</v>
      </c>
      <c r="B99" s="302" t="s">
        <v>272</v>
      </c>
      <c r="C99" s="264">
        <v>46035</v>
      </c>
      <c r="D99" s="97"/>
      <c r="E99" s="115"/>
      <c r="F99" s="115">
        <f t="shared" si="3"/>
        <v>46035</v>
      </c>
      <c r="G99" s="115">
        <f t="shared" si="4"/>
        <v>0</v>
      </c>
      <c r="H99" s="96"/>
      <c r="I99" s="106"/>
      <c r="K99" s="106"/>
      <c r="L99" s="106"/>
      <c r="M99" s="106"/>
      <c r="N99" s="106"/>
      <c r="O99" s="106">
        <v>1576</v>
      </c>
      <c r="P99" s="106">
        <v>4661</v>
      </c>
      <c r="Q99" s="106">
        <v>4291</v>
      </c>
      <c r="R99" s="106"/>
      <c r="S99" s="106">
        <v>13884</v>
      </c>
      <c r="T99" s="106">
        <v>9205</v>
      </c>
      <c r="U99" s="106"/>
      <c r="V99" s="106">
        <v>12120</v>
      </c>
      <c r="W99" s="106"/>
      <c r="X99" s="106"/>
      <c r="Y99" s="106">
        <v>298</v>
      </c>
      <c r="Z99" s="106"/>
      <c r="AA99" s="106"/>
      <c r="AB99" s="106"/>
      <c r="AC99" s="106"/>
      <c r="AD99" s="106"/>
      <c r="AE99" s="106"/>
      <c r="AF99" s="106"/>
      <c r="AG99" s="106"/>
      <c r="AH99" s="106"/>
      <c r="AI99" s="96"/>
    </row>
    <row r="100" spans="1:35" s="4" customFormat="1" ht="19.5" thickBot="1" x14ac:dyDescent="0.35">
      <c r="A100" s="281">
        <v>1520</v>
      </c>
      <c r="B100" s="302" t="s">
        <v>273</v>
      </c>
      <c r="C100" s="264">
        <v>174850</v>
      </c>
      <c r="D100" s="97"/>
      <c r="E100" s="115"/>
      <c r="F100" s="115">
        <f t="shared" si="3"/>
        <v>174850</v>
      </c>
      <c r="G100" s="115">
        <f t="shared" si="4"/>
        <v>0</v>
      </c>
      <c r="H100" s="96"/>
      <c r="I100" s="106"/>
      <c r="K100" s="106"/>
      <c r="L100" s="106"/>
      <c r="M100" s="106">
        <v>28855</v>
      </c>
      <c r="N100" s="106"/>
      <c r="O100" s="106">
        <v>21868</v>
      </c>
      <c r="P100" s="106">
        <v>10954</v>
      </c>
      <c r="Q100" s="106">
        <v>14204</v>
      </c>
      <c r="R100" s="106">
        <v>11206</v>
      </c>
      <c r="S100" s="106">
        <v>12887</v>
      </c>
      <c r="T100" s="106"/>
      <c r="U100" s="106">
        <v>30011</v>
      </c>
      <c r="V100" s="106">
        <v>42582</v>
      </c>
      <c r="W100" s="106"/>
      <c r="X100" s="106"/>
      <c r="Y100" s="106"/>
      <c r="Z100" s="106"/>
      <c r="AA100" s="106">
        <v>2283</v>
      </c>
      <c r="AB100" s="106"/>
      <c r="AC100" s="106"/>
      <c r="AD100" s="106"/>
      <c r="AE100" s="106"/>
      <c r="AF100" s="106"/>
      <c r="AG100" s="106"/>
      <c r="AH100" s="106"/>
      <c r="AI100" s="96"/>
    </row>
    <row r="101" spans="1:35" s="4" customFormat="1" ht="19.5" thickBot="1" x14ac:dyDescent="0.35">
      <c r="A101" s="281">
        <v>1530</v>
      </c>
      <c r="B101" s="302" t="s">
        <v>274</v>
      </c>
      <c r="C101" s="264">
        <v>31025</v>
      </c>
      <c r="D101" s="97"/>
      <c r="E101" s="115"/>
      <c r="F101" s="115">
        <f t="shared" si="3"/>
        <v>31025</v>
      </c>
      <c r="G101" s="115">
        <f t="shared" si="4"/>
        <v>0</v>
      </c>
      <c r="H101" s="96"/>
      <c r="I101" s="106"/>
      <c r="K101" s="106"/>
      <c r="L101" s="106"/>
      <c r="M101" s="106"/>
      <c r="N101" s="106"/>
      <c r="O101" s="106">
        <v>9779</v>
      </c>
      <c r="P101" s="106"/>
      <c r="Q101" s="106"/>
      <c r="R101" s="106"/>
      <c r="S101" s="106">
        <v>17900</v>
      </c>
      <c r="T101" s="106"/>
      <c r="U101" s="106"/>
      <c r="V101" s="106">
        <v>588</v>
      </c>
      <c r="W101" s="106"/>
      <c r="X101" s="106"/>
      <c r="Y101" s="106"/>
      <c r="Z101" s="106"/>
      <c r="AA101" s="106"/>
      <c r="AB101" s="106">
        <v>2758</v>
      </c>
      <c r="AC101" s="106"/>
      <c r="AD101" s="106"/>
      <c r="AE101" s="106"/>
      <c r="AF101" s="106"/>
      <c r="AG101" s="106"/>
      <c r="AH101" s="106"/>
      <c r="AI101" s="96"/>
    </row>
    <row r="102" spans="1:35" s="4" customFormat="1" ht="19.5" thickBot="1" x14ac:dyDescent="0.35">
      <c r="A102" s="281">
        <v>1540</v>
      </c>
      <c r="B102" s="302" t="s">
        <v>275</v>
      </c>
      <c r="C102" s="264">
        <v>52838</v>
      </c>
      <c r="D102" s="97"/>
      <c r="E102" s="115"/>
      <c r="F102" s="115">
        <f t="shared" si="3"/>
        <v>52838</v>
      </c>
      <c r="G102" s="115">
        <f t="shared" si="4"/>
        <v>0</v>
      </c>
      <c r="H102" s="96"/>
      <c r="I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>
        <v>51781</v>
      </c>
      <c r="U102" s="106"/>
      <c r="V102" s="106"/>
      <c r="W102" s="106"/>
      <c r="X102" s="106">
        <v>1057</v>
      </c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96"/>
    </row>
    <row r="103" spans="1:35" s="4" customFormat="1" ht="19.5" thickBot="1" x14ac:dyDescent="0.35">
      <c r="A103" s="281">
        <v>1550</v>
      </c>
      <c r="B103" s="302" t="s">
        <v>276</v>
      </c>
      <c r="C103" s="264">
        <v>719339</v>
      </c>
      <c r="D103" s="97"/>
      <c r="E103" s="115"/>
      <c r="F103" s="115">
        <f t="shared" si="3"/>
        <v>719339</v>
      </c>
      <c r="G103" s="115">
        <f t="shared" si="4"/>
        <v>0</v>
      </c>
      <c r="H103" s="96"/>
      <c r="I103" s="106"/>
      <c r="K103" s="106"/>
      <c r="L103" s="106">
        <v>79561</v>
      </c>
      <c r="M103" s="106"/>
      <c r="N103" s="106"/>
      <c r="O103" s="106">
        <v>151078</v>
      </c>
      <c r="P103" s="106"/>
      <c r="Q103" s="106">
        <v>100772</v>
      </c>
      <c r="R103" s="106"/>
      <c r="S103" s="106">
        <v>90844</v>
      </c>
      <c r="T103" s="106"/>
      <c r="U103" s="106">
        <v>112062</v>
      </c>
      <c r="V103" s="106"/>
      <c r="W103" s="106"/>
      <c r="X103" s="106">
        <v>73488</v>
      </c>
      <c r="Y103" s="106"/>
      <c r="Z103" s="106">
        <v>111534</v>
      </c>
      <c r="AA103" s="106"/>
      <c r="AB103" s="106"/>
      <c r="AC103" s="106"/>
      <c r="AD103" s="106"/>
      <c r="AE103" s="106"/>
      <c r="AF103" s="106"/>
      <c r="AG103" s="106"/>
      <c r="AH103" s="106"/>
      <c r="AI103" s="96"/>
    </row>
    <row r="104" spans="1:35" s="4" customFormat="1" ht="19.5" thickBot="1" x14ac:dyDescent="0.35">
      <c r="A104" s="281">
        <v>1560</v>
      </c>
      <c r="B104" s="302" t="s">
        <v>277</v>
      </c>
      <c r="C104" s="264">
        <v>372415</v>
      </c>
      <c r="D104" s="97"/>
      <c r="E104" s="115"/>
      <c r="F104" s="115">
        <f t="shared" si="3"/>
        <v>372415</v>
      </c>
      <c r="G104" s="115">
        <f t="shared" si="4"/>
        <v>0</v>
      </c>
      <c r="H104" s="96"/>
      <c r="I104" s="106"/>
      <c r="K104" s="106"/>
      <c r="L104" s="106"/>
      <c r="M104" s="106"/>
      <c r="N104" s="106">
        <v>1065</v>
      </c>
      <c r="O104" s="106">
        <f>34651+24145</f>
        <v>58796</v>
      </c>
      <c r="P104" s="106"/>
      <c r="Q104" s="106"/>
      <c r="R104" s="106">
        <v>29583</v>
      </c>
      <c r="S104" s="106">
        <f>77435+45011</f>
        <v>122446</v>
      </c>
      <c r="T104" s="106">
        <v>39208</v>
      </c>
      <c r="U104" s="106"/>
      <c r="V104" s="106">
        <v>56711</v>
      </c>
      <c r="W104" s="106">
        <v>54661</v>
      </c>
      <c r="X104" s="106">
        <v>9945</v>
      </c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96"/>
    </row>
    <row r="105" spans="1:35" s="4" customFormat="1" ht="19.5" thickBot="1" x14ac:dyDescent="0.35">
      <c r="A105" s="281">
        <v>1570</v>
      </c>
      <c r="B105" s="302" t="s">
        <v>278</v>
      </c>
      <c r="C105" s="264">
        <v>41274</v>
      </c>
      <c r="D105" s="97"/>
      <c r="E105" s="115"/>
      <c r="F105" s="115">
        <f t="shared" si="3"/>
        <v>41274</v>
      </c>
      <c r="G105" s="115">
        <f t="shared" si="4"/>
        <v>0</v>
      </c>
      <c r="H105" s="96"/>
      <c r="I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>
        <v>4867</v>
      </c>
      <c r="AA105" s="106"/>
      <c r="AB105" s="106">
        <v>5488</v>
      </c>
      <c r="AC105" s="106">
        <v>8628</v>
      </c>
      <c r="AD105" s="106">
        <v>22067</v>
      </c>
      <c r="AE105" s="106"/>
      <c r="AF105" s="106">
        <v>224</v>
      </c>
      <c r="AG105" s="106"/>
      <c r="AH105" s="106"/>
      <c r="AI105" s="96"/>
    </row>
    <row r="106" spans="1:35" s="4" customFormat="1" ht="19.5" thickBot="1" x14ac:dyDescent="0.35">
      <c r="A106" s="281">
        <v>1580</v>
      </c>
      <c r="B106" s="302" t="s">
        <v>279</v>
      </c>
      <c r="C106" s="264">
        <v>119798</v>
      </c>
      <c r="D106" s="97"/>
      <c r="E106" s="115"/>
      <c r="F106" s="115">
        <f t="shared" si="3"/>
        <v>119798</v>
      </c>
      <c r="G106" s="115">
        <f t="shared" si="4"/>
        <v>0</v>
      </c>
      <c r="H106" s="96"/>
      <c r="I106" s="106"/>
      <c r="K106" s="106"/>
      <c r="L106" s="106"/>
      <c r="M106" s="106">
        <v>3441</v>
      </c>
      <c r="N106" s="106">
        <v>13745</v>
      </c>
      <c r="O106" s="106">
        <v>5555</v>
      </c>
      <c r="P106" s="106">
        <v>5595</v>
      </c>
      <c r="Q106" s="106">
        <v>5592</v>
      </c>
      <c r="R106" s="106">
        <v>5593</v>
      </c>
      <c r="S106" s="106">
        <v>5593</v>
      </c>
      <c r="T106" s="106">
        <v>5593</v>
      </c>
      <c r="U106" s="106">
        <v>30457</v>
      </c>
      <c r="V106" s="106"/>
      <c r="W106" s="106"/>
      <c r="X106" s="106">
        <v>26515</v>
      </c>
      <c r="Y106" s="106">
        <v>6058</v>
      </c>
      <c r="Z106" s="106">
        <v>6061</v>
      </c>
      <c r="AA106" s="106"/>
      <c r="AB106" s="106"/>
      <c r="AC106" s="106"/>
      <c r="AD106" s="106"/>
      <c r="AE106" s="106"/>
      <c r="AF106" s="106"/>
      <c r="AG106" s="106"/>
      <c r="AH106" s="106"/>
      <c r="AI106" s="96"/>
    </row>
    <row r="107" spans="1:35" s="4" customFormat="1" ht="19.5" thickBot="1" x14ac:dyDescent="0.35">
      <c r="A107" s="281">
        <v>1590</v>
      </c>
      <c r="B107" s="302" t="s">
        <v>280</v>
      </c>
      <c r="C107" s="264">
        <v>9206</v>
      </c>
      <c r="D107" s="97"/>
      <c r="E107" s="115"/>
      <c r="F107" s="115">
        <f t="shared" si="3"/>
        <v>9206</v>
      </c>
      <c r="G107" s="115">
        <f t="shared" si="4"/>
        <v>0</v>
      </c>
      <c r="H107" s="96"/>
      <c r="I107" s="106"/>
      <c r="K107" s="106"/>
      <c r="L107" s="106"/>
      <c r="M107" s="106"/>
      <c r="N107" s="106"/>
      <c r="O107" s="106"/>
      <c r="P107" s="106">
        <v>9227</v>
      </c>
      <c r="Q107" s="106"/>
      <c r="R107" s="106"/>
      <c r="S107" s="106">
        <v>-21</v>
      </c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96"/>
    </row>
    <row r="108" spans="1:35" s="4" customFormat="1" ht="19.5" thickBot="1" x14ac:dyDescent="0.35">
      <c r="A108" s="281">
        <v>1600</v>
      </c>
      <c r="B108" s="302" t="s">
        <v>281</v>
      </c>
      <c r="C108" s="264">
        <v>13188</v>
      </c>
      <c r="D108" s="97"/>
      <c r="E108" s="115"/>
      <c r="F108" s="115">
        <f t="shared" si="3"/>
        <v>13188</v>
      </c>
      <c r="G108" s="115">
        <f t="shared" si="4"/>
        <v>0</v>
      </c>
      <c r="H108" s="96"/>
      <c r="I108" s="106"/>
      <c r="K108" s="106"/>
      <c r="L108" s="106"/>
      <c r="M108" s="106"/>
      <c r="N108" s="106"/>
      <c r="O108" s="106"/>
      <c r="P108" s="106"/>
      <c r="Q108" s="106"/>
      <c r="R108" s="106"/>
      <c r="S108" s="106">
        <v>13188</v>
      </c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96"/>
    </row>
    <row r="109" spans="1:35" s="4" customFormat="1" ht="19.5" thickBot="1" x14ac:dyDescent="0.35">
      <c r="A109" s="281">
        <v>1620</v>
      </c>
      <c r="B109" s="302" t="s">
        <v>282</v>
      </c>
      <c r="C109" s="264">
        <v>19010</v>
      </c>
      <c r="D109" s="97"/>
      <c r="E109" s="115"/>
      <c r="F109" s="115">
        <f t="shared" si="3"/>
        <v>19010</v>
      </c>
      <c r="G109" s="115">
        <f t="shared" si="4"/>
        <v>0</v>
      </c>
      <c r="H109" s="96"/>
      <c r="I109" s="106"/>
      <c r="K109" s="106"/>
      <c r="L109" s="106"/>
      <c r="M109" s="106"/>
      <c r="N109" s="106"/>
      <c r="O109" s="106"/>
      <c r="P109" s="106">
        <v>19047</v>
      </c>
      <c r="Q109" s="106">
        <v>-37</v>
      </c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96"/>
    </row>
    <row r="110" spans="1:35" s="4" customFormat="1" ht="19.5" thickBot="1" x14ac:dyDescent="0.35">
      <c r="A110" s="281">
        <v>1750</v>
      </c>
      <c r="B110" s="302" t="s">
        <v>423</v>
      </c>
      <c r="C110" s="264">
        <v>0</v>
      </c>
      <c r="D110" s="97"/>
      <c r="E110" s="115"/>
      <c r="F110" s="115">
        <f t="shared" si="3"/>
        <v>0</v>
      </c>
      <c r="G110" s="115">
        <f t="shared" si="4"/>
        <v>0</v>
      </c>
      <c r="H110" s="96"/>
      <c r="I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96"/>
    </row>
    <row r="111" spans="1:35" s="4" customFormat="1" ht="19.5" thickBot="1" x14ac:dyDescent="0.35">
      <c r="A111" s="281">
        <v>1760</v>
      </c>
      <c r="B111" s="302" t="s">
        <v>284</v>
      </c>
      <c r="C111" s="264">
        <v>5624</v>
      </c>
      <c r="D111" s="97"/>
      <c r="E111" s="115"/>
      <c r="F111" s="115">
        <f t="shared" si="3"/>
        <v>5624</v>
      </c>
      <c r="G111" s="115">
        <f t="shared" si="4"/>
        <v>0</v>
      </c>
      <c r="H111" s="96"/>
      <c r="I111" s="106"/>
      <c r="K111" s="106"/>
      <c r="L111" s="106"/>
      <c r="M111" s="106"/>
      <c r="N111" s="106"/>
      <c r="O111" s="106"/>
      <c r="P111" s="106">
        <v>333</v>
      </c>
      <c r="Q111" s="106"/>
      <c r="R111" s="106"/>
      <c r="S111" s="106">
        <v>3282</v>
      </c>
      <c r="T111" s="106"/>
      <c r="U111" s="106">
        <v>847</v>
      </c>
      <c r="V111" s="106"/>
      <c r="W111" s="106"/>
      <c r="X111" s="106"/>
      <c r="Y111" s="106"/>
      <c r="Z111" s="106"/>
      <c r="AA111" s="106"/>
      <c r="AB111" s="106"/>
      <c r="AC111" s="106">
        <v>1162</v>
      </c>
      <c r="AD111" s="106"/>
      <c r="AE111" s="106"/>
      <c r="AF111" s="106"/>
      <c r="AG111" s="106"/>
      <c r="AH111" s="106"/>
      <c r="AI111" s="96"/>
    </row>
    <row r="112" spans="1:35" s="4" customFormat="1" ht="19.5" thickBot="1" x14ac:dyDescent="0.35">
      <c r="A112" s="281">
        <v>1780</v>
      </c>
      <c r="B112" s="302" t="s">
        <v>285</v>
      </c>
      <c r="C112" s="264">
        <v>12408</v>
      </c>
      <c r="D112" s="97" t="s">
        <v>381</v>
      </c>
      <c r="E112" s="115">
        <f t="shared" si="5"/>
        <v>12408</v>
      </c>
      <c r="F112" s="115">
        <f t="shared" si="3"/>
        <v>0</v>
      </c>
      <c r="G112" s="115">
        <f t="shared" si="4"/>
        <v>0</v>
      </c>
      <c r="H112" s="96"/>
      <c r="I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96"/>
    </row>
    <row r="113" spans="1:35" s="4" customFormat="1" ht="19.5" thickBot="1" x14ac:dyDescent="0.35">
      <c r="A113" s="281">
        <v>1790</v>
      </c>
      <c r="B113" s="302" t="s">
        <v>286</v>
      </c>
      <c r="C113" s="264">
        <v>20256</v>
      </c>
      <c r="D113" s="97" t="s">
        <v>381</v>
      </c>
      <c r="E113" s="115">
        <f t="shared" si="5"/>
        <v>20256</v>
      </c>
      <c r="F113" s="115">
        <f t="shared" si="3"/>
        <v>0</v>
      </c>
      <c r="G113" s="115">
        <f t="shared" si="4"/>
        <v>0</v>
      </c>
      <c r="H113" s="96"/>
      <c r="I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96"/>
    </row>
    <row r="114" spans="1:35" s="4" customFormat="1" ht="19.5" thickBot="1" x14ac:dyDescent="0.35">
      <c r="A114" s="281">
        <v>1810</v>
      </c>
      <c r="B114" s="302" t="s">
        <v>287</v>
      </c>
      <c r="C114" s="264">
        <v>3524</v>
      </c>
      <c r="D114" s="97" t="s">
        <v>381</v>
      </c>
      <c r="E114" s="115">
        <f t="shared" si="5"/>
        <v>3524</v>
      </c>
      <c r="F114" s="115">
        <f t="shared" si="3"/>
        <v>0</v>
      </c>
      <c r="G114" s="115">
        <f t="shared" si="4"/>
        <v>0</v>
      </c>
      <c r="H114" s="96"/>
      <c r="I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96"/>
    </row>
    <row r="115" spans="1:35" s="4" customFormat="1" ht="19.5" thickBot="1" x14ac:dyDescent="0.35">
      <c r="A115" s="281">
        <v>1828</v>
      </c>
      <c r="B115" s="302" t="s">
        <v>288</v>
      </c>
      <c r="C115" s="264">
        <v>129212</v>
      </c>
      <c r="D115" s="97"/>
      <c r="E115" s="115"/>
      <c r="F115" s="115">
        <f t="shared" si="3"/>
        <v>129212</v>
      </c>
      <c r="G115" s="115">
        <f t="shared" si="4"/>
        <v>0</v>
      </c>
      <c r="H115" s="96"/>
      <c r="I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>
        <v>12903</v>
      </c>
      <c r="U115" s="106"/>
      <c r="V115" s="106">
        <v>25823</v>
      </c>
      <c r="W115" s="106"/>
      <c r="X115" s="106"/>
      <c r="Y115" s="106">
        <f>44625+11387</f>
        <v>56012</v>
      </c>
      <c r="Z115" s="106">
        <v>10619</v>
      </c>
      <c r="AA115" s="106">
        <v>23855</v>
      </c>
      <c r="AB115" s="106"/>
      <c r="AC115" s="106"/>
      <c r="AD115" s="106"/>
      <c r="AE115" s="106"/>
      <c r="AF115" s="106"/>
      <c r="AG115" s="106"/>
      <c r="AH115" s="106"/>
      <c r="AI115" s="96"/>
    </row>
    <row r="116" spans="1:35" s="4" customFormat="1" ht="19.5" thickBot="1" x14ac:dyDescent="0.35">
      <c r="A116" s="281">
        <v>1850</v>
      </c>
      <c r="B116" s="302" t="s">
        <v>289</v>
      </c>
      <c r="C116" s="264">
        <v>6047</v>
      </c>
      <c r="D116" s="97" t="s">
        <v>383</v>
      </c>
      <c r="E116" s="115">
        <f t="shared" si="5"/>
        <v>6047</v>
      </c>
      <c r="F116" s="115">
        <f t="shared" si="3"/>
        <v>0</v>
      </c>
      <c r="G116" s="115">
        <f t="shared" si="4"/>
        <v>0</v>
      </c>
      <c r="H116" s="96"/>
      <c r="I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96"/>
    </row>
    <row r="117" spans="1:35" s="4" customFormat="1" ht="19.5" thickBot="1" x14ac:dyDescent="0.35">
      <c r="A117" s="281">
        <v>1860</v>
      </c>
      <c r="B117" s="302" t="s">
        <v>290</v>
      </c>
      <c r="C117" s="264">
        <v>7959</v>
      </c>
      <c r="D117" s="97"/>
      <c r="E117" s="115"/>
      <c r="F117" s="115">
        <f t="shared" si="3"/>
        <v>7959</v>
      </c>
      <c r="G117" s="115">
        <f t="shared" si="4"/>
        <v>0</v>
      </c>
      <c r="H117" s="96"/>
      <c r="I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>
        <v>2342</v>
      </c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>
        <v>5617</v>
      </c>
      <c r="AF117" s="106"/>
      <c r="AG117" s="106"/>
      <c r="AH117" s="106"/>
      <c r="AI117" s="96"/>
    </row>
    <row r="118" spans="1:35" s="4" customFormat="1" ht="19.5" thickBot="1" x14ac:dyDescent="0.35">
      <c r="A118" s="281">
        <v>1870</v>
      </c>
      <c r="B118" s="302" t="s">
        <v>291</v>
      </c>
      <c r="C118" s="264">
        <v>5407</v>
      </c>
      <c r="D118" s="97" t="s">
        <v>383</v>
      </c>
      <c r="E118" s="115">
        <f t="shared" si="5"/>
        <v>5407</v>
      </c>
      <c r="F118" s="115">
        <f t="shared" si="3"/>
        <v>0</v>
      </c>
      <c r="G118" s="115">
        <f t="shared" si="4"/>
        <v>0</v>
      </c>
      <c r="H118" s="96"/>
      <c r="I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96"/>
    </row>
    <row r="119" spans="1:35" s="4" customFormat="1" ht="19.5" thickBot="1" x14ac:dyDescent="0.35">
      <c r="A119" s="281">
        <v>1980</v>
      </c>
      <c r="B119" s="302" t="s">
        <v>292</v>
      </c>
      <c r="C119" s="264">
        <v>6321</v>
      </c>
      <c r="D119" s="97"/>
      <c r="E119" s="115"/>
      <c r="F119" s="115">
        <f t="shared" si="3"/>
        <v>6321</v>
      </c>
      <c r="G119" s="115">
        <f t="shared" si="4"/>
        <v>0</v>
      </c>
      <c r="H119" s="96"/>
      <c r="I119" s="106"/>
      <c r="K119" s="106"/>
      <c r="L119" s="106"/>
      <c r="M119" s="106"/>
      <c r="N119" s="106"/>
      <c r="O119" s="106"/>
      <c r="P119" s="106"/>
      <c r="Q119" s="106"/>
      <c r="R119" s="106"/>
      <c r="S119" s="106">
        <v>6321</v>
      </c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96"/>
    </row>
    <row r="120" spans="1:35" s="4" customFormat="1" ht="19.5" thickBot="1" x14ac:dyDescent="0.35">
      <c r="A120" s="281">
        <v>1990</v>
      </c>
      <c r="B120" s="302" t="s">
        <v>293</v>
      </c>
      <c r="C120" s="264">
        <v>17550</v>
      </c>
      <c r="D120" s="97"/>
      <c r="E120" s="115"/>
      <c r="F120" s="115">
        <f t="shared" si="3"/>
        <v>17550</v>
      </c>
      <c r="G120" s="115">
        <f t="shared" si="4"/>
        <v>0</v>
      </c>
      <c r="H120" s="96"/>
      <c r="I120" s="106"/>
      <c r="K120" s="106">
        <v>6409</v>
      </c>
      <c r="L120" s="106"/>
      <c r="M120" s="106">
        <v>1451</v>
      </c>
      <c r="N120" s="106">
        <v>1451</v>
      </c>
      <c r="O120" s="106">
        <v>1461</v>
      </c>
      <c r="P120" s="106">
        <v>1459</v>
      </c>
      <c r="Q120" s="106">
        <v>1459</v>
      </c>
      <c r="R120" s="106">
        <v>1459</v>
      </c>
      <c r="S120" s="106">
        <v>1451</v>
      </c>
      <c r="T120" s="106">
        <v>950</v>
      </c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96"/>
    </row>
    <row r="121" spans="1:35" s="4" customFormat="1" ht="19.5" thickBot="1" x14ac:dyDescent="0.35">
      <c r="A121" s="281">
        <v>2000</v>
      </c>
      <c r="B121" s="302" t="s">
        <v>294</v>
      </c>
      <c r="C121" s="264">
        <v>831334</v>
      </c>
      <c r="D121" s="97"/>
      <c r="E121" s="115"/>
      <c r="F121" s="115">
        <f t="shared" si="3"/>
        <v>831334</v>
      </c>
      <c r="G121" s="115">
        <f t="shared" si="4"/>
        <v>0</v>
      </c>
      <c r="H121" s="96"/>
      <c r="I121" s="106"/>
      <c r="K121" s="106"/>
      <c r="L121" s="106">
        <v>40624</v>
      </c>
      <c r="M121" s="106">
        <v>65083</v>
      </c>
      <c r="N121" s="106">
        <v>74734</v>
      </c>
      <c r="O121" s="106">
        <v>59666</v>
      </c>
      <c r="P121" s="106">
        <v>49668</v>
      </c>
      <c r="Q121" s="106">
        <v>61432</v>
      </c>
      <c r="R121" s="106">
        <v>53897</v>
      </c>
      <c r="S121" s="106">
        <v>61934</v>
      </c>
      <c r="T121" s="106"/>
      <c r="U121" s="106">
        <f>51733+107379</f>
        <v>159112</v>
      </c>
      <c r="V121" s="106"/>
      <c r="W121" s="106">
        <v>105516</v>
      </c>
      <c r="X121" s="106">
        <v>51077</v>
      </c>
      <c r="Y121" s="106">
        <v>48591</v>
      </c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96"/>
    </row>
    <row r="122" spans="1:35" s="4" customFormat="1" ht="19.5" thickBot="1" x14ac:dyDescent="0.35">
      <c r="A122" s="281">
        <v>2010</v>
      </c>
      <c r="B122" s="302" t="s">
        <v>295</v>
      </c>
      <c r="C122" s="264">
        <v>4715</v>
      </c>
      <c r="D122" s="97"/>
      <c r="E122" s="115"/>
      <c r="F122" s="115">
        <f t="shared" si="3"/>
        <v>4715</v>
      </c>
      <c r="G122" s="115">
        <f t="shared" si="4"/>
        <v>0</v>
      </c>
      <c r="H122" s="96"/>
      <c r="I122" s="106"/>
      <c r="K122" s="106"/>
      <c r="L122" s="106"/>
      <c r="M122" s="106"/>
      <c r="N122" s="106"/>
      <c r="O122" s="106"/>
      <c r="P122" s="106"/>
      <c r="Q122" s="106"/>
      <c r="R122" s="106">
        <v>4676</v>
      </c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>
        <v>39</v>
      </c>
      <c r="AE122" s="106"/>
      <c r="AF122" s="106"/>
      <c r="AG122" s="106"/>
      <c r="AH122" s="106"/>
      <c r="AI122" s="96"/>
    </row>
    <row r="123" spans="1:35" s="4" customFormat="1" ht="19.5" thickBot="1" x14ac:dyDescent="0.35">
      <c r="A123" s="281">
        <v>2020</v>
      </c>
      <c r="B123" s="302" t="s">
        <v>296</v>
      </c>
      <c r="C123" s="264">
        <v>94331</v>
      </c>
      <c r="D123" s="97"/>
      <c r="E123" s="115"/>
      <c r="F123" s="115">
        <f t="shared" si="3"/>
        <v>94331</v>
      </c>
      <c r="G123" s="115">
        <f t="shared" si="4"/>
        <v>0</v>
      </c>
      <c r="H123" s="96"/>
      <c r="I123" s="106"/>
      <c r="K123" s="106"/>
      <c r="L123" s="106"/>
      <c r="M123" s="106"/>
      <c r="N123" s="106"/>
      <c r="O123" s="106"/>
      <c r="P123" s="106">
        <v>38511</v>
      </c>
      <c r="Q123" s="106"/>
      <c r="R123" s="106"/>
      <c r="S123" s="106">
        <v>55820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96"/>
    </row>
    <row r="124" spans="1:35" s="4" customFormat="1" ht="19.5" thickBot="1" x14ac:dyDescent="0.35">
      <c r="A124" s="281">
        <v>2035</v>
      </c>
      <c r="B124" s="302" t="s">
        <v>297</v>
      </c>
      <c r="C124" s="264">
        <v>195399</v>
      </c>
      <c r="D124" s="97"/>
      <c r="E124" s="115"/>
      <c r="F124" s="115">
        <f t="shared" si="3"/>
        <v>195399</v>
      </c>
      <c r="G124" s="115">
        <f t="shared" si="4"/>
        <v>0</v>
      </c>
      <c r="H124" s="96"/>
      <c r="I124" s="106"/>
      <c r="K124" s="106">
        <v>2181</v>
      </c>
      <c r="L124" s="106">
        <v>11128</v>
      </c>
      <c r="M124" s="106">
        <v>24228</v>
      </c>
      <c r="N124" s="106">
        <v>17127</v>
      </c>
      <c r="O124" s="106">
        <v>18710</v>
      </c>
      <c r="P124" s="106">
        <v>11979</v>
      </c>
      <c r="Q124" s="106">
        <v>24802</v>
      </c>
      <c r="R124" s="106">
        <v>10875</v>
      </c>
      <c r="S124" s="106">
        <v>11402</v>
      </c>
      <c r="T124" s="106">
        <v>11301</v>
      </c>
      <c r="U124" s="106">
        <v>11189</v>
      </c>
      <c r="V124" s="106">
        <v>26362</v>
      </c>
      <c r="W124" s="106">
        <v>14115</v>
      </c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96"/>
    </row>
    <row r="125" spans="1:35" s="4" customFormat="1" ht="19.5" thickBot="1" x14ac:dyDescent="0.35">
      <c r="A125" s="281">
        <v>2055</v>
      </c>
      <c r="B125" s="302" t="s">
        <v>298</v>
      </c>
      <c r="C125" s="264">
        <v>25070</v>
      </c>
      <c r="D125" s="97"/>
      <c r="E125" s="115"/>
      <c r="F125" s="115">
        <f t="shared" si="3"/>
        <v>23460</v>
      </c>
      <c r="G125" s="115">
        <f t="shared" si="4"/>
        <v>1610</v>
      </c>
      <c r="H125" s="96"/>
      <c r="I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>
        <v>3758</v>
      </c>
      <c r="AD125" s="106"/>
      <c r="AE125" s="106">
        <f>5742+13960</f>
        <v>19702</v>
      </c>
      <c r="AF125" s="106"/>
      <c r="AG125" s="106"/>
      <c r="AH125" s="106"/>
      <c r="AI125" s="96"/>
    </row>
    <row r="126" spans="1:35" s="4" customFormat="1" ht="19.5" thickBot="1" x14ac:dyDescent="0.35">
      <c r="A126" s="281">
        <v>2070</v>
      </c>
      <c r="B126" s="302" t="s">
        <v>299</v>
      </c>
      <c r="C126" s="264">
        <v>22920</v>
      </c>
      <c r="D126" s="97"/>
      <c r="E126" s="115"/>
      <c r="F126" s="115">
        <f t="shared" si="3"/>
        <v>22920</v>
      </c>
      <c r="G126" s="115">
        <f t="shared" si="4"/>
        <v>0</v>
      </c>
      <c r="H126" s="96"/>
      <c r="I126" s="106"/>
      <c r="K126" s="106"/>
      <c r="L126" s="106"/>
      <c r="M126" s="106"/>
      <c r="N126" s="106"/>
      <c r="O126" s="106"/>
      <c r="P126" s="106"/>
      <c r="Q126" s="106">
        <v>17334</v>
      </c>
      <c r="R126" s="106"/>
      <c r="S126" s="106"/>
      <c r="T126" s="106"/>
      <c r="U126" s="106">
        <v>4441</v>
      </c>
      <c r="V126" s="106"/>
      <c r="W126" s="106"/>
      <c r="X126" s="106"/>
      <c r="Y126" s="106"/>
      <c r="Z126" s="106"/>
      <c r="AA126" s="106">
        <v>1145</v>
      </c>
      <c r="AB126" s="106"/>
      <c r="AC126" s="106"/>
      <c r="AD126" s="106"/>
      <c r="AE126" s="106"/>
      <c r="AF126" s="106"/>
      <c r="AG126" s="106"/>
      <c r="AH126" s="106"/>
      <c r="AI126" s="96"/>
    </row>
    <row r="127" spans="1:35" s="4" customFormat="1" ht="19.5" thickBot="1" x14ac:dyDescent="0.35">
      <c r="A127" s="281">
        <v>2180</v>
      </c>
      <c r="B127" s="302" t="s">
        <v>300</v>
      </c>
      <c r="C127" s="264">
        <v>244237</v>
      </c>
      <c r="D127" s="97"/>
      <c r="E127" s="115"/>
      <c r="F127" s="115">
        <f t="shared" si="3"/>
        <v>244237</v>
      </c>
      <c r="G127" s="115">
        <f t="shared" si="4"/>
        <v>0</v>
      </c>
      <c r="H127" s="96"/>
      <c r="I127" s="106"/>
      <c r="K127" s="106"/>
      <c r="L127" s="106"/>
      <c r="M127" s="106"/>
      <c r="N127" s="106"/>
      <c r="O127" s="106">
        <v>5706</v>
      </c>
      <c r="P127" s="106">
        <v>25454</v>
      </c>
      <c r="Q127" s="106">
        <v>28246</v>
      </c>
      <c r="R127" s="106">
        <v>11153</v>
      </c>
      <c r="S127" s="106">
        <v>11127</v>
      </c>
      <c r="T127" s="106">
        <v>17703</v>
      </c>
      <c r="U127" s="106">
        <v>11202</v>
      </c>
      <c r="V127" s="106">
        <v>10856</v>
      </c>
      <c r="W127" s="106">
        <v>36111</v>
      </c>
      <c r="X127" s="106">
        <v>9941</v>
      </c>
      <c r="Y127" s="106">
        <v>35637</v>
      </c>
      <c r="Z127" s="106">
        <v>11821</v>
      </c>
      <c r="AA127" s="106">
        <v>25053</v>
      </c>
      <c r="AB127" s="106">
        <v>4227</v>
      </c>
      <c r="AC127" s="106"/>
      <c r="AD127" s="106"/>
      <c r="AE127" s="106"/>
      <c r="AF127" s="106"/>
      <c r="AG127" s="106"/>
      <c r="AH127" s="106"/>
      <c r="AI127" s="96"/>
    </row>
    <row r="128" spans="1:35" s="4" customFormat="1" ht="19.5" thickBot="1" x14ac:dyDescent="0.35">
      <c r="A128" s="281">
        <v>2190</v>
      </c>
      <c r="B128" s="302" t="s">
        <v>301</v>
      </c>
      <c r="C128" s="264">
        <v>18482</v>
      </c>
      <c r="D128" s="97"/>
      <c r="E128" s="115"/>
      <c r="F128" s="115">
        <f t="shared" si="3"/>
        <v>10718</v>
      </c>
      <c r="G128" s="115">
        <f t="shared" si="4"/>
        <v>7764</v>
      </c>
      <c r="H128" s="96"/>
      <c r="I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>
        <v>575</v>
      </c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>
        <v>10143</v>
      </c>
      <c r="AF128" s="106"/>
      <c r="AG128" s="106"/>
      <c r="AH128" s="106"/>
      <c r="AI128" s="96"/>
    </row>
    <row r="129" spans="1:35" s="4" customFormat="1" ht="19.5" thickBot="1" x14ac:dyDescent="0.35">
      <c r="A129" s="281">
        <v>2395</v>
      </c>
      <c r="B129" s="302" t="s">
        <v>302</v>
      </c>
      <c r="C129" s="264">
        <v>57974</v>
      </c>
      <c r="D129" s="97" t="s">
        <v>409</v>
      </c>
      <c r="E129" s="115">
        <f t="shared" si="5"/>
        <v>57974</v>
      </c>
      <c r="F129" s="115">
        <f t="shared" si="3"/>
        <v>0</v>
      </c>
      <c r="G129" s="115">
        <f t="shared" si="4"/>
        <v>0</v>
      </c>
      <c r="H129" s="96"/>
      <c r="I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96"/>
    </row>
    <row r="130" spans="1:35" s="4" customFormat="1" ht="19.5" thickBot="1" x14ac:dyDescent="0.35">
      <c r="A130" s="281">
        <v>2405</v>
      </c>
      <c r="B130" s="302" t="s">
        <v>303</v>
      </c>
      <c r="C130" s="264">
        <v>154330</v>
      </c>
      <c r="D130" s="97"/>
      <c r="E130" s="115"/>
      <c r="F130" s="115">
        <f t="shared" si="3"/>
        <v>154330</v>
      </c>
      <c r="G130" s="115">
        <f t="shared" si="4"/>
        <v>0</v>
      </c>
      <c r="H130" s="96"/>
      <c r="I130" s="106"/>
      <c r="K130" s="106">
        <v>4478</v>
      </c>
      <c r="L130" s="209">
        <v>13229</v>
      </c>
      <c r="M130" s="106">
        <v>13229</v>
      </c>
      <c r="N130" s="106">
        <v>12487</v>
      </c>
      <c r="O130" s="106">
        <v>11832</v>
      </c>
      <c r="P130" s="106">
        <v>12079</v>
      </c>
      <c r="Q130" s="106">
        <v>12328</v>
      </c>
      <c r="R130" s="106">
        <v>12328</v>
      </c>
      <c r="S130" s="106">
        <v>13325</v>
      </c>
      <c r="T130" s="106">
        <v>10135</v>
      </c>
      <c r="U130" s="106">
        <v>7892</v>
      </c>
      <c r="V130" s="106">
        <v>7454</v>
      </c>
      <c r="W130" s="106">
        <f>14471+9063</f>
        <v>23534</v>
      </c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96"/>
    </row>
    <row r="131" spans="1:35" s="4" customFormat="1" ht="19.5" thickBot="1" x14ac:dyDescent="0.35">
      <c r="A131" s="281">
        <v>2505</v>
      </c>
      <c r="B131" s="302" t="s">
        <v>304</v>
      </c>
      <c r="C131" s="264">
        <v>7109</v>
      </c>
      <c r="D131" s="97" t="s">
        <v>409</v>
      </c>
      <c r="E131" s="115">
        <f t="shared" si="5"/>
        <v>7109</v>
      </c>
      <c r="F131" s="115">
        <f t="shared" si="3"/>
        <v>0</v>
      </c>
      <c r="G131" s="115">
        <f t="shared" si="4"/>
        <v>0</v>
      </c>
      <c r="H131" s="96"/>
      <c r="I131" s="106"/>
      <c r="K131" s="106"/>
      <c r="L131" s="209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96"/>
    </row>
    <row r="132" spans="1:35" s="4" customFormat="1" ht="19.5" thickBot="1" x14ac:dyDescent="0.35">
      <c r="A132" s="281">
        <v>2515</v>
      </c>
      <c r="B132" s="302" t="s">
        <v>305</v>
      </c>
      <c r="C132" s="264">
        <v>14794</v>
      </c>
      <c r="D132" s="97" t="s">
        <v>409</v>
      </c>
      <c r="E132" s="115">
        <f t="shared" si="5"/>
        <v>14794</v>
      </c>
      <c r="F132" s="115">
        <f t="shared" si="3"/>
        <v>0</v>
      </c>
      <c r="G132" s="115">
        <f t="shared" si="4"/>
        <v>0</v>
      </c>
      <c r="H132" s="96"/>
      <c r="I132" s="106"/>
      <c r="K132" s="106"/>
      <c r="L132" s="209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96"/>
    </row>
    <row r="133" spans="1:35" s="4" customFormat="1" ht="19.5" thickBot="1" x14ac:dyDescent="0.35">
      <c r="A133" s="281">
        <v>2520</v>
      </c>
      <c r="B133" s="302" t="s">
        <v>306</v>
      </c>
      <c r="C133" s="264">
        <v>105536</v>
      </c>
      <c r="D133" s="97"/>
      <c r="E133" s="115"/>
      <c r="F133" s="115">
        <f t="shared" si="3"/>
        <v>105536</v>
      </c>
      <c r="G133" s="115">
        <f t="shared" si="4"/>
        <v>0</v>
      </c>
      <c r="H133" s="96"/>
      <c r="I133" s="106"/>
      <c r="K133" s="106">
        <v>38322</v>
      </c>
      <c r="L133" s="209"/>
      <c r="M133" s="106">
        <v>4848</v>
      </c>
      <c r="N133" s="106"/>
      <c r="O133" s="106">
        <v>10518</v>
      </c>
      <c r="P133" s="106">
        <v>10591</v>
      </c>
      <c r="Q133" s="106">
        <f>10584+10584</f>
        <v>21168</v>
      </c>
      <c r="R133" s="106"/>
      <c r="S133" s="106">
        <v>10584</v>
      </c>
      <c r="T133" s="106">
        <v>9505</v>
      </c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96"/>
    </row>
    <row r="134" spans="1:35" s="4" customFormat="1" ht="19.5" thickBot="1" x14ac:dyDescent="0.35">
      <c r="A134" s="281">
        <v>2530</v>
      </c>
      <c r="B134" s="302" t="s">
        <v>307</v>
      </c>
      <c r="C134" s="264">
        <v>105274</v>
      </c>
      <c r="D134" s="97"/>
      <c r="E134" s="115"/>
      <c r="F134" s="115">
        <f t="shared" si="3"/>
        <v>105274</v>
      </c>
      <c r="G134" s="115">
        <f t="shared" si="4"/>
        <v>0</v>
      </c>
      <c r="H134" s="96"/>
      <c r="I134" s="106"/>
      <c r="K134" s="106"/>
      <c r="L134" s="209"/>
      <c r="M134" s="106"/>
      <c r="N134" s="106"/>
      <c r="O134" s="106"/>
      <c r="P134" s="106"/>
      <c r="Q134" s="106"/>
      <c r="R134" s="106">
        <v>77574</v>
      </c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>
        <v>27700</v>
      </c>
      <c r="AE134" s="106"/>
      <c r="AF134" s="106"/>
      <c r="AG134" s="106"/>
      <c r="AH134" s="106"/>
      <c r="AI134" s="96"/>
    </row>
    <row r="135" spans="1:35" s="4" customFormat="1" ht="19.5" thickBot="1" x14ac:dyDescent="0.35">
      <c r="A135" s="281">
        <v>2535</v>
      </c>
      <c r="B135" s="302" t="s">
        <v>308</v>
      </c>
      <c r="C135" s="264">
        <v>15264</v>
      </c>
      <c r="D135" s="97"/>
      <c r="E135" s="115"/>
      <c r="F135" s="115">
        <f t="shared" si="3"/>
        <v>15264</v>
      </c>
      <c r="G135" s="115">
        <f t="shared" si="4"/>
        <v>0</v>
      </c>
      <c r="H135" s="96"/>
      <c r="I135" s="106"/>
      <c r="K135" s="106"/>
      <c r="L135" s="209"/>
      <c r="M135" s="106"/>
      <c r="N135" s="106"/>
      <c r="O135" s="106">
        <v>9704</v>
      </c>
      <c r="P135" s="106"/>
      <c r="Q135" s="106"/>
      <c r="R135" s="106"/>
      <c r="S135" s="106"/>
      <c r="T135" s="106">
        <v>5423</v>
      </c>
      <c r="U135" s="106"/>
      <c r="V135" s="106"/>
      <c r="W135" s="106"/>
      <c r="X135" s="106"/>
      <c r="Y135" s="106">
        <v>137</v>
      </c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96"/>
    </row>
    <row r="136" spans="1:35" s="4" customFormat="1" ht="19.5" thickBot="1" x14ac:dyDescent="0.35">
      <c r="A136" s="281">
        <v>2540</v>
      </c>
      <c r="B136" s="302" t="s">
        <v>309</v>
      </c>
      <c r="C136" s="264">
        <v>22088</v>
      </c>
      <c r="D136" s="97"/>
      <c r="E136" s="115"/>
      <c r="F136" s="115">
        <f t="shared" si="3"/>
        <v>22088</v>
      </c>
      <c r="G136" s="115">
        <f t="shared" si="4"/>
        <v>0</v>
      </c>
      <c r="H136" s="96"/>
      <c r="I136" s="106"/>
      <c r="K136" s="106"/>
      <c r="L136" s="209"/>
      <c r="M136" s="106"/>
      <c r="N136" s="106"/>
      <c r="O136" s="106"/>
      <c r="P136" s="106"/>
      <c r="Q136" s="106"/>
      <c r="R136" s="106"/>
      <c r="S136" s="106">
        <v>22088</v>
      </c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96"/>
    </row>
    <row r="137" spans="1:35" s="4" customFormat="1" ht="19.5" thickBot="1" x14ac:dyDescent="0.35">
      <c r="A137" s="281">
        <v>2560</v>
      </c>
      <c r="B137" s="302" t="s">
        <v>310</v>
      </c>
      <c r="C137" s="264">
        <v>10067</v>
      </c>
      <c r="D137" s="97"/>
      <c r="E137" s="115"/>
      <c r="F137" s="115">
        <f t="shared" si="3"/>
        <v>10067</v>
      </c>
      <c r="G137" s="115">
        <f t="shared" si="4"/>
        <v>0</v>
      </c>
      <c r="H137" s="96"/>
      <c r="I137" s="106"/>
      <c r="K137" s="106"/>
      <c r="L137" s="209"/>
      <c r="M137" s="106"/>
      <c r="N137" s="106">
        <v>5314</v>
      </c>
      <c r="O137" s="106"/>
      <c r="P137" s="106"/>
      <c r="Q137" s="106"/>
      <c r="R137" s="106"/>
      <c r="S137" s="106">
        <v>4753</v>
      </c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96"/>
    </row>
    <row r="138" spans="1:35" s="4" customFormat="1" ht="19.5" thickBot="1" x14ac:dyDescent="0.35">
      <c r="A138" s="281">
        <v>2570</v>
      </c>
      <c r="B138" s="302" t="s">
        <v>311</v>
      </c>
      <c r="C138" s="264">
        <v>10952</v>
      </c>
      <c r="D138" s="97"/>
      <c r="E138" s="115"/>
      <c r="F138" s="115">
        <f t="shared" si="3"/>
        <v>10952</v>
      </c>
      <c r="G138" s="115">
        <f t="shared" si="4"/>
        <v>0</v>
      </c>
      <c r="H138" s="96"/>
      <c r="I138" s="106"/>
      <c r="K138" s="106">
        <v>2184</v>
      </c>
      <c r="L138" s="209">
        <v>1092</v>
      </c>
      <c r="M138" s="106">
        <v>1092</v>
      </c>
      <c r="N138" s="106">
        <v>1093</v>
      </c>
      <c r="O138" s="106">
        <v>1092</v>
      </c>
      <c r="P138" s="106">
        <v>1093</v>
      </c>
      <c r="Q138" s="106">
        <v>1092</v>
      </c>
      <c r="R138" s="106">
        <v>1092</v>
      </c>
      <c r="S138" s="106">
        <v>1122</v>
      </c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96"/>
    </row>
    <row r="139" spans="1:35" s="4" customFormat="1" ht="19.5" thickBot="1" x14ac:dyDescent="0.35">
      <c r="A139" s="281">
        <v>2580</v>
      </c>
      <c r="B139" s="302" t="s">
        <v>312</v>
      </c>
      <c r="C139" s="264">
        <v>6787</v>
      </c>
      <c r="D139" s="97"/>
      <c r="E139" s="115"/>
      <c r="F139" s="115">
        <f t="shared" si="3"/>
        <v>6787</v>
      </c>
      <c r="G139" s="115">
        <f t="shared" si="4"/>
        <v>0</v>
      </c>
      <c r="H139" s="96"/>
      <c r="I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>
        <v>6787</v>
      </c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96"/>
    </row>
    <row r="140" spans="1:35" s="4" customFormat="1" ht="19.5" thickBot="1" x14ac:dyDescent="0.35">
      <c r="A140" s="281">
        <v>2590</v>
      </c>
      <c r="B140" s="302" t="s">
        <v>313</v>
      </c>
      <c r="C140" s="264">
        <v>8685</v>
      </c>
      <c r="D140" s="97"/>
      <c r="E140" s="115"/>
      <c r="F140" s="115">
        <f t="shared" si="3"/>
        <v>8685</v>
      </c>
      <c r="G140" s="115">
        <f t="shared" si="4"/>
        <v>0</v>
      </c>
      <c r="H140" s="96"/>
      <c r="I140" s="106"/>
      <c r="K140" s="106"/>
      <c r="L140" s="106"/>
      <c r="M140" s="106"/>
      <c r="N140" s="106"/>
      <c r="O140" s="106">
        <v>3208</v>
      </c>
      <c r="P140" s="106"/>
      <c r="Q140" s="106"/>
      <c r="R140" s="106">
        <v>161</v>
      </c>
      <c r="S140" s="106">
        <v>5316</v>
      </c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96"/>
    </row>
    <row r="141" spans="1:35" s="4" customFormat="1" ht="19.5" thickBot="1" x14ac:dyDescent="0.35">
      <c r="A141" s="281">
        <v>2600</v>
      </c>
      <c r="B141" s="302" t="s">
        <v>314</v>
      </c>
      <c r="C141" s="264">
        <v>46984</v>
      </c>
      <c r="D141" s="97"/>
      <c r="E141" s="115"/>
      <c r="F141" s="115">
        <f t="shared" si="3"/>
        <v>46984</v>
      </c>
      <c r="G141" s="115">
        <f t="shared" si="4"/>
        <v>0</v>
      </c>
      <c r="H141" s="96"/>
      <c r="I141" s="106"/>
      <c r="K141" s="106"/>
      <c r="L141" s="106"/>
      <c r="M141" s="106"/>
      <c r="N141" s="106"/>
      <c r="O141" s="106">
        <v>26987</v>
      </c>
      <c r="P141" s="106"/>
      <c r="Q141" s="106">
        <v>17982</v>
      </c>
      <c r="R141" s="106"/>
      <c r="S141" s="106">
        <v>1472</v>
      </c>
      <c r="T141" s="106"/>
      <c r="U141" s="106">
        <v>543</v>
      </c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96"/>
    </row>
    <row r="142" spans="1:35" s="4" customFormat="1" ht="19.5" thickBot="1" x14ac:dyDescent="0.35">
      <c r="A142" s="281">
        <v>2610</v>
      </c>
      <c r="B142" s="302" t="s">
        <v>315</v>
      </c>
      <c r="C142" s="264">
        <v>19961</v>
      </c>
      <c r="D142" s="97"/>
      <c r="E142" s="115"/>
      <c r="F142" s="115">
        <f t="shared" si="3"/>
        <v>19961</v>
      </c>
      <c r="G142" s="115">
        <f t="shared" si="4"/>
        <v>0</v>
      </c>
      <c r="H142" s="96"/>
      <c r="I142" s="106"/>
      <c r="K142" s="106"/>
      <c r="L142" s="106">
        <v>8640</v>
      </c>
      <c r="M142" s="106"/>
      <c r="N142" s="106">
        <v>8426</v>
      </c>
      <c r="O142" s="106"/>
      <c r="P142" s="106">
        <v>2632</v>
      </c>
      <c r="Q142" s="106"/>
      <c r="R142" s="106"/>
      <c r="S142" s="106"/>
      <c r="T142" s="106"/>
      <c r="U142" s="106"/>
      <c r="V142" s="106"/>
      <c r="W142" s="106"/>
      <c r="X142" s="106"/>
      <c r="Y142" s="106">
        <v>263</v>
      </c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96"/>
    </row>
    <row r="143" spans="1:35" s="4" customFormat="1" ht="19.5" thickBot="1" x14ac:dyDescent="0.35">
      <c r="A143" s="281">
        <v>2620</v>
      </c>
      <c r="B143" s="302" t="s">
        <v>316</v>
      </c>
      <c r="C143" s="264">
        <v>20614</v>
      </c>
      <c r="D143" s="97"/>
      <c r="E143" s="115"/>
      <c r="F143" s="115">
        <f t="shared" ref="F143:F198" si="6">SUM(H143:AI143)</f>
        <v>20614</v>
      </c>
      <c r="G143" s="115">
        <f t="shared" ref="G143:G198" si="7">IF(ISBLANK(E143),C143-F143,C143-E143)</f>
        <v>0</v>
      </c>
      <c r="H143" s="96"/>
      <c r="I143" s="106"/>
      <c r="K143" s="106"/>
      <c r="L143" s="106"/>
      <c r="M143" s="106"/>
      <c r="N143" s="106"/>
      <c r="O143" s="106"/>
      <c r="P143" s="106"/>
      <c r="Q143" s="106">
        <v>20614</v>
      </c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96"/>
    </row>
    <row r="144" spans="1:35" s="4" customFormat="1" ht="19.5" thickBot="1" x14ac:dyDescent="0.35">
      <c r="A144" s="281">
        <v>2630</v>
      </c>
      <c r="B144" s="302" t="s">
        <v>317</v>
      </c>
      <c r="C144" s="264">
        <v>9730</v>
      </c>
      <c r="D144" s="97" t="s">
        <v>383</v>
      </c>
      <c r="E144" s="115">
        <f t="shared" ref="E144:E191" si="8">IF(ISBLANK(D144),"",C144)</f>
        <v>9730</v>
      </c>
      <c r="F144" s="115">
        <f t="shared" si="6"/>
        <v>0</v>
      </c>
      <c r="G144" s="115">
        <f t="shared" si="7"/>
        <v>0</v>
      </c>
      <c r="H144" s="96"/>
      <c r="I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96"/>
    </row>
    <row r="145" spans="1:35" s="4" customFormat="1" ht="19.5" thickBot="1" x14ac:dyDescent="0.35">
      <c r="A145" s="281">
        <v>2640</v>
      </c>
      <c r="B145" s="302" t="s">
        <v>412</v>
      </c>
      <c r="C145" s="264">
        <v>26569</v>
      </c>
      <c r="D145" s="97"/>
      <c r="E145" s="115"/>
      <c r="F145" s="115">
        <f t="shared" si="6"/>
        <v>26569</v>
      </c>
      <c r="G145" s="115">
        <f t="shared" si="7"/>
        <v>0</v>
      </c>
      <c r="H145" s="96"/>
      <c r="I145" s="106"/>
      <c r="K145" s="106"/>
      <c r="L145" s="106"/>
      <c r="M145" s="106"/>
      <c r="N145" s="106">
        <v>13130</v>
      </c>
      <c r="O145" s="106"/>
      <c r="P145" s="106"/>
      <c r="Q145" s="106"/>
      <c r="R145" s="106"/>
      <c r="S145" s="106">
        <v>13439</v>
      </c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96"/>
    </row>
    <row r="146" spans="1:35" s="4" customFormat="1" ht="19.5" thickBot="1" x14ac:dyDescent="0.35">
      <c r="A146" s="281">
        <v>2650</v>
      </c>
      <c r="B146" s="302" t="s">
        <v>319</v>
      </c>
      <c r="C146" s="264">
        <v>15496</v>
      </c>
      <c r="D146" s="97"/>
      <c r="E146" s="115"/>
      <c r="F146" s="115">
        <f t="shared" si="6"/>
        <v>15496</v>
      </c>
      <c r="G146" s="115">
        <f t="shared" si="7"/>
        <v>0</v>
      </c>
      <c r="H146" s="96"/>
      <c r="I146" s="106"/>
      <c r="K146" s="106"/>
      <c r="L146" s="106">
        <v>3871</v>
      </c>
      <c r="M146" s="106"/>
      <c r="N146" s="106"/>
      <c r="O146" s="106"/>
      <c r="P146" s="106"/>
      <c r="Q146" s="106"/>
      <c r="R146" s="106"/>
      <c r="S146" s="106">
        <v>8076</v>
      </c>
      <c r="T146" s="106"/>
      <c r="U146" s="106">
        <v>3549</v>
      </c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96"/>
    </row>
    <row r="147" spans="1:35" s="4" customFormat="1" ht="19.5" thickBot="1" x14ac:dyDescent="0.35">
      <c r="A147" s="281">
        <v>2660</v>
      </c>
      <c r="B147" s="302" t="s">
        <v>320</v>
      </c>
      <c r="C147" s="264">
        <v>125708</v>
      </c>
      <c r="D147" s="97"/>
      <c r="E147" s="115"/>
      <c r="F147" s="115">
        <f t="shared" si="6"/>
        <v>125708</v>
      </c>
      <c r="G147" s="115">
        <f t="shared" si="7"/>
        <v>0</v>
      </c>
      <c r="H147" s="96"/>
      <c r="I147" s="106"/>
      <c r="K147" s="106">
        <v>23236</v>
      </c>
      <c r="L147" s="106"/>
      <c r="M147" s="106"/>
      <c r="N147" s="106">
        <v>6353</v>
      </c>
      <c r="O147" s="106">
        <v>7085</v>
      </c>
      <c r="P147" s="106">
        <f>15150-8390</f>
        <v>6760</v>
      </c>
      <c r="Q147" s="106">
        <f>13992-4364</f>
        <v>9628</v>
      </c>
      <c r="R147" s="106">
        <v>6605</v>
      </c>
      <c r="S147" s="106">
        <v>4309</v>
      </c>
      <c r="T147" s="106">
        <v>4538</v>
      </c>
      <c r="U147" s="106">
        <f>4473+4811</f>
        <v>9284</v>
      </c>
      <c r="V147" s="106">
        <v>8257</v>
      </c>
      <c r="W147" s="106"/>
      <c r="X147" s="106">
        <v>39653</v>
      </c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96"/>
    </row>
    <row r="148" spans="1:35" s="4" customFormat="1" ht="19.5" thickBot="1" x14ac:dyDescent="0.35">
      <c r="A148" s="281">
        <v>2670</v>
      </c>
      <c r="B148" s="302" t="s">
        <v>321</v>
      </c>
      <c r="C148" s="264">
        <v>16316</v>
      </c>
      <c r="D148" s="97"/>
      <c r="E148" s="115"/>
      <c r="F148" s="115">
        <f t="shared" si="6"/>
        <v>16302</v>
      </c>
      <c r="G148" s="115">
        <f t="shared" si="7"/>
        <v>14</v>
      </c>
      <c r="H148" s="96"/>
      <c r="I148" s="106"/>
      <c r="K148" s="106"/>
      <c r="L148" s="106"/>
      <c r="M148" s="106"/>
      <c r="N148" s="106"/>
      <c r="O148" s="106">
        <v>16302</v>
      </c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96"/>
    </row>
    <row r="149" spans="1:35" s="4" customFormat="1" ht="19.5" thickBot="1" x14ac:dyDescent="0.35">
      <c r="A149" s="281">
        <v>2680</v>
      </c>
      <c r="B149" s="302" t="s">
        <v>322</v>
      </c>
      <c r="C149" s="264">
        <v>13659</v>
      </c>
      <c r="D149" s="97"/>
      <c r="E149" s="115"/>
      <c r="F149" s="115">
        <f t="shared" si="6"/>
        <v>13659</v>
      </c>
      <c r="G149" s="115">
        <f t="shared" si="7"/>
        <v>0</v>
      </c>
      <c r="H149" s="96"/>
      <c r="I149" s="106"/>
      <c r="K149" s="106"/>
      <c r="L149" s="106">
        <v>2394</v>
      </c>
      <c r="M149" s="106"/>
      <c r="N149" s="106"/>
      <c r="O149" s="106">
        <v>2118</v>
      </c>
      <c r="P149" s="106"/>
      <c r="Q149" s="106"/>
      <c r="R149" s="106">
        <v>4644</v>
      </c>
      <c r="S149" s="106"/>
      <c r="T149" s="106">
        <v>2315</v>
      </c>
      <c r="U149" s="106"/>
      <c r="V149" s="106"/>
      <c r="W149" s="106"/>
      <c r="X149" s="106">
        <v>2188</v>
      </c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96"/>
    </row>
    <row r="150" spans="1:35" s="4" customFormat="1" ht="19.5" thickBot="1" x14ac:dyDescent="0.35">
      <c r="A150" s="281">
        <v>2690</v>
      </c>
      <c r="B150" s="302" t="s">
        <v>323</v>
      </c>
      <c r="C150" s="264">
        <v>1173124</v>
      </c>
      <c r="D150" s="97"/>
      <c r="E150" s="115"/>
      <c r="F150" s="115">
        <f t="shared" si="6"/>
        <v>1173124</v>
      </c>
      <c r="G150" s="115">
        <f t="shared" si="7"/>
        <v>0</v>
      </c>
      <c r="H150" s="96"/>
      <c r="I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>
        <v>63588</v>
      </c>
      <c r="X150" s="106">
        <v>159765</v>
      </c>
      <c r="Y150" s="106">
        <v>39259</v>
      </c>
      <c r="Z150" s="106">
        <v>14791</v>
      </c>
      <c r="AA150" s="106">
        <v>48858</v>
      </c>
      <c r="AB150" s="106">
        <v>80507</v>
      </c>
      <c r="AC150" s="106">
        <v>55082</v>
      </c>
      <c r="AD150" s="106">
        <v>62547</v>
      </c>
      <c r="AE150" s="106">
        <v>202340</v>
      </c>
      <c r="AF150" s="106">
        <v>215901</v>
      </c>
      <c r="AG150" s="106">
        <v>76699</v>
      </c>
      <c r="AH150" s="106">
        <v>29055</v>
      </c>
      <c r="AI150" s="106">
        <v>124732</v>
      </c>
    </row>
    <row r="151" spans="1:35" s="4" customFormat="1" ht="19.5" thickBot="1" x14ac:dyDescent="0.35">
      <c r="A151" s="281">
        <v>2700</v>
      </c>
      <c r="B151" s="302" t="s">
        <v>324</v>
      </c>
      <c r="C151" s="264">
        <v>206004</v>
      </c>
      <c r="D151" s="97"/>
      <c r="E151" s="115"/>
      <c r="F151" s="115">
        <f t="shared" si="6"/>
        <v>206004</v>
      </c>
      <c r="G151" s="115">
        <f t="shared" si="7"/>
        <v>0</v>
      </c>
      <c r="H151" s="96"/>
      <c r="I151" s="106"/>
      <c r="K151" s="106"/>
      <c r="L151" s="106"/>
      <c r="M151" s="106"/>
      <c r="N151" s="106"/>
      <c r="O151" s="106">
        <v>12180</v>
      </c>
      <c r="P151" s="106">
        <v>27403</v>
      </c>
      <c r="Q151" s="106"/>
      <c r="R151" s="106">
        <v>29661</v>
      </c>
      <c r="S151" s="106">
        <v>13033</v>
      </c>
      <c r="T151" s="106">
        <v>13033</v>
      </c>
      <c r="U151" s="106">
        <v>27809</v>
      </c>
      <c r="V151" s="106"/>
      <c r="W151" s="106"/>
      <c r="X151" s="106">
        <v>56318</v>
      </c>
      <c r="Y151" s="106"/>
      <c r="Z151" s="106">
        <v>14486</v>
      </c>
      <c r="AA151" s="106">
        <v>12081</v>
      </c>
      <c r="AB151" s="106"/>
      <c r="AC151" s="106"/>
      <c r="AD151" s="106"/>
      <c r="AE151" s="106"/>
      <c r="AF151" s="106"/>
      <c r="AG151" s="106"/>
      <c r="AH151" s="106"/>
      <c r="AI151" s="96"/>
    </row>
    <row r="152" spans="1:35" s="4" customFormat="1" ht="19.5" thickBot="1" x14ac:dyDescent="0.35">
      <c r="A152" s="281">
        <v>2710</v>
      </c>
      <c r="B152" s="302" t="s">
        <v>325</v>
      </c>
      <c r="C152" s="264">
        <v>25909</v>
      </c>
      <c r="D152" s="97"/>
      <c r="E152" s="115"/>
      <c r="F152" s="115">
        <f t="shared" si="6"/>
        <v>25909</v>
      </c>
      <c r="G152" s="115">
        <f t="shared" si="7"/>
        <v>0</v>
      </c>
      <c r="H152" s="96"/>
      <c r="I152" s="106"/>
      <c r="K152" s="106"/>
      <c r="L152" s="106">
        <v>6328</v>
      </c>
      <c r="M152" s="106"/>
      <c r="N152" s="106">
        <v>6462</v>
      </c>
      <c r="O152" s="106"/>
      <c r="P152" s="106"/>
      <c r="Q152" s="106">
        <v>6477</v>
      </c>
      <c r="R152" s="106"/>
      <c r="S152" s="106">
        <v>6642</v>
      </c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96"/>
    </row>
    <row r="153" spans="1:35" s="4" customFormat="1" ht="19.5" thickBot="1" x14ac:dyDescent="0.35">
      <c r="A153" s="281">
        <v>2720</v>
      </c>
      <c r="B153" s="302" t="s">
        <v>326</v>
      </c>
      <c r="C153" s="264">
        <v>13540</v>
      </c>
      <c r="D153" s="97" t="s">
        <v>385</v>
      </c>
      <c r="E153" s="115">
        <f t="shared" si="8"/>
        <v>13540</v>
      </c>
      <c r="F153" s="115">
        <f t="shared" si="6"/>
        <v>0</v>
      </c>
      <c r="G153" s="115">
        <f t="shared" si="7"/>
        <v>0</v>
      </c>
      <c r="H153" s="96"/>
      <c r="I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96"/>
    </row>
    <row r="154" spans="1:35" s="4" customFormat="1" ht="19.5" thickBot="1" x14ac:dyDescent="0.35">
      <c r="A154" s="281">
        <v>2730</v>
      </c>
      <c r="B154" s="302" t="s">
        <v>327</v>
      </c>
      <c r="C154" s="264">
        <v>41516</v>
      </c>
      <c r="D154" s="97"/>
      <c r="E154" s="115"/>
      <c r="F154" s="115">
        <f t="shared" si="6"/>
        <v>41516</v>
      </c>
      <c r="G154" s="115">
        <f t="shared" si="7"/>
        <v>0</v>
      </c>
      <c r="H154" s="96"/>
      <c r="I154" s="106"/>
      <c r="K154" s="106"/>
      <c r="L154" s="106"/>
      <c r="M154" s="106">
        <v>10179</v>
      </c>
      <c r="N154" s="106"/>
      <c r="O154" s="106">
        <v>6723</v>
      </c>
      <c r="P154" s="106"/>
      <c r="Q154" s="106"/>
      <c r="R154" s="106"/>
      <c r="S154" s="106"/>
      <c r="T154" s="106"/>
      <c r="U154" s="106"/>
      <c r="V154" s="106">
        <v>24614</v>
      </c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96"/>
    </row>
    <row r="155" spans="1:35" s="4" customFormat="1" ht="19.5" thickBot="1" x14ac:dyDescent="0.35">
      <c r="A155" s="281">
        <v>2740</v>
      </c>
      <c r="B155" s="302" t="s">
        <v>328</v>
      </c>
      <c r="C155" s="264">
        <v>97498</v>
      </c>
      <c r="D155" s="97"/>
      <c r="E155" s="115"/>
      <c r="F155" s="115">
        <f t="shared" si="6"/>
        <v>97498</v>
      </c>
      <c r="G155" s="115">
        <f t="shared" si="7"/>
        <v>0</v>
      </c>
      <c r="H155" s="96"/>
      <c r="I155" s="106"/>
      <c r="K155" s="106"/>
      <c r="L155" s="106"/>
      <c r="M155" s="106"/>
      <c r="N155" s="106">
        <v>4675</v>
      </c>
      <c r="O155" s="106">
        <v>6046</v>
      </c>
      <c r="P155" s="106">
        <v>6037</v>
      </c>
      <c r="Q155" s="106">
        <v>15396</v>
      </c>
      <c r="R155" s="106">
        <v>6398</v>
      </c>
      <c r="S155" s="106">
        <v>17408</v>
      </c>
      <c r="T155" s="106">
        <v>9351</v>
      </c>
      <c r="U155" s="106">
        <v>6004</v>
      </c>
      <c r="V155" s="106">
        <f>5999+985</f>
        <v>6984</v>
      </c>
      <c r="W155" s="106"/>
      <c r="X155" s="106">
        <v>19199</v>
      </c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96"/>
    </row>
    <row r="156" spans="1:35" s="4" customFormat="1" ht="19.5" thickBot="1" x14ac:dyDescent="0.35">
      <c r="A156" s="281">
        <v>2750</v>
      </c>
      <c r="B156" s="302" t="s">
        <v>329</v>
      </c>
      <c r="C156" s="264">
        <v>14916</v>
      </c>
      <c r="D156" s="97"/>
      <c r="E156" s="115"/>
      <c r="F156" s="115">
        <f t="shared" si="6"/>
        <v>14916</v>
      </c>
      <c r="G156" s="115">
        <f t="shared" si="7"/>
        <v>0</v>
      </c>
      <c r="H156" s="96"/>
      <c r="I156" s="106"/>
      <c r="K156" s="106"/>
      <c r="L156" s="106">
        <v>1244</v>
      </c>
      <c r="M156" s="106"/>
      <c r="N156" s="106"/>
      <c r="O156" s="106"/>
      <c r="P156" s="106"/>
      <c r="Q156" s="106">
        <v>6222</v>
      </c>
      <c r="R156" s="106"/>
      <c r="S156" s="106"/>
      <c r="T156" s="106">
        <v>7260</v>
      </c>
      <c r="U156" s="106"/>
      <c r="V156" s="106"/>
      <c r="W156" s="106"/>
      <c r="X156" s="106"/>
      <c r="Y156" s="106"/>
      <c r="Z156" s="106">
        <v>190</v>
      </c>
      <c r="AA156" s="106"/>
      <c r="AB156" s="106"/>
      <c r="AC156" s="106"/>
      <c r="AD156" s="106"/>
      <c r="AE156" s="106"/>
      <c r="AF156" s="106"/>
      <c r="AG156" s="106"/>
      <c r="AH156" s="106"/>
      <c r="AI156" s="96"/>
    </row>
    <row r="157" spans="1:35" s="4" customFormat="1" ht="19.5" thickBot="1" x14ac:dyDescent="0.35">
      <c r="A157" s="281">
        <v>2760</v>
      </c>
      <c r="B157" s="302" t="s">
        <v>330</v>
      </c>
      <c r="C157" s="264">
        <v>10731</v>
      </c>
      <c r="D157" s="97" t="s">
        <v>384</v>
      </c>
      <c r="E157" s="115">
        <f t="shared" si="8"/>
        <v>10731</v>
      </c>
      <c r="F157" s="115">
        <f t="shared" si="6"/>
        <v>0</v>
      </c>
      <c r="G157" s="115">
        <f t="shared" si="7"/>
        <v>0</v>
      </c>
      <c r="H157" s="96"/>
      <c r="I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96"/>
    </row>
    <row r="158" spans="1:35" s="4" customFormat="1" ht="19.5" thickBot="1" x14ac:dyDescent="0.35">
      <c r="A158" s="281">
        <v>2770</v>
      </c>
      <c r="B158" s="302" t="s">
        <v>331</v>
      </c>
      <c r="C158" s="264">
        <v>53425</v>
      </c>
      <c r="D158" s="97"/>
      <c r="E158" s="115"/>
      <c r="F158" s="115">
        <f t="shared" si="6"/>
        <v>53425</v>
      </c>
      <c r="G158" s="115">
        <f t="shared" si="7"/>
        <v>0</v>
      </c>
      <c r="H158" s="96"/>
      <c r="I158" s="106"/>
      <c r="K158" s="106"/>
      <c r="L158" s="106"/>
      <c r="M158" s="106"/>
      <c r="N158" s="106">
        <v>11688</v>
      </c>
      <c r="O158" s="106"/>
      <c r="P158" s="106">
        <v>1200</v>
      </c>
      <c r="Q158" s="106"/>
      <c r="R158" s="106"/>
      <c r="S158" s="106">
        <v>7979</v>
      </c>
      <c r="T158" s="106">
        <v>32182</v>
      </c>
      <c r="U158" s="106"/>
      <c r="V158" s="106"/>
      <c r="W158" s="106"/>
      <c r="X158" s="106"/>
      <c r="Y158" s="106"/>
      <c r="Z158" s="106">
        <v>376</v>
      </c>
      <c r="AA158" s="106"/>
      <c r="AB158" s="106"/>
      <c r="AC158" s="106"/>
      <c r="AD158" s="106"/>
      <c r="AE158" s="106"/>
      <c r="AF158" s="106"/>
      <c r="AG158" s="106"/>
      <c r="AH158" s="106"/>
      <c r="AI158" s="96"/>
    </row>
    <row r="159" spans="1:35" s="4" customFormat="1" ht="19.5" thickBot="1" x14ac:dyDescent="0.35">
      <c r="A159" s="281">
        <v>2780</v>
      </c>
      <c r="B159" s="302" t="s">
        <v>332</v>
      </c>
      <c r="C159" s="264">
        <v>10922</v>
      </c>
      <c r="D159" s="97" t="s">
        <v>384</v>
      </c>
      <c r="E159" s="115">
        <f t="shared" si="8"/>
        <v>10922</v>
      </c>
      <c r="F159" s="115">
        <f t="shared" si="6"/>
        <v>0</v>
      </c>
      <c r="G159" s="115">
        <f t="shared" si="7"/>
        <v>0</v>
      </c>
      <c r="H159" s="96"/>
      <c r="I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96"/>
    </row>
    <row r="160" spans="1:35" s="4" customFormat="1" ht="19.5" thickBot="1" x14ac:dyDescent="0.35">
      <c r="A160" s="281">
        <v>2790</v>
      </c>
      <c r="B160" s="302" t="s">
        <v>333</v>
      </c>
      <c r="C160" s="264">
        <v>19829</v>
      </c>
      <c r="D160" s="97"/>
      <c r="E160" s="115"/>
      <c r="F160" s="115">
        <f t="shared" si="6"/>
        <v>19829</v>
      </c>
      <c r="G160" s="115">
        <f t="shared" si="7"/>
        <v>0</v>
      </c>
      <c r="H160" s="96"/>
      <c r="I160" s="106"/>
      <c r="K160" s="106"/>
      <c r="L160" s="106"/>
      <c r="M160" s="106"/>
      <c r="N160" s="106"/>
      <c r="O160" s="106"/>
      <c r="P160" s="106"/>
      <c r="Q160" s="106"/>
      <c r="R160" s="106"/>
      <c r="S160" s="106">
        <f>19066+763</f>
        <v>19829</v>
      </c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96"/>
    </row>
    <row r="161" spans="1:35" s="4" customFormat="1" ht="19.5" thickBot="1" x14ac:dyDescent="0.35">
      <c r="A161" s="281">
        <v>2800</v>
      </c>
      <c r="B161" s="302" t="s">
        <v>334</v>
      </c>
      <c r="C161" s="264">
        <v>10992</v>
      </c>
      <c r="D161" s="97"/>
      <c r="E161" s="115"/>
      <c r="F161" s="115">
        <f t="shared" si="6"/>
        <v>10992</v>
      </c>
      <c r="G161" s="115">
        <f t="shared" si="7"/>
        <v>0</v>
      </c>
      <c r="H161" s="96"/>
      <c r="I161" s="106"/>
      <c r="K161" s="106"/>
      <c r="L161" s="106"/>
      <c r="M161" s="106"/>
      <c r="N161" s="106"/>
      <c r="O161" s="106"/>
      <c r="P161" s="106"/>
      <c r="Q161" s="106"/>
      <c r="R161" s="106"/>
      <c r="S161" s="106">
        <v>493</v>
      </c>
      <c r="T161" s="106">
        <v>1766</v>
      </c>
      <c r="U161" s="106"/>
      <c r="V161" s="106"/>
      <c r="W161" s="106"/>
      <c r="X161" s="106"/>
      <c r="Y161" s="106"/>
      <c r="Z161" s="106"/>
      <c r="AA161" s="106">
        <v>3542</v>
      </c>
      <c r="AB161" s="106"/>
      <c r="AC161" s="106"/>
      <c r="AD161" s="106"/>
      <c r="AE161" s="106">
        <v>5191</v>
      </c>
      <c r="AF161" s="106"/>
      <c r="AG161" s="106"/>
      <c r="AH161" s="106"/>
      <c r="AI161" s="96"/>
    </row>
    <row r="162" spans="1:35" s="4" customFormat="1" ht="19.5" thickBot="1" x14ac:dyDescent="0.35">
      <c r="A162" s="281">
        <v>2810</v>
      </c>
      <c r="B162" s="302" t="s">
        <v>335</v>
      </c>
      <c r="C162" s="264">
        <v>62867</v>
      </c>
      <c r="D162" s="97"/>
      <c r="E162" s="115"/>
      <c r="F162" s="115">
        <f t="shared" si="6"/>
        <v>62867</v>
      </c>
      <c r="G162" s="115">
        <f t="shared" si="7"/>
        <v>0</v>
      </c>
      <c r="H162" s="96"/>
      <c r="I162" s="106"/>
      <c r="K162" s="106">
        <v>19580</v>
      </c>
      <c r="L162" s="106"/>
      <c r="M162" s="106">
        <v>12073</v>
      </c>
      <c r="N162" s="106"/>
      <c r="O162" s="106">
        <v>5654</v>
      </c>
      <c r="P162" s="106"/>
      <c r="Q162" s="106">
        <v>19440</v>
      </c>
      <c r="R162" s="106"/>
      <c r="S162" s="106">
        <v>6120</v>
      </c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96"/>
    </row>
    <row r="163" spans="1:35" s="4" customFormat="1" ht="19.5" thickBot="1" x14ac:dyDescent="0.35">
      <c r="A163" s="281">
        <v>2820</v>
      </c>
      <c r="B163" s="302" t="s">
        <v>336</v>
      </c>
      <c r="C163" s="264">
        <v>6483</v>
      </c>
      <c r="D163" s="97"/>
      <c r="E163" s="115"/>
      <c r="F163" s="115">
        <f t="shared" si="6"/>
        <v>6483</v>
      </c>
      <c r="G163" s="115">
        <f t="shared" si="7"/>
        <v>0</v>
      </c>
      <c r="H163" s="96"/>
      <c r="I163" s="106"/>
      <c r="K163" s="106"/>
      <c r="L163" s="106"/>
      <c r="M163" s="106"/>
      <c r="N163" s="106">
        <v>6483</v>
      </c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96"/>
    </row>
    <row r="164" spans="1:35" s="4" customFormat="1" ht="19.5" thickBot="1" x14ac:dyDescent="0.35">
      <c r="A164" s="281">
        <v>2830</v>
      </c>
      <c r="B164" s="302" t="s">
        <v>337</v>
      </c>
      <c r="C164" s="264">
        <v>19803</v>
      </c>
      <c r="D164" s="97"/>
      <c r="E164" s="115"/>
      <c r="F164" s="115">
        <f t="shared" si="6"/>
        <v>19803</v>
      </c>
      <c r="G164" s="115">
        <f t="shared" si="7"/>
        <v>0</v>
      </c>
      <c r="H164" s="96"/>
      <c r="I164" s="106"/>
      <c r="K164" s="106"/>
      <c r="L164" s="106"/>
      <c r="M164" s="106"/>
      <c r="N164" s="106"/>
      <c r="O164" s="106"/>
      <c r="P164" s="106"/>
      <c r="Q164" s="106"/>
      <c r="R164" s="106">
        <v>19803</v>
      </c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96"/>
    </row>
    <row r="165" spans="1:35" s="4" customFormat="1" ht="19.5" thickBot="1" x14ac:dyDescent="0.35">
      <c r="A165" s="281">
        <v>2840</v>
      </c>
      <c r="B165" s="302" t="s">
        <v>338</v>
      </c>
      <c r="C165" s="264">
        <v>10135</v>
      </c>
      <c r="D165" s="97"/>
      <c r="E165" s="115"/>
      <c r="F165" s="115">
        <f t="shared" si="6"/>
        <v>10135</v>
      </c>
      <c r="G165" s="115">
        <f t="shared" si="7"/>
        <v>0</v>
      </c>
      <c r="H165" s="96"/>
      <c r="I165" s="106"/>
      <c r="K165" s="106"/>
      <c r="L165" s="106"/>
      <c r="M165" s="106"/>
      <c r="N165" s="106"/>
      <c r="O165" s="106"/>
      <c r="P165" s="106"/>
      <c r="Q165" s="106"/>
      <c r="R165" s="106">
        <v>874</v>
      </c>
      <c r="S165" s="106"/>
      <c r="T165" s="106">
        <v>2912</v>
      </c>
      <c r="U165" s="106"/>
      <c r="V165" s="106"/>
      <c r="W165" s="106">
        <v>6349</v>
      </c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96"/>
    </row>
    <row r="166" spans="1:35" s="4" customFormat="1" ht="19.5" thickBot="1" x14ac:dyDescent="0.35">
      <c r="A166" s="281">
        <v>2862</v>
      </c>
      <c r="B166" s="302" t="s">
        <v>339</v>
      </c>
      <c r="C166" s="264">
        <v>11155</v>
      </c>
      <c r="D166" s="97" t="s">
        <v>383</v>
      </c>
      <c r="E166" s="115">
        <f t="shared" si="8"/>
        <v>11155</v>
      </c>
      <c r="F166" s="115">
        <f t="shared" si="6"/>
        <v>0</v>
      </c>
      <c r="G166" s="115">
        <f t="shared" si="7"/>
        <v>0</v>
      </c>
      <c r="H166" s="96"/>
      <c r="I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96"/>
    </row>
    <row r="167" spans="1:35" s="4" customFormat="1" ht="19.5" thickBot="1" x14ac:dyDescent="0.35">
      <c r="A167" s="281">
        <v>2865</v>
      </c>
      <c r="B167" s="302" t="s">
        <v>340</v>
      </c>
      <c r="C167" s="264">
        <v>8482</v>
      </c>
      <c r="D167" s="97" t="s">
        <v>383</v>
      </c>
      <c r="E167" s="115">
        <f t="shared" si="8"/>
        <v>8482</v>
      </c>
      <c r="F167" s="115">
        <f t="shared" si="6"/>
        <v>0</v>
      </c>
      <c r="G167" s="115">
        <f t="shared" si="7"/>
        <v>0</v>
      </c>
      <c r="H167" s="96"/>
      <c r="I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96"/>
    </row>
    <row r="168" spans="1:35" s="4" customFormat="1" ht="19.5" thickBot="1" x14ac:dyDescent="0.35">
      <c r="A168" s="281">
        <v>3000</v>
      </c>
      <c r="B168" s="302" t="s">
        <v>341</v>
      </c>
      <c r="C168" s="264">
        <v>60923</v>
      </c>
      <c r="D168" s="97"/>
      <c r="E168" s="115"/>
      <c r="F168" s="115">
        <f t="shared" si="6"/>
        <v>60923</v>
      </c>
      <c r="G168" s="115">
        <f t="shared" si="7"/>
        <v>0</v>
      </c>
      <c r="H168" s="96"/>
      <c r="I168" s="106"/>
      <c r="K168" s="106"/>
      <c r="L168" s="106"/>
      <c r="M168" s="106">
        <v>5306</v>
      </c>
      <c r="N168" s="106">
        <v>9707</v>
      </c>
      <c r="O168" s="106"/>
      <c r="P168" s="106"/>
      <c r="Q168" s="106">
        <v>11103</v>
      </c>
      <c r="R168" s="106"/>
      <c r="S168" s="106">
        <v>15421</v>
      </c>
      <c r="T168" s="106"/>
      <c r="U168" s="106"/>
      <c r="V168" s="106">
        <v>19386</v>
      </c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96"/>
    </row>
    <row r="169" spans="1:35" s="4" customFormat="1" ht="19.5" thickBot="1" x14ac:dyDescent="0.35">
      <c r="A169" s="281">
        <v>3010</v>
      </c>
      <c r="B169" s="302" t="s">
        <v>342</v>
      </c>
      <c r="C169" s="264">
        <v>17870</v>
      </c>
      <c r="D169" s="97"/>
      <c r="E169" s="115"/>
      <c r="F169" s="115">
        <f t="shared" si="6"/>
        <v>17870</v>
      </c>
      <c r="G169" s="115">
        <f t="shared" si="7"/>
        <v>0</v>
      </c>
      <c r="H169" s="96"/>
      <c r="I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>
        <v>1376</v>
      </c>
      <c r="Y169" s="106"/>
      <c r="Z169" s="106">
        <v>3546</v>
      </c>
      <c r="AA169" s="106"/>
      <c r="AB169" s="106"/>
      <c r="AC169" s="106"/>
      <c r="AD169" s="106"/>
      <c r="AE169" s="106"/>
      <c r="AF169" s="106"/>
      <c r="AG169" s="106">
        <v>12948</v>
      </c>
      <c r="AH169" s="106"/>
      <c r="AI169" s="96"/>
    </row>
    <row r="170" spans="1:35" s="4" customFormat="1" ht="19.5" thickBot="1" x14ac:dyDescent="0.35">
      <c r="A170" s="281">
        <v>3020</v>
      </c>
      <c r="B170" s="302" t="s">
        <v>343</v>
      </c>
      <c r="C170" s="264">
        <v>105000</v>
      </c>
      <c r="D170" s="97"/>
      <c r="E170" s="115"/>
      <c r="F170" s="115">
        <f t="shared" si="6"/>
        <v>105000</v>
      </c>
      <c r="G170" s="115">
        <f t="shared" si="7"/>
        <v>0</v>
      </c>
      <c r="H170" s="96"/>
      <c r="I170" s="106"/>
      <c r="K170" s="106"/>
      <c r="L170" s="106"/>
      <c r="M170" s="106"/>
      <c r="N170" s="106">
        <v>36305</v>
      </c>
      <c r="O170" s="106"/>
      <c r="P170" s="106"/>
      <c r="Q170" s="106"/>
      <c r="R170" s="106"/>
      <c r="S170" s="106"/>
      <c r="T170" s="106"/>
      <c r="U170" s="106"/>
      <c r="V170" s="106"/>
      <c r="W170" s="106">
        <v>59663</v>
      </c>
      <c r="X170" s="106"/>
      <c r="Y170" s="106"/>
      <c r="Z170" s="106"/>
      <c r="AA170" s="106">
        <v>9032</v>
      </c>
      <c r="AB170" s="106"/>
      <c r="AC170" s="106"/>
      <c r="AD170" s="106"/>
      <c r="AE170" s="106"/>
      <c r="AF170" s="106"/>
      <c r="AG170" s="106"/>
      <c r="AH170" s="106"/>
      <c r="AI170" s="96"/>
    </row>
    <row r="171" spans="1:35" s="4" customFormat="1" ht="19.5" thickBot="1" x14ac:dyDescent="0.35">
      <c r="A171" s="281">
        <v>3030</v>
      </c>
      <c r="B171" s="302" t="s">
        <v>344</v>
      </c>
      <c r="C171" s="264">
        <v>19000</v>
      </c>
      <c r="D171" s="97"/>
      <c r="E171" s="115"/>
      <c r="F171" s="115">
        <f t="shared" si="6"/>
        <v>19000</v>
      </c>
      <c r="G171" s="115">
        <f t="shared" si="7"/>
        <v>0</v>
      </c>
      <c r="H171" s="96"/>
      <c r="I171" s="106"/>
      <c r="K171" s="106"/>
      <c r="L171" s="106"/>
      <c r="M171" s="106"/>
      <c r="N171" s="106">
        <v>6087</v>
      </c>
      <c r="O171" s="106"/>
      <c r="P171" s="106"/>
      <c r="Q171" s="106">
        <v>6203</v>
      </c>
      <c r="R171" s="106"/>
      <c r="S171" s="106">
        <v>6710</v>
      </c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96"/>
    </row>
    <row r="172" spans="1:35" s="4" customFormat="1" ht="19.5" thickBot="1" x14ac:dyDescent="0.35">
      <c r="A172" s="281">
        <v>3040</v>
      </c>
      <c r="B172" s="302" t="s">
        <v>345</v>
      </c>
      <c r="C172" s="264">
        <v>4210</v>
      </c>
      <c r="D172" s="97" t="s">
        <v>381</v>
      </c>
      <c r="E172" s="115">
        <f t="shared" si="8"/>
        <v>4210</v>
      </c>
      <c r="F172" s="115">
        <f t="shared" si="6"/>
        <v>0</v>
      </c>
      <c r="G172" s="115">
        <f t="shared" si="7"/>
        <v>0</v>
      </c>
      <c r="H172" s="96"/>
      <c r="I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96"/>
    </row>
    <row r="173" spans="1:35" s="4" customFormat="1" ht="19.5" thickBot="1" x14ac:dyDescent="0.35">
      <c r="A173" s="281">
        <v>3050</v>
      </c>
      <c r="B173" s="302" t="s">
        <v>346</v>
      </c>
      <c r="C173" s="264">
        <v>5134</v>
      </c>
      <c r="D173" s="97" t="s">
        <v>383</v>
      </c>
      <c r="E173" s="115">
        <f t="shared" si="8"/>
        <v>5134</v>
      </c>
      <c r="F173" s="115">
        <f t="shared" si="6"/>
        <v>0</v>
      </c>
      <c r="G173" s="115">
        <f t="shared" si="7"/>
        <v>0</v>
      </c>
      <c r="H173" s="96"/>
      <c r="I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96"/>
    </row>
    <row r="174" spans="1:35" s="4" customFormat="1" ht="19.5" thickBot="1" x14ac:dyDescent="0.35">
      <c r="A174" s="281">
        <v>3060</v>
      </c>
      <c r="B174" s="302" t="s">
        <v>347</v>
      </c>
      <c r="C174" s="264">
        <v>2501</v>
      </c>
      <c r="D174" s="97" t="s">
        <v>383</v>
      </c>
      <c r="E174" s="115">
        <f t="shared" si="8"/>
        <v>2501</v>
      </c>
      <c r="F174" s="115">
        <f t="shared" si="6"/>
        <v>0</v>
      </c>
      <c r="G174" s="115">
        <f t="shared" si="7"/>
        <v>0</v>
      </c>
      <c r="H174" s="96"/>
      <c r="I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96"/>
    </row>
    <row r="175" spans="1:35" s="4" customFormat="1" ht="19.5" thickBot="1" x14ac:dyDescent="0.35">
      <c r="A175" s="281">
        <v>3070</v>
      </c>
      <c r="B175" s="302" t="s">
        <v>348</v>
      </c>
      <c r="C175" s="264">
        <v>4202</v>
      </c>
      <c r="D175" s="97" t="s">
        <v>381</v>
      </c>
      <c r="E175" s="115">
        <f t="shared" si="8"/>
        <v>4202</v>
      </c>
      <c r="F175" s="115">
        <f t="shared" si="6"/>
        <v>0</v>
      </c>
      <c r="G175" s="115">
        <f t="shared" si="7"/>
        <v>0</v>
      </c>
      <c r="H175" s="96"/>
      <c r="I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96"/>
    </row>
    <row r="176" spans="1:35" s="4" customFormat="1" ht="19.5" thickBot="1" x14ac:dyDescent="0.35">
      <c r="A176" s="281">
        <v>3080</v>
      </c>
      <c r="B176" s="302" t="s">
        <v>349</v>
      </c>
      <c r="C176" s="264">
        <v>62380</v>
      </c>
      <c r="D176" s="97" t="s">
        <v>409</v>
      </c>
      <c r="E176" s="115">
        <f t="shared" si="8"/>
        <v>62380</v>
      </c>
      <c r="F176" s="115">
        <f t="shared" si="6"/>
        <v>0</v>
      </c>
      <c r="G176" s="115">
        <f t="shared" si="7"/>
        <v>0</v>
      </c>
      <c r="H176" s="96"/>
      <c r="I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96"/>
    </row>
    <row r="177" spans="1:35" s="4" customFormat="1" ht="19.5" thickBot="1" x14ac:dyDescent="0.35">
      <c r="A177" s="281">
        <v>3085</v>
      </c>
      <c r="B177" s="302" t="s">
        <v>350</v>
      </c>
      <c r="C177" s="264">
        <v>36721</v>
      </c>
      <c r="D177" s="97"/>
      <c r="E177" s="115"/>
      <c r="F177" s="115">
        <f t="shared" si="6"/>
        <v>36721</v>
      </c>
      <c r="G177" s="115">
        <f t="shared" si="7"/>
        <v>0</v>
      </c>
      <c r="H177" s="96"/>
      <c r="I177" s="106"/>
      <c r="K177" s="106"/>
      <c r="L177" s="106"/>
      <c r="M177" s="106"/>
      <c r="N177" s="106"/>
      <c r="O177" s="106"/>
      <c r="P177" s="106">
        <v>17283</v>
      </c>
      <c r="Q177" s="106"/>
      <c r="R177" s="106"/>
      <c r="S177" s="106"/>
      <c r="T177" s="106">
        <v>13064</v>
      </c>
      <c r="U177" s="106"/>
      <c r="V177" s="106">
        <v>6374</v>
      </c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96"/>
    </row>
    <row r="178" spans="1:35" s="4" customFormat="1" ht="19.5" thickBot="1" x14ac:dyDescent="0.35">
      <c r="A178" s="281">
        <v>3090</v>
      </c>
      <c r="B178" s="302" t="s">
        <v>351</v>
      </c>
      <c r="C178" s="264">
        <v>56480</v>
      </c>
      <c r="D178" s="97"/>
      <c r="E178" s="115"/>
      <c r="F178" s="115">
        <f t="shared" si="6"/>
        <v>56480</v>
      </c>
      <c r="G178" s="115">
        <f t="shared" si="7"/>
        <v>0</v>
      </c>
      <c r="H178" s="96"/>
      <c r="I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>
        <v>56480</v>
      </c>
      <c r="AB178" s="106"/>
      <c r="AC178" s="106"/>
      <c r="AD178" s="106"/>
      <c r="AE178" s="106"/>
      <c r="AF178" s="106"/>
      <c r="AG178" s="106"/>
      <c r="AH178" s="106"/>
      <c r="AI178" s="96"/>
    </row>
    <row r="179" spans="1:35" s="4" customFormat="1" ht="19.5" thickBot="1" x14ac:dyDescent="0.35">
      <c r="A179" s="281">
        <v>3100</v>
      </c>
      <c r="B179" s="302" t="s">
        <v>352</v>
      </c>
      <c r="C179" s="264">
        <v>58353</v>
      </c>
      <c r="D179" s="97"/>
      <c r="E179" s="115"/>
      <c r="F179" s="115">
        <f t="shared" si="6"/>
        <v>58353</v>
      </c>
      <c r="G179" s="115">
        <f t="shared" si="7"/>
        <v>0</v>
      </c>
      <c r="H179" s="96"/>
      <c r="I179" s="106"/>
      <c r="K179" s="106"/>
      <c r="L179" s="106"/>
      <c r="M179" s="106"/>
      <c r="N179" s="106"/>
      <c r="O179" s="106"/>
      <c r="P179" s="106">
        <v>3995</v>
      </c>
      <c r="Q179" s="106">
        <v>4569</v>
      </c>
      <c r="R179" s="106">
        <v>4254</v>
      </c>
      <c r="S179" s="106">
        <v>7921</v>
      </c>
      <c r="T179" s="106"/>
      <c r="U179" s="106">
        <v>9957</v>
      </c>
      <c r="V179" s="106">
        <v>4267</v>
      </c>
      <c r="W179" s="106">
        <v>11950</v>
      </c>
      <c r="X179" s="106"/>
      <c r="Y179" s="106">
        <v>8899</v>
      </c>
      <c r="Z179" s="106">
        <v>2541</v>
      </c>
      <c r="AA179" s="106"/>
      <c r="AB179" s="106"/>
      <c r="AC179" s="106"/>
      <c r="AD179" s="106"/>
      <c r="AE179" s="106"/>
      <c r="AF179" s="106"/>
      <c r="AG179" s="106"/>
      <c r="AH179" s="106"/>
      <c r="AI179" s="96"/>
    </row>
    <row r="180" spans="1:35" s="4" customFormat="1" ht="19.5" thickBot="1" x14ac:dyDescent="0.35">
      <c r="A180" s="281">
        <v>3110</v>
      </c>
      <c r="B180" s="302" t="s">
        <v>353</v>
      </c>
      <c r="C180" s="264">
        <v>57090</v>
      </c>
      <c r="D180" s="97"/>
      <c r="E180" s="115"/>
      <c r="F180" s="115">
        <f t="shared" si="6"/>
        <v>57090</v>
      </c>
      <c r="G180" s="115">
        <f t="shared" si="7"/>
        <v>0</v>
      </c>
      <c r="H180" s="96"/>
      <c r="I180" s="106"/>
      <c r="K180" s="106"/>
      <c r="L180" s="106"/>
      <c r="M180" s="106"/>
      <c r="N180" s="106"/>
      <c r="O180" s="106">
        <v>32398</v>
      </c>
      <c r="P180" s="106"/>
      <c r="Q180" s="106"/>
      <c r="R180" s="106"/>
      <c r="S180" s="106"/>
      <c r="T180" s="106">
        <v>24692</v>
      </c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96"/>
    </row>
    <row r="181" spans="1:35" s="4" customFormat="1" ht="19.5" thickBot="1" x14ac:dyDescent="0.35">
      <c r="A181" s="281">
        <v>3120</v>
      </c>
      <c r="B181" s="302" t="s">
        <v>354</v>
      </c>
      <c r="C181" s="264">
        <v>724403</v>
      </c>
      <c r="D181" s="97"/>
      <c r="E181" s="115"/>
      <c r="F181" s="115">
        <f t="shared" si="6"/>
        <v>724403</v>
      </c>
      <c r="G181" s="115">
        <f t="shared" si="7"/>
        <v>0</v>
      </c>
      <c r="H181" s="96"/>
      <c r="I181" s="106"/>
      <c r="K181" s="106"/>
      <c r="L181" s="106"/>
      <c r="M181" s="106"/>
      <c r="N181" s="106"/>
      <c r="O181" s="106">
        <v>120810</v>
      </c>
      <c r="P181" s="106">
        <v>27876</v>
      </c>
      <c r="Q181" s="106">
        <v>79725</v>
      </c>
      <c r="R181" s="106">
        <v>58294</v>
      </c>
      <c r="S181" s="106">
        <v>46125</v>
      </c>
      <c r="T181" s="106">
        <v>140417</v>
      </c>
      <c r="U181" s="106">
        <v>48762</v>
      </c>
      <c r="V181" s="106">
        <v>147221</v>
      </c>
      <c r="W181" s="106">
        <v>48433</v>
      </c>
      <c r="X181" s="106"/>
      <c r="Y181" s="106">
        <v>6740</v>
      </c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96"/>
    </row>
    <row r="182" spans="1:35" s="4" customFormat="1" ht="19.5" thickBot="1" x14ac:dyDescent="0.35">
      <c r="A182" s="281">
        <v>3130</v>
      </c>
      <c r="B182" s="302" t="s">
        <v>355</v>
      </c>
      <c r="C182" s="264">
        <v>22258</v>
      </c>
      <c r="D182" s="97" t="s">
        <v>409</v>
      </c>
      <c r="E182" s="115">
        <f t="shared" si="8"/>
        <v>22258</v>
      </c>
      <c r="F182" s="115">
        <f t="shared" si="6"/>
        <v>0</v>
      </c>
      <c r="G182" s="115">
        <f t="shared" si="7"/>
        <v>0</v>
      </c>
      <c r="H182" s="96"/>
      <c r="I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96"/>
    </row>
    <row r="183" spans="1:35" s="4" customFormat="1" ht="19.5" thickBot="1" x14ac:dyDescent="0.35">
      <c r="A183" s="281">
        <v>3140</v>
      </c>
      <c r="B183" s="302" t="s">
        <v>356</v>
      </c>
      <c r="C183" s="264">
        <v>108307</v>
      </c>
      <c r="D183" s="97"/>
      <c r="E183" s="115"/>
      <c r="F183" s="115">
        <f t="shared" si="6"/>
        <v>108307</v>
      </c>
      <c r="G183" s="115">
        <f t="shared" si="7"/>
        <v>0</v>
      </c>
      <c r="H183" s="96"/>
      <c r="I183" s="106"/>
      <c r="K183" s="106"/>
      <c r="L183" s="106"/>
      <c r="M183" s="106"/>
      <c r="N183" s="106"/>
      <c r="O183" s="106">
        <v>30499</v>
      </c>
      <c r="P183" s="106"/>
      <c r="Q183" s="106"/>
      <c r="R183" s="106"/>
      <c r="S183" s="106"/>
      <c r="T183" s="106"/>
      <c r="U183" s="106"/>
      <c r="V183" s="106"/>
      <c r="W183" s="106"/>
      <c r="X183" s="106">
        <v>67105</v>
      </c>
      <c r="Y183" s="106"/>
      <c r="Z183" s="106">
        <v>10703</v>
      </c>
      <c r="AA183" s="106"/>
      <c r="AB183" s="106"/>
      <c r="AC183" s="106"/>
      <c r="AD183" s="106"/>
      <c r="AE183" s="106"/>
      <c r="AF183" s="106"/>
      <c r="AG183" s="106"/>
      <c r="AH183" s="106"/>
      <c r="AI183" s="96"/>
    </row>
    <row r="184" spans="1:35" s="4" customFormat="1" ht="19.5" thickBot="1" x14ac:dyDescent="0.35">
      <c r="A184" s="281">
        <v>3145</v>
      </c>
      <c r="B184" s="302" t="s">
        <v>357</v>
      </c>
      <c r="C184" s="264">
        <v>46792</v>
      </c>
      <c r="D184" s="97"/>
      <c r="E184" s="115"/>
      <c r="F184" s="115">
        <f t="shared" si="6"/>
        <v>46792</v>
      </c>
      <c r="G184" s="115">
        <f t="shared" si="7"/>
        <v>0</v>
      </c>
      <c r="H184" s="96"/>
      <c r="I184" s="106"/>
      <c r="K184" s="106"/>
      <c r="L184" s="106">
        <v>7095</v>
      </c>
      <c r="M184" s="106"/>
      <c r="N184" s="106"/>
      <c r="O184" s="106">
        <v>10591</v>
      </c>
      <c r="P184" s="106"/>
      <c r="Q184" s="106">
        <v>8665</v>
      </c>
      <c r="R184" s="106">
        <v>8311</v>
      </c>
      <c r="S184" s="106">
        <v>2816</v>
      </c>
      <c r="T184" s="106">
        <v>3337</v>
      </c>
      <c r="U184" s="106">
        <v>25</v>
      </c>
      <c r="V184" s="106"/>
      <c r="W184" s="106"/>
      <c r="X184" s="106"/>
      <c r="Y184" s="106">
        <v>5952</v>
      </c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96"/>
    </row>
    <row r="185" spans="1:35" s="4" customFormat="1" ht="19.5" thickBot="1" x14ac:dyDescent="0.35">
      <c r="A185" s="281">
        <v>3146</v>
      </c>
      <c r="B185" s="302" t="s">
        <v>358</v>
      </c>
      <c r="C185" s="264">
        <v>4180</v>
      </c>
      <c r="D185" s="97" t="s">
        <v>409</v>
      </c>
      <c r="E185" s="115">
        <f t="shared" si="8"/>
        <v>4180</v>
      </c>
      <c r="F185" s="115">
        <f t="shared" si="6"/>
        <v>0</v>
      </c>
      <c r="G185" s="115">
        <f t="shared" si="7"/>
        <v>0</v>
      </c>
      <c r="H185" s="96"/>
      <c r="I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96"/>
    </row>
    <row r="186" spans="1:35" s="4" customFormat="1" ht="19.5" thickBot="1" x14ac:dyDescent="0.35">
      <c r="A186" s="281">
        <v>3147</v>
      </c>
      <c r="B186" s="302" t="s">
        <v>359</v>
      </c>
      <c r="C186" s="264">
        <v>6039</v>
      </c>
      <c r="D186" s="97" t="s">
        <v>409</v>
      </c>
      <c r="E186" s="115">
        <f t="shared" si="8"/>
        <v>6039</v>
      </c>
      <c r="F186" s="115">
        <f t="shared" si="6"/>
        <v>0</v>
      </c>
      <c r="G186" s="115">
        <f t="shared" si="7"/>
        <v>0</v>
      </c>
      <c r="H186" s="96"/>
      <c r="I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96"/>
    </row>
    <row r="187" spans="1:35" s="4" customFormat="1" ht="19.5" thickBot="1" x14ac:dyDescent="0.35">
      <c r="A187" s="281">
        <v>3148</v>
      </c>
      <c r="B187" s="302" t="s">
        <v>360</v>
      </c>
      <c r="C187" s="264">
        <v>4994</v>
      </c>
      <c r="D187" s="97" t="s">
        <v>409</v>
      </c>
      <c r="E187" s="115">
        <f t="shared" si="8"/>
        <v>4994</v>
      </c>
      <c r="F187" s="115">
        <f t="shared" si="6"/>
        <v>0</v>
      </c>
      <c r="G187" s="115">
        <f t="shared" si="7"/>
        <v>0</v>
      </c>
      <c r="H187" s="96"/>
      <c r="I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96"/>
    </row>
    <row r="188" spans="1:35" s="4" customFormat="1" ht="19.5" thickBot="1" x14ac:dyDescent="0.35">
      <c r="A188" s="281">
        <v>3200</v>
      </c>
      <c r="B188" s="302" t="s">
        <v>361</v>
      </c>
      <c r="C188" s="264">
        <v>37159</v>
      </c>
      <c r="D188" s="97"/>
      <c r="E188" s="115"/>
      <c r="F188" s="115">
        <f t="shared" si="6"/>
        <v>37159</v>
      </c>
      <c r="G188" s="115">
        <f t="shared" si="7"/>
        <v>0</v>
      </c>
      <c r="H188" s="96"/>
      <c r="I188" s="106"/>
      <c r="K188" s="106">
        <v>15463</v>
      </c>
      <c r="L188" s="106"/>
      <c r="M188" s="106"/>
      <c r="N188" s="106">
        <v>446</v>
      </c>
      <c r="O188" s="106"/>
      <c r="P188" s="106"/>
      <c r="Q188" s="106">
        <v>451</v>
      </c>
      <c r="R188" s="106"/>
      <c r="S188" s="106">
        <v>18050</v>
      </c>
      <c r="T188" s="106"/>
      <c r="U188" s="106">
        <v>1182</v>
      </c>
      <c r="V188" s="106"/>
      <c r="W188" s="106"/>
      <c r="X188" s="106"/>
      <c r="Y188" s="106"/>
      <c r="Z188" s="106"/>
      <c r="AA188" s="106"/>
      <c r="AB188" s="106"/>
      <c r="AC188" s="106">
        <v>1567</v>
      </c>
      <c r="AD188" s="106"/>
      <c r="AE188" s="106"/>
      <c r="AF188" s="106"/>
      <c r="AG188" s="106"/>
      <c r="AH188" s="106"/>
      <c r="AI188" s="96"/>
    </row>
    <row r="189" spans="1:35" s="4" customFormat="1" ht="19.5" thickBot="1" x14ac:dyDescent="0.35">
      <c r="A189" s="281">
        <v>3210</v>
      </c>
      <c r="B189" s="302" t="s">
        <v>362</v>
      </c>
      <c r="C189" s="264">
        <v>23011</v>
      </c>
      <c r="D189" s="97"/>
      <c r="E189" s="115"/>
      <c r="F189" s="115">
        <f t="shared" si="6"/>
        <v>23011</v>
      </c>
      <c r="G189" s="115">
        <f t="shared" si="7"/>
        <v>0</v>
      </c>
      <c r="H189" s="9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>
        <v>23011</v>
      </c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96"/>
    </row>
    <row r="190" spans="1:35" s="4" customFormat="1" ht="19.5" thickBot="1" x14ac:dyDescent="0.35">
      <c r="A190" s="281">
        <v>3220</v>
      </c>
      <c r="B190" s="302" t="s">
        <v>363</v>
      </c>
      <c r="C190" s="264">
        <v>6562</v>
      </c>
      <c r="D190" s="97" t="s">
        <v>381</v>
      </c>
      <c r="E190" s="115">
        <f t="shared" si="8"/>
        <v>6562</v>
      </c>
      <c r="F190" s="115">
        <f t="shared" si="6"/>
        <v>0</v>
      </c>
      <c r="G190" s="115">
        <f t="shared" si="7"/>
        <v>0</v>
      </c>
      <c r="H190" s="9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96"/>
    </row>
    <row r="191" spans="1:35" s="4" customFormat="1" ht="19.5" thickBot="1" x14ac:dyDescent="0.35">
      <c r="A191" s="281">
        <v>3230</v>
      </c>
      <c r="B191" s="302" t="s">
        <v>364</v>
      </c>
      <c r="C191" s="264">
        <v>5119</v>
      </c>
      <c r="D191" s="98" t="s">
        <v>381</v>
      </c>
      <c r="E191" s="115">
        <f t="shared" si="8"/>
        <v>5119</v>
      </c>
      <c r="F191" s="115">
        <f t="shared" si="6"/>
        <v>0</v>
      </c>
      <c r="G191" s="115">
        <f t="shared" si="7"/>
        <v>0</v>
      </c>
      <c r="H191" s="9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96"/>
    </row>
    <row r="192" spans="1:35" s="4" customFormat="1" ht="19.5" thickBot="1" x14ac:dyDescent="0.35">
      <c r="A192" s="276">
        <v>8001</v>
      </c>
      <c r="B192" s="302" t="s">
        <v>366</v>
      </c>
      <c r="C192" s="260">
        <v>43108</v>
      </c>
      <c r="D192" s="97"/>
      <c r="E192" s="115"/>
      <c r="F192" s="115">
        <f>SUM(H192:AI192)</f>
        <v>43108</v>
      </c>
      <c r="G192" s="115">
        <f>IF(ISBLANK(E192),C192-F192,C192-E192)</f>
        <v>0</v>
      </c>
      <c r="H192" s="96"/>
      <c r="I192" s="106"/>
      <c r="J192" s="106"/>
      <c r="K192" s="106"/>
      <c r="L192" s="106"/>
      <c r="M192" s="106"/>
      <c r="N192" s="106"/>
      <c r="O192" s="106"/>
      <c r="P192" s="106">
        <v>1234</v>
      </c>
      <c r="Q192" s="106"/>
      <c r="R192" s="106"/>
      <c r="S192" s="106"/>
      <c r="T192" s="106"/>
      <c r="U192" s="106"/>
      <c r="V192" s="106">
        <v>12949</v>
      </c>
      <c r="W192" s="106"/>
      <c r="X192" s="106"/>
      <c r="Y192" s="106"/>
      <c r="Z192" s="106"/>
      <c r="AA192" s="106"/>
      <c r="AB192" s="106"/>
      <c r="AC192" s="106"/>
      <c r="AD192" s="106">
        <v>28925</v>
      </c>
      <c r="AE192" s="106"/>
      <c r="AF192" s="106"/>
      <c r="AG192" s="106"/>
      <c r="AH192" s="106"/>
      <c r="AI192" s="96"/>
    </row>
    <row r="193" spans="1:35" s="4" customFormat="1" ht="19.5" thickBot="1" x14ac:dyDescent="0.35">
      <c r="A193" s="281">
        <v>9000</v>
      </c>
      <c r="B193" s="302" t="s">
        <v>367</v>
      </c>
      <c r="C193" s="260">
        <v>10028</v>
      </c>
      <c r="D193" s="97"/>
      <c r="E193" s="115"/>
      <c r="F193" s="115">
        <f t="shared" si="6"/>
        <v>10028</v>
      </c>
      <c r="G193" s="115">
        <f t="shared" si="7"/>
        <v>0</v>
      </c>
      <c r="H193" s="9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>
        <v>2277</v>
      </c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>
        <v>7751</v>
      </c>
      <c r="AG193" s="106"/>
      <c r="AH193" s="106"/>
      <c r="AI193" s="96"/>
    </row>
    <row r="194" spans="1:35" s="4" customFormat="1" ht="19.5" thickBot="1" x14ac:dyDescent="0.35">
      <c r="A194" s="277">
        <v>9025</v>
      </c>
      <c r="B194" s="304" t="s">
        <v>381</v>
      </c>
      <c r="C194" s="260">
        <f ca="1">SUMIF($D$14:$E$198,"East Central BOCES",$E$14:$E$198)</f>
        <v>212265</v>
      </c>
      <c r="D194" s="99"/>
      <c r="E194" s="115"/>
      <c r="F194" s="115">
        <f t="shared" si="6"/>
        <v>212265</v>
      </c>
      <c r="G194" s="115">
        <f t="shared" ca="1" si="7"/>
        <v>0</v>
      </c>
      <c r="H194" s="96"/>
      <c r="I194" s="106"/>
      <c r="J194" s="106"/>
      <c r="K194" s="106"/>
      <c r="L194" s="106"/>
      <c r="M194" s="106"/>
      <c r="N194" s="106"/>
      <c r="O194" s="106"/>
      <c r="P194" s="106"/>
      <c r="Q194" s="106">
        <v>7778</v>
      </c>
      <c r="R194" s="106">
        <v>8751</v>
      </c>
      <c r="S194" s="106">
        <v>24762</v>
      </c>
      <c r="T194" s="106">
        <v>19895</v>
      </c>
      <c r="U194" s="106">
        <v>807</v>
      </c>
      <c r="V194" s="106"/>
      <c r="W194" s="106"/>
      <c r="X194" s="106">
        <v>71631</v>
      </c>
      <c r="Y194" s="106">
        <v>12728</v>
      </c>
      <c r="Z194" s="106">
        <v>13792</v>
      </c>
      <c r="AA194" s="106">
        <v>12506</v>
      </c>
      <c r="AB194" s="106">
        <v>10739</v>
      </c>
      <c r="AC194" s="106">
        <v>11180</v>
      </c>
      <c r="AD194" s="106">
        <v>17696</v>
      </c>
      <c r="AE194" s="106"/>
      <c r="AF194" s="106"/>
      <c r="AG194" s="106"/>
      <c r="AH194" s="106"/>
      <c r="AI194" s="96"/>
    </row>
    <row r="195" spans="1:35" s="4" customFormat="1" ht="19.5" thickBot="1" x14ac:dyDescent="0.35">
      <c r="A195" s="277">
        <v>9035</v>
      </c>
      <c r="B195" s="304" t="s">
        <v>382</v>
      </c>
      <c r="C195" s="260">
        <f ca="1">SUMIF($D$14:$E$198,"CBOCES",$E$14:$E$198)</f>
        <v>179728</v>
      </c>
      <c r="D195" s="99"/>
      <c r="E195" s="115"/>
      <c r="F195" s="115">
        <f t="shared" si="6"/>
        <v>179728</v>
      </c>
      <c r="G195" s="115">
        <f t="shared" ca="1" si="7"/>
        <v>0</v>
      </c>
      <c r="H195" s="96"/>
      <c r="I195" s="106"/>
      <c r="J195" s="106"/>
      <c r="K195" s="106"/>
      <c r="L195" s="106"/>
      <c r="M195" s="106"/>
      <c r="N195" s="106">
        <v>33214</v>
      </c>
      <c r="O195" s="106">
        <v>17000</v>
      </c>
      <c r="P195" s="106">
        <v>3800</v>
      </c>
      <c r="Q195" s="106">
        <v>4500</v>
      </c>
      <c r="R195" s="106">
        <v>10000</v>
      </c>
      <c r="S195" s="106">
        <v>23200</v>
      </c>
      <c r="T195" s="106">
        <v>18300</v>
      </c>
      <c r="U195" s="106">
        <v>6300</v>
      </c>
      <c r="V195" s="106">
        <v>53455</v>
      </c>
      <c r="W195" s="106"/>
      <c r="X195" s="106"/>
      <c r="Y195" s="106">
        <v>600</v>
      </c>
      <c r="Z195" s="106">
        <v>9359</v>
      </c>
      <c r="AA195" s="106"/>
      <c r="AB195" s="106"/>
      <c r="AC195" s="106"/>
      <c r="AD195" s="106"/>
      <c r="AE195" s="106"/>
      <c r="AF195" s="106"/>
      <c r="AG195" s="106"/>
      <c r="AH195" s="106"/>
      <c r="AI195" s="96"/>
    </row>
    <row r="196" spans="1:35" s="22" customFormat="1" ht="16.5" thickBot="1" x14ac:dyDescent="0.3">
      <c r="A196" s="277">
        <v>9040</v>
      </c>
      <c r="B196" s="66" t="s">
        <v>383</v>
      </c>
      <c r="C196" s="260">
        <f ca="1">SUMIF($D$14:$E$198,"Northeast BOCES",$E$14:$E$198)</f>
        <v>48456</v>
      </c>
      <c r="D196" s="99"/>
      <c r="E196" s="115"/>
      <c r="F196" s="115">
        <f t="shared" si="6"/>
        <v>48456</v>
      </c>
      <c r="G196" s="115">
        <f t="shared" ca="1" si="7"/>
        <v>0</v>
      </c>
      <c r="H196" s="96"/>
      <c r="I196" s="106"/>
      <c r="J196" s="106"/>
      <c r="K196" s="106"/>
      <c r="L196" s="106"/>
      <c r="M196" s="106"/>
      <c r="N196" s="106">
        <v>530</v>
      </c>
      <c r="O196" s="106"/>
      <c r="P196" s="106"/>
      <c r="Q196" s="106">
        <v>12932</v>
      </c>
      <c r="R196" s="106"/>
      <c r="S196" s="106">
        <v>17804</v>
      </c>
      <c r="T196" s="106">
        <v>8838</v>
      </c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>
        <v>8352</v>
      </c>
      <c r="AE196" s="106"/>
      <c r="AF196" s="106"/>
      <c r="AG196" s="106"/>
      <c r="AH196" s="106"/>
      <c r="AI196" s="96"/>
    </row>
    <row r="197" spans="1:35" s="22" customFormat="1" ht="16.5" thickBot="1" x14ac:dyDescent="0.3">
      <c r="A197" s="277">
        <v>9095</v>
      </c>
      <c r="B197" s="304" t="s">
        <v>384</v>
      </c>
      <c r="C197" s="260">
        <f ca="1">SUMIF($D$14:$E$198,"Northwest BOCES",$E$14:$E$198)</f>
        <v>33400</v>
      </c>
      <c r="D197" s="99"/>
      <c r="E197" s="115"/>
      <c r="F197" s="115">
        <f t="shared" si="6"/>
        <v>33400</v>
      </c>
      <c r="G197" s="115">
        <f t="shared" ca="1" si="7"/>
        <v>0</v>
      </c>
      <c r="H197" s="210"/>
      <c r="I197" s="209"/>
      <c r="J197" s="209"/>
      <c r="K197" s="209"/>
      <c r="L197" s="209"/>
      <c r="M197" s="209"/>
      <c r="N197" s="106"/>
      <c r="O197" s="106"/>
      <c r="P197" s="106">
        <v>8834</v>
      </c>
      <c r="Q197" s="106">
        <v>7592</v>
      </c>
      <c r="R197" s="106"/>
      <c r="S197" s="106"/>
      <c r="T197" s="106"/>
      <c r="U197" s="106"/>
      <c r="V197" s="106">
        <v>16974</v>
      </c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</row>
    <row r="198" spans="1:35" s="22" customFormat="1" ht="16.5" thickBot="1" x14ac:dyDescent="0.3">
      <c r="A198" s="277">
        <v>9125</v>
      </c>
      <c r="B198" s="304" t="s">
        <v>385</v>
      </c>
      <c r="C198" s="265">
        <f ca="1">SUMIF($D$14:$E$198,"Rio Blanco BOCES",$E$14:$E$198)</f>
        <v>13540</v>
      </c>
      <c r="D198" s="99"/>
      <c r="E198" s="115"/>
      <c r="F198" s="115">
        <f t="shared" si="6"/>
        <v>13540</v>
      </c>
      <c r="G198" s="115">
        <f t="shared" ca="1" si="7"/>
        <v>0</v>
      </c>
      <c r="H198" s="210"/>
      <c r="I198" s="209"/>
      <c r="J198" s="209"/>
      <c r="K198" s="209"/>
      <c r="L198" s="209"/>
      <c r="M198" s="209"/>
      <c r="N198" s="106"/>
      <c r="O198" s="209">
        <v>13540</v>
      </c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</row>
    <row r="199" spans="1:35" s="22" customFormat="1" ht="16.5" thickBot="1" x14ac:dyDescent="0.3">
      <c r="A199" s="146"/>
      <c r="B199" s="304"/>
      <c r="C199" s="217"/>
      <c r="D199" s="99"/>
      <c r="E199" s="115"/>
      <c r="F199" s="115"/>
      <c r="G199" s="115"/>
      <c r="H199" s="210"/>
      <c r="I199" s="209"/>
      <c r="J199" s="209"/>
      <c r="K199" s="209"/>
      <c r="L199" s="209"/>
      <c r="M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</row>
    <row r="200" spans="1:35" s="199" customFormat="1" ht="16.5" thickBot="1" x14ac:dyDescent="0.3">
      <c r="A200" s="324"/>
      <c r="B200" s="324"/>
      <c r="C200" s="266">
        <f ca="1">SUM(C10:C198)-E200</f>
        <v>25508379</v>
      </c>
      <c r="D200" s="324">
        <f>SUM(D10:D198)</f>
        <v>0</v>
      </c>
      <c r="E200" s="189">
        <f>SUM(E10:E198)</f>
        <v>487389</v>
      </c>
      <c r="F200" s="189">
        <f>SUM(F10:F198)</f>
        <v>25491294</v>
      </c>
      <c r="G200" s="189">
        <f ca="1">SUM(G10:G198)</f>
        <v>17085</v>
      </c>
      <c r="H200" s="190">
        <f t="shared" ref="H200:AH200" si="9">SUM(H10:H198)</f>
        <v>0</v>
      </c>
      <c r="I200" s="190">
        <f t="shared" si="9"/>
        <v>0</v>
      </c>
      <c r="J200" s="190">
        <f t="shared" si="9"/>
        <v>0</v>
      </c>
      <c r="K200" s="190">
        <f t="shared" si="9"/>
        <v>787578</v>
      </c>
      <c r="L200" s="190">
        <f t="shared" si="9"/>
        <v>572216</v>
      </c>
      <c r="M200" s="190">
        <f t="shared" si="9"/>
        <v>1159380</v>
      </c>
      <c r="N200" s="190">
        <f t="shared" si="9"/>
        <v>1195323</v>
      </c>
      <c r="O200" s="190">
        <f t="shared" si="9"/>
        <v>2140688</v>
      </c>
      <c r="P200" s="190">
        <f t="shared" si="9"/>
        <v>1652451</v>
      </c>
      <c r="Q200" s="190">
        <f t="shared" si="9"/>
        <v>2142871</v>
      </c>
      <c r="R200" s="190">
        <f>SUM(R14:R198)</f>
        <v>1467342</v>
      </c>
      <c r="S200" s="190">
        <f t="shared" si="9"/>
        <v>2201301</v>
      </c>
      <c r="T200" s="190">
        <f t="shared" si="9"/>
        <v>2079829</v>
      </c>
      <c r="U200" s="190">
        <f t="shared" si="9"/>
        <v>1514380</v>
      </c>
      <c r="V200" s="190">
        <f t="shared" si="9"/>
        <v>1148360</v>
      </c>
      <c r="W200" s="190">
        <f t="shared" si="9"/>
        <v>1238309</v>
      </c>
      <c r="X200" s="190">
        <f t="shared" si="9"/>
        <v>2156590</v>
      </c>
      <c r="Y200" s="190">
        <f t="shared" si="9"/>
        <v>589893</v>
      </c>
      <c r="Z200" s="190">
        <f t="shared" si="9"/>
        <v>1402564</v>
      </c>
      <c r="AA200" s="190">
        <f t="shared" si="9"/>
        <v>536883</v>
      </c>
      <c r="AB200" s="190">
        <f t="shared" si="9"/>
        <v>382464</v>
      </c>
      <c r="AC200" s="190">
        <f t="shared" si="9"/>
        <v>152751</v>
      </c>
      <c r="AD200" s="190">
        <f t="shared" si="9"/>
        <v>191826</v>
      </c>
      <c r="AE200" s="190">
        <f t="shared" si="9"/>
        <v>272497</v>
      </c>
      <c r="AF200" s="190">
        <f t="shared" si="9"/>
        <v>230703</v>
      </c>
      <c r="AG200" s="190">
        <f t="shared" si="9"/>
        <v>90057</v>
      </c>
      <c r="AH200" s="190">
        <f t="shared" si="9"/>
        <v>29055</v>
      </c>
    </row>
    <row r="201" spans="1:35" s="22" customFormat="1" x14ac:dyDescent="0.25">
      <c r="D201" s="16"/>
    </row>
    <row r="202" spans="1:35" s="22" customFormat="1" x14ac:dyDescent="0.25">
      <c r="D202" s="16"/>
      <c r="K202" s="275"/>
      <c r="V202" s="275"/>
      <c r="W202" s="275"/>
      <c r="X202" s="275"/>
      <c r="Z202" s="275"/>
      <c r="AA202" s="275"/>
      <c r="AB202" s="275"/>
      <c r="AD202" s="275"/>
      <c r="AE202" s="275"/>
    </row>
    <row r="203" spans="1:35" s="22" customFormat="1" x14ac:dyDescent="0.25">
      <c r="A203" s="22" t="s">
        <v>365</v>
      </c>
      <c r="B203" s="22" t="s">
        <v>413</v>
      </c>
      <c r="D203" s="16"/>
      <c r="S203" s="275"/>
      <c r="U203" s="275"/>
    </row>
    <row r="204" spans="1:35" s="22" customFormat="1" x14ac:dyDescent="0.25">
      <c r="D204" s="16"/>
    </row>
    <row r="205" spans="1:35" s="22" customFormat="1" x14ac:dyDescent="0.25">
      <c r="D205" s="16"/>
    </row>
    <row r="206" spans="1:35" s="22" customFormat="1" x14ac:dyDescent="0.25">
      <c r="D206" s="16"/>
    </row>
    <row r="207" spans="1:35" s="22" customFormat="1" x14ac:dyDescent="0.25">
      <c r="D207" s="16"/>
    </row>
    <row r="208" spans="1:35" s="22" customFormat="1" x14ac:dyDescent="0.25">
      <c r="D208" s="16"/>
    </row>
    <row r="209" spans="4:4" s="22" customFormat="1" x14ac:dyDescent="0.25">
      <c r="D209" s="16"/>
    </row>
    <row r="210" spans="4:4" s="22" customFormat="1" x14ac:dyDescent="0.25">
      <c r="D210" s="16"/>
    </row>
    <row r="211" spans="4:4" s="22" customFormat="1" x14ac:dyDescent="0.25">
      <c r="D211" s="16"/>
    </row>
    <row r="212" spans="4:4" s="22" customFormat="1" x14ac:dyDescent="0.25">
      <c r="D212" s="16"/>
    </row>
    <row r="213" spans="4:4" s="22" customFormat="1" x14ac:dyDescent="0.25">
      <c r="D213" s="16"/>
    </row>
    <row r="214" spans="4:4" s="22" customFormat="1" x14ac:dyDescent="0.25">
      <c r="D214" s="16"/>
    </row>
    <row r="215" spans="4:4" s="22" customFormat="1" x14ac:dyDescent="0.25">
      <c r="D215" s="16"/>
    </row>
    <row r="216" spans="4:4" s="22" customFormat="1" x14ac:dyDescent="0.25">
      <c r="D216" s="16"/>
    </row>
    <row r="217" spans="4:4" s="22" customFormat="1" x14ac:dyDescent="0.25">
      <c r="D217" s="16"/>
    </row>
    <row r="218" spans="4:4" s="22" customFormat="1" x14ac:dyDescent="0.25">
      <c r="D218" s="16"/>
    </row>
    <row r="219" spans="4:4" s="22" customFormat="1" x14ac:dyDescent="0.25">
      <c r="D219" s="16"/>
    </row>
    <row r="220" spans="4:4" s="22" customFormat="1" x14ac:dyDescent="0.25">
      <c r="D220" s="16"/>
    </row>
    <row r="221" spans="4:4" s="22" customFormat="1" x14ac:dyDescent="0.25">
      <c r="D221" s="16"/>
    </row>
    <row r="222" spans="4:4" s="22" customFormat="1" x14ac:dyDescent="0.25">
      <c r="D222" s="16"/>
    </row>
    <row r="223" spans="4:4" s="22" customFormat="1" x14ac:dyDescent="0.25">
      <c r="D223" s="16"/>
    </row>
    <row r="224" spans="4:4" s="22" customFormat="1" x14ac:dyDescent="0.25">
      <c r="D224" s="16"/>
    </row>
    <row r="225" spans="4:4" s="22" customFormat="1" x14ac:dyDescent="0.25">
      <c r="D225" s="16"/>
    </row>
    <row r="226" spans="4:4" s="22" customFormat="1" x14ac:dyDescent="0.25">
      <c r="D226" s="16"/>
    </row>
    <row r="227" spans="4:4" s="22" customFormat="1" x14ac:dyDescent="0.25">
      <c r="D227" s="16"/>
    </row>
    <row r="228" spans="4:4" x14ac:dyDescent="0.25">
      <c r="D228" s="17"/>
    </row>
    <row r="229" spans="4:4" x14ac:dyDescent="0.25">
      <c r="D229" s="17"/>
    </row>
  </sheetData>
  <sheetProtection password="EF32"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J269"/>
  <sheetViews>
    <sheetView zoomScaleNormal="100" workbookViewId="0">
      <pane xSplit="7" ySplit="13" topLeftCell="AJ14" activePane="bottomRight" state="frozen"/>
      <selection pane="topRight" activeCell="H1" sqref="H1"/>
      <selection pane="bottomLeft" activeCell="A13" sqref="A13"/>
      <selection pane="bottomRight" activeCell="AJ14" sqref="AJ14"/>
    </sheetView>
  </sheetViews>
  <sheetFormatPr defaultColWidth="9.140625" defaultRowHeight="15" x14ac:dyDescent="0.25"/>
  <cols>
    <col min="1" max="1" width="9.140625" style="1"/>
    <col min="2" max="2" width="30.42578125" style="1" customWidth="1"/>
    <col min="3" max="3" width="16.42578125" style="24" customWidth="1"/>
    <col min="4" max="4" width="20" style="8" customWidth="1"/>
    <col min="5" max="5" width="17.5703125" style="24" customWidth="1"/>
    <col min="6" max="6" width="15.7109375" style="24" customWidth="1"/>
    <col min="7" max="7" width="17" style="24" customWidth="1"/>
    <col min="8" max="36" width="15.7109375" style="1" customWidth="1"/>
    <col min="37" max="16384" width="9.140625" style="1"/>
  </cols>
  <sheetData>
    <row r="1" spans="1:36" ht="21" x14ac:dyDescent="0.35">
      <c r="A1" s="26" t="s">
        <v>0</v>
      </c>
      <c r="B1" s="42"/>
      <c r="C1" s="28" t="s">
        <v>416</v>
      </c>
      <c r="D1" s="43"/>
      <c r="E1" s="53"/>
      <c r="F1" s="53"/>
      <c r="G1" s="54"/>
      <c r="H1" s="46"/>
      <c r="I1" s="46"/>
      <c r="J1" s="28" t="str">
        <f>A1</f>
        <v>Grant:</v>
      </c>
      <c r="K1" s="28" t="str">
        <f>C1</f>
        <v>Title III-A Formula</v>
      </c>
      <c r="L1" s="26"/>
      <c r="M1" s="26"/>
      <c r="N1" s="29"/>
      <c r="O1" s="29"/>
      <c r="P1" s="46"/>
      <c r="Q1" s="46"/>
      <c r="R1" s="28" t="s">
        <v>0</v>
      </c>
      <c r="S1" s="28" t="str">
        <f>$C$1</f>
        <v>Title III-A Formula</v>
      </c>
      <c r="T1" s="26"/>
      <c r="U1" s="26"/>
      <c r="V1" s="29"/>
      <c r="W1" s="29"/>
      <c r="X1" s="46"/>
      <c r="Y1" s="46"/>
      <c r="Z1" s="28" t="s">
        <v>0</v>
      </c>
      <c r="AA1" s="28" t="str">
        <f>$C$1</f>
        <v>Title III-A Formula</v>
      </c>
      <c r="AB1" s="26"/>
      <c r="AC1" s="26"/>
      <c r="AD1" s="29"/>
      <c r="AE1" s="29"/>
      <c r="AF1" s="46"/>
      <c r="AG1" s="46"/>
      <c r="AH1" s="46"/>
      <c r="AI1" s="46"/>
      <c r="AJ1" s="28"/>
    </row>
    <row r="2" spans="1:36" ht="15.75" x14ac:dyDescent="0.25">
      <c r="A2" s="31" t="s">
        <v>1</v>
      </c>
      <c r="B2" s="42"/>
      <c r="C2" s="32" t="s">
        <v>415</v>
      </c>
      <c r="D2" s="55"/>
      <c r="E2" s="56"/>
      <c r="F2" s="44"/>
      <c r="G2" s="45"/>
      <c r="H2" s="46"/>
      <c r="I2" s="46"/>
      <c r="J2" s="31" t="s">
        <v>2</v>
      </c>
      <c r="K2" s="31"/>
      <c r="L2" s="34" t="str">
        <f>$C$4</f>
        <v>2012-13</v>
      </c>
      <c r="M2" s="34"/>
      <c r="N2" s="33"/>
      <c r="O2" s="33"/>
      <c r="P2" s="33"/>
      <c r="Q2" s="33"/>
      <c r="R2" s="31" t="s">
        <v>2</v>
      </c>
      <c r="S2" s="31"/>
      <c r="T2" s="34" t="str">
        <f>$C$4</f>
        <v>2012-13</v>
      </c>
      <c r="U2" s="34"/>
      <c r="V2" s="33"/>
      <c r="W2" s="33"/>
      <c r="X2" s="33"/>
      <c r="Y2" s="33"/>
      <c r="Z2" s="31" t="s">
        <v>2</v>
      </c>
      <c r="AA2" s="31"/>
      <c r="AB2" s="34" t="str">
        <f>$C$4</f>
        <v>2012-13</v>
      </c>
      <c r="AC2" s="34"/>
      <c r="AD2" s="33"/>
      <c r="AE2" s="33"/>
      <c r="AF2" s="33"/>
      <c r="AG2" s="33"/>
      <c r="AH2" s="297"/>
      <c r="AI2" s="297"/>
      <c r="AJ2" s="31"/>
    </row>
    <row r="3" spans="1:36" ht="15.75" x14ac:dyDescent="0.25">
      <c r="A3" s="31" t="s">
        <v>4</v>
      </c>
      <c r="B3" s="42"/>
      <c r="C3" s="34">
        <v>4365</v>
      </c>
      <c r="D3" s="43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ht="21" x14ac:dyDescent="0.35">
      <c r="A4" s="31" t="s">
        <v>2</v>
      </c>
      <c r="B4" s="42"/>
      <c r="C4" s="28" t="str">
        <f>'NCLB Title I-A Formula'!$C$4</f>
        <v>2012-13</v>
      </c>
      <c r="D4" s="43"/>
      <c r="E4" s="44"/>
      <c r="F4" s="45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ht="15.75" x14ac:dyDescent="0.25">
      <c r="A5" s="31" t="s">
        <v>457</v>
      </c>
      <c r="B5" s="42"/>
      <c r="C5" s="34" t="s">
        <v>496</v>
      </c>
      <c r="D5" s="43"/>
      <c r="E5" s="44"/>
      <c r="F5" s="44"/>
      <c r="G5" s="47"/>
      <c r="H5" s="35"/>
      <c r="I5" s="35"/>
      <c r="J5" s="35"/>
      <c r="K5" s="35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15.75" x14ac:dyDescent="0.25">
      <c r="A6" s="31" t="s">
        <v>6</v>
      </c>
      <c r="B6" s="42"/>
      <c r="C6" s="34" t="s">
        <v>370</v>
      </c>
      <c r="D6" s="43"/>
      <c r="E6" s="44"/>
      <c r="F6" s="44"/>
      <c r="G6" s="47"/>
      <c r="H6" s="35"/>
      <c r="I6" s="35"/>
      <c r="J6" s="35"/>
      <c r="K6" s="35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15.75" x14ac:dyDescent="0.25">
      <c r="A7" s="31"/>
      <c r="B7" s="42"/>
      <c r="C7" s="34" t="s">
        <v>501</v>
      </c>
      <c r="D7" s="43"/>
      <c r="E7" s="44"/>
      <c r="F7" s="44"/>
      <c r="G7" s="47"/>
      <c r="H7" s="35"/>
      <c r="I7" s="35"/>
      <c r="J7" s="35"/>
      <c r="K7" s="35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5.75" x14ac:dyDescent="0.25">
      <c r="A8" s="31"/>
      <c r="B8" s="42"/>
      <c r="C8" s="34"/>
      <c r="D8" s="43"/>
      <c r="E8" s="44"/>
      <c r="F8" s="44"/>
      <c r="G8" s="47"/>
      <c r="H8" s="35"/>
      <c r="I8" s="35"/>
      <c r="J8" s="35"/>
      <c r="K8" s="35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15.75" x14ac:dyDescent="0.25">
      <c r="A9" s="31" t="s">
        <v>400</v>
      </c>
      <c r="B9" s="42"/>
      <c r="C9" s="34" t="s">
        <v>489</v>
      </c>
      <c r="D9" s="43"/>
      <c r="E9" s="44"/>
      <c r="F9" s="45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15.75" x14ac:dyDescent="0.25">
      <c r="A10" s="31" t="s">
        <v>401</v>
      </c>
      <c r="B10" s="42"/>
      <c r="C10" s="34" t="s">
        <v>402</v>
      </c>
      <c r="D10" s="43"/>
      <c r="E10" s="44"/>
      <c r="F10" s="45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ht="15.75" x14ac:dyDescent="0.25">
      <c r="A11" s="31" t="s">
        <v>458</v>
      </c>
      <c r="B11" s="27"/>
      <c r="C11" s="31" t="s">
        <v>471</v>
      </c>
      <c r="D11" s="43"/>
      <c r="E11" s="44"/>
      <c r="F11" s="45"/>
      <c r="G11" s="49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ht="16.5" thickBot="1" x14ac:dyDescent="0.3">
      <c r="A12" s="44" t="s">
        <v>365</v>
      </c>
      <c r="B12" s="128" t="s">
        <v>408</v>
      </c>
      <c r="C12" s="34"/>
      <c r="D12" s="43"/>
      <c r="E12" s="44"/>
      <c r="F12" s="45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23" customFormat="1" ht="32.25" customHeight="1" thickBot="1" x14ac:dyDescent="0.3">
      <c r="A13" s="139" t="s">
        <v>371</v>
      </c>
      <c r="B13" s="140" t="s">
        <v>372</v>
      </c>
      <c r="C13" s="151" t="s">
        <v>373</v>
      </c>
      <c r="D13" s="156" t="s">
        <v>452</v>
      </c>
      <c r="E13" s="156" t="s">
        <v>454</v>
      </c>
      <c r="F13" s="142" t="s">
        <v>374</v>
      </c>
      <c r="G13" s="76" t="s">
        <v>375</v>
      </c>
      <c r="H13" s="143" t="s">
        <v>386</v>
      </c>
      <c r="I13" s="143" t="s">
        <v>388</v>
      </c>
      <c r="J13" s="143" t="s">
        <v>389</v>
      </c>
      <c r="K13" s="143" t="s">
        <v>390</v>
      </c>
      <c r="L13" s="143" t="s">
        <v>391</v>
      </c>
      <c r="M13" s="143" t="s">
        <v>392</v>
      </c>
      <c r="N13" s="143" t="s">
        <v>393</v>
      </c>
      <c r="O13" s="143" t="s">
        <v>455</v>
      </c>
      <c r="P13" s="143" t="s">
        <v>394</v>
      </c>
      <c r="Q13" s="143" t="s">
        <v>395</v>
      </c>
      <c r="R13" s="143" t="s">
        <v>396</v>
      </c>
      <c r="S13" s="143" t="s">
        <v>397</v>
      </c>
      <c r="T13" s="143" t="s">
        <v>387</v>
      </c>
      <c r="U13" s="143" t="s">
        <v>398</v>
      </c>
      <c r="V13" s="143" t="s">
        <v>399</v>
      </c>
      <c r="W13" s="143" t="s">
        <v>475</v>
      </c>
      <c r="X13" s="143" t="s">
        <v>476</v>
      </c>
      <c r="Y13" s="143" t="s">
        <v>477</v>
      </c>
      <c r="Z13" s="143" t="s">
        <v>478</v>
      </c>
      <c r="AA13" s="143" t="s">
        <v>479</v>
      </c>
      <c r="AB13" s="143" t="s">
        <v>480</v>
      </c>
      <c r="AC13" s="143" t="s">
        <v>481</v>
      </c>
      <c r="AD13" s="143" t="s">
        <v>482</v>
      </c>
      <c r="AE13" s="143" t="s">
        <v>483</v>
      </c>
      <c r="AF13" s="143" t="s">
        <v>472</v>
      </c>
      <c r="AG13" s="143" t="s">
        <v>473</v>
      </c>
      <c r="AH13" s="143" t="s">
        <v>474</v>
      </c>
      <c r="AI13" s="143" t="s">
        <v>505</v>
      </c>
      <c r="AJ13" s="143" t="s">
        <v>506</v>
      </c>
    </row>
    <row r="14" spans="1:36" s="4" customFormat="1" ht="19.5" thickBot="1" x14ac:dyDescent="0.35">
      <c r="A14" s="288">
        <v>10</v>
      </c>
      <c r="B14" s="57" t="s">
        <v>187</v>
      </c>
      <c r="C14" s="267">
        <v>187469</v>
      </c>
      <c r="D14" s="68"/>
      <c r="E14" s="115"/>
      <c r="F14" s="115">
        <f t="shared" ref="F14:F45" si="0">SUM(H14:AJ14)</f>
        <v>187469</v>
      </c>
      <c r="G14" s="115">
        <f>IF(ISBLANK(E14),C14-F14,C14-E14)</f>
        <v>0</v>
      </c>
      <c r="H14" s="106"/>
      <c r="I14" s="106"/>
      <c r="J14" s="106"/>
      <c r="K14" s="106"/>
      <c r="L14" s="106"/>
      <c r="M14" s="106">
        <v>20814</v>
      </c>
      <c r="N14" s="106"/>
      <c r="O14" s="106">
        <v>23998</v>
      </c>
      <c r="P14" s="106">
        <v>20285</v>
      </c>
      <c r="Q14" s="106">
        <v>19616</v>
      </c>
      <c r="R14" s="106">
        <v>13465</v>
      </c>
      <c r="S14" s="106">
        <v>16253</v>
      </c>
      <c r="T14" s="106"/>
      <c r="U14" s="106">
        <v>43928</v>
      </c>
      <c r="V14" s="106">
        <v>25290</v>
      </c>
      <c r="W14" s="106"/>
      <c r="X14" s="106">
        <v>3820</v>
      </c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s="4" customFormat="1" ht="19.5" thickBot="1" x14ac:dyDescent="0.35">
      <c r="A15" s="286">
        <v>20</v>
      </c>
      <c r="B15" s="59" t="s">
        <v>188</v>
      </c>
      <c r="C15" s="268">
        <v>470831</v>
      </c>
      <c r="D15" s="69"/>
      <c r="E15" s="115"/>
      <c r="F15" s="115">
        <f t="shared" si="0"/>
        <v>470831</v>
      </c>
      <c r="G15" s="115">
        <f t="shared" ref="G15:G78" si="1">IF(ISBLANK(E15),C15-F15,C15-E15)</f>
        <v>0</v>
      </c>
      <c r="H15" s="106"/>
      <c r="I15" s="106"/>
      <c r="J15" s="106"/>
      <c r="K15" s="106"/>
      <c r="L15" s="106"/>
      <c r="M15" s="106">
        <v>23251</v>
      </c>
      <c r="N15" s="106"/>
      <c r="O15" s="106">
        <v>44292</v>
      </c>
      <c r="P15" s="106">
        <v>24641</v>
      </c>
      <c r="Q15" s="106">
        <v>68472</v>
      </c>
      <c r="R15" s="106"/>
      <c r="S15" s="106">
        <v>84113</v>
      </c>
      <c r="T15" s="106">
        <v>25253</v>
      </c>
      <c r="U15" s="106"/>
      <c r="V15" s="106">
        <v>44269</v>
      </c>
      <c r="W15" s="106"/>
      <c r="X15" s="106">
        <v>120546</v>
      </c>
      <c r="Y15" s="106">
        <v>34434</v>
      </c>
      <c r="Z15" s="106"/>
      <c r="AA15" s="106">
        <v>1560</v>
      </c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s="4" customFormat="1" ht="19.5" thickBot="1" x14ac:dyDescent="0.35">
      <c r="A16" s="286">
        <v>30</v>
      </c>
      <c r="B16" s="59" t="s">
        <v>189</v>
      </c>
      <c r="C16" s="268">
        <v>222539</v>
      </c>
      <c r="D16" s="69"/>
      <c r="E16" s="115"/>
      <c r="F16" s="115">
        <f t="shared" si="0"/>
        <v>222539</v>
      </c>
      <c r="G16" s="115">
        <f t="shared" si="1"/>
        <v>0</v>
      </c>
      <c r="H16" s="106"/>
      <c r="I16" s="106"/>
      <c r="J16" s="106"/>
      <c r="K16" s="106"/>
      <c r="L16" s="106"/>
      <c r="M16" s="106">
        <v>26135</v>
      </c>
      <c r="N16" s="106"/>
      <c r="O16" s="106">
        <v>53291</v>
      </c>
      <c r="P16" s="106"/>
      <c r="Q16" s="106"/>
      <c r="R16" s="106"/>
      <c r="S16" s="106"/>
      <c r="T16" s="106"/>
      <c r="U16" s="106"/>
      <c r="V16" s="106">
        <v>60873</v>
      </c>
      <c r="W16" s="106"/>
      <c r="X16" s="106">
        <v>43892</v>
      </c>
      <c r="Y16" s="106"/>
      <c r="Z16" s="106">
        <f>9434+11591</f>
        <v>21025</v>
      </c>
      <c r="AA16" s="106">
        <v>11606</v>
      </c>
      <c r="AB16" s="106"/>
      <c r="AC16" s="106">
        <v>5717</v>
      </c>
      <c r="AD16" s="106"/>
      <c r="AE16" s="106"/>
      <c r="AF16" s="106"/>
      <c r="AG16" s="106"/>
      <c r="AH16" s="106"/>
      <c r="AI16" s="106"/>
      <c r="AJ16" s="106"/>
    </row>
    <row r="17" spans="1:36" s="4" customFormat="1" ht="19.5" thickBot="1" x14ac:dyDescent="0.35">
      <c r="A17" s="286">
        <v>40</v>
      </c>
      <c r="B17" s="59" t="s">
        <v>190</v>
      </c>
      <c r="C17" s="268">
        <v>146030</v>
      </c>
      <c r="D17" s="69"/>
      <c r="E17" s="115"/>
      <c r="F17" s="115">
        <f t="shared" si="0"/>
        <v>146030</v>
      </c>
      <c r="G17" s="115">
        <f t="shared" si="1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v>26792</v>
      </c>
      <c r="Q17" s="106">
        <v>9005</v>
      </c>
      <c r="R17" s="106">
        <v>9596</v>
      </c>
      <c r="S17" s="106">
        <v>7491</v>
      </c>
      <c r="T17" s="106"/>
      <c r="U17" s="106"/>
      <c r="V17" s="106"/>
      <c r="W17" s="106">
        <v>3407</v>
      </c>
      <c r="X17" s="106">
        <v>63939</v>
      </c>
      <c r="Y17" s="106"/>
      <c r="Z17" s="106">
        <v>13935</v>
      </c>
      <c r="AA17" s="106">
        <v>11865</v>
      </c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spans="1:36" s="4" customFormat="1" ht="19.5" thickBot="1" x14ac:dyDescent="0.35">
      <c r="A18" s="286">
        <v>50</v>
      </c>
      <c r="B18" s="59" t="s">
        <v>191</v>
      </c>
      <c r="C18" s="268">
        <v>4726</v>
      </c>
      <c r="D18" s="69" t="s">
        <v>381</v>
      </c>
      <c r="E18" s="115">
        <f>C18</f>
        <v>4726</v>
      </c>
      <c r="F18" s="115">
        <f t="shared" si="0"/>
        <v>0</v>
      </c>
      <c r="G18" s="115">
        <f t="shared" si="1"/>
        <v>0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spans="1:36" s="4" customFormat="1" ht="19.5" thickBot="1" x14ac:dyDescent="0.35">
      <c r="A19" s="286">
        <v>60</v>
      </c>
      <c r="B19" s="59" t="s">
        <v>192</v>
      </c>
      <c r="C19" s="268">
        <v>2603</v>
      </c>
      <c r="D19" s="69" t="s">
        <v>381</v>
      </c>
      <c r="E19" s="115">
        <f>C19</f>
        <v>2603</v>
      </c>
      <c r="F19" s="115">
        <f t="shared" si="0"/>
        <v>0</v>
      </c>
      <c r="G19" s="115">
        <f t="shared" si="1"/>
        <v>0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</row>
    <row r="20" spans="1:36" s="4" customFormat="1" ht="19.5" thickBot="1" x14ac:dyDescent="0.35">
      <c r="A20" s="286">
        <v>70</v>
      </c>
      <c r="B20" s="59" t="s">
        <v>193</v>
      </c>
      <c r="C20" s="268">
        <v>275553</v>
      </c>
      <c r="D20" s="69"/>
      <c r="E20" s="115"/>
      <c r="F20" s="115">
        <f t="shared" si="0"/>
        <v>275553</v>
      </c>
      <c r="G20" s="115">
        <f t="shared" si="1"/>
        <v>0</v>
      </c>
      <c r="H20" s="106"/>
      <c r="I20" s="106"/>
      <c r="J20" s="106"/>
      <c r="K20" s="106"/>
      <c r="L20" s="106">
        <v>11986</v>
      </c>
      <c r="M20" s="106">
        <v>26048</v>
      </c>
      <c r="N20" s="106">
        <v>25076</v>
      </c>
      <c r="O20" s="106">
        <v>52799</v>
      </c>
      <c r="P20" s="106">
        <v>22497</v>
      </c>
      <c r="Q20" s="106">
        <v>22907</v>
      </c>
      <c r="R20" s="106">
        <v>24606</v>
      </c>
      <c r="S20" s="106">
        <v>22548</v>
      </c>
      <c r="T20" s="106">
        <v>26428</v>
      </c>
      <c r="U20" s="106"/>
      <c r="V20" s="106"/>
      <c r="W20" s="106">
        <v>18616</v>
      </c>
      <c r="X20" s="106">
        <v>22042</v>
      </c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</row>
    <row r="21" spans="1:36" s="4" customFormat="1" ht="19.5" thickBot="1" x14ac:dyDescent="0.35">
      <c r="A21" s="286">
        <v>100</v>
      </c>
      <c r="B21" s="59" t="s">
        <v>194</v>
      </c>
      <c r="C21" s="268">
        <v>21850</v>
      </c>
      <c r="D21" s="69"/>
      <c r="E21" s="115"/>
      <c r="F21" s="115">
        <f t="shared" si="0"/>
        <v>21850</v>
      </c>
      <c r="G21" s="115">
        <f t="shared" si="1"/>
        <v>0</v>
      </c>
      <c r="H21" s="106"/>
      <c r="I21" s="106"/>
      <c r="J21" s="106"/>
      <c r="K21" s="106"/>
      <c r="L21" s="106">
        <v>3017</v>
      </c>
      <c r="M21" s="106">
        <v>2018</v>
      </c>
      <c r="N21" s="106">
        <v>1439</v>
      </c>
      <c r="O21" s="106">
        <v>1429</v>
      </c>
      <c r="P21" s="106">
        <v>1479</v>
      </c>
      <c r="Q21" s="106">
        <v>1470</v>
      </c>
      <c r="R21" s="106">
        <v>4412</v>
      </c>
      <c r="S21" s="106">
        <v>2220</v>
      </c>
      <c r="T21" s="106">
        <v>1427</v>
      </c>
      <c r="U21" s="106">
        <v>1862</v>
      </c>
      <c r="V21" s="106">
        <v>1058</v>
      </c>
      <c r="W21" s="106">
        <v>19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</row>
    <row r="22" spans="1:36" s="4" customFormat="1" ht="19.5" thickBot="1" x14ac:dyDescent="0.35">
      <c r="A22" s="286">
        <v>110</v>
      </c>
      <c r="B22" s="59" t="s">
        <v>195</v>
      </c>
      <c r="C22" s="268">
        <v>1301</v>
      </c>
      <c r="D22" s="69" t="s">
        <v>429</v>
      </c>
      <c r="E22" s="115">
        <f>C22</f>
        <v>1301</v>
      </c>
      <c r="F22" s="115">
        <f t="shared" si="0"/>
        <v>0</v>
      </c>
      <c r="G22" s="115">
        <f t="shared" si="1"/>
        <v>0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spans="1:36" s="4" customFormat="1" ht="19.5" thickBot="1" x14ac:dyDescent="0.35">
      <c r="A23" s="286">
        <v>120</v>
      </c>
      <c r="B23" s="59" t="s">
        <v>196</v>
      </c>
      <c r="C23" s="268">
        <v>25754</v>
      </c>
      <c r="D23" s="69"/>
      <c r="E23" s="115"/>
      <c r="F23" s="115">
        <f t="shared" si="0"/>
        <v>25754</v>
      </c>
      <c r="G23" s="115">
        <f t="shared" si="1"/>
        <v>0</v>
      </c>
      <c r="H23" s="106"/>
      <c r="I23" s="106"/>
      <c r="J23" s="106"/>
      <c r="K23" s="106"/>
      <c r="L23" s="106"/>
      <c r="M23" s="106"/>
      <c r="N23" s="106">
        <v>1254</v>
      </c>
      <c r="O23" s="106">
        <v>2621</v>
      </c>
      <c r="P23" s="106">
        <v>5309</v>
      </c>
      <c r="Q23" s="106">
        <v>3757</v>
      </c>
      <c r="R23" s="106">
        <v>3413</v>
      </c>
      <c r="S23" s="106">
        <v>2677</v>
      </c>
      <c r="T23" s="106">
        <v>2987</v>
      </c>
      <c r="U23" s="106">
        <v>2242</v>
      </c>
      <c r="V23" s="106"/>
      <c r="W23" s="106">
        <v>1494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1:36" s="4" customFormat="1" ht="19.5" thickBot="1" x14ac:dyDescent="0.35">
      <c r="A24" s="286">
        <v>123</v>
      </c>
      <c r="B24" s="59" t="s">
        <v>197</v>
      </c>
      <c r="C24" s="268">
        <v>43905</v>
      </c>
      <c r="D24" s="69"/>
      <c r="E24" s="115"/>
      <c r="F24" s="115">
        <f t="shared" si="0"/>
        <v>43905</v>
      </c>
      <c r="G24" s="115">
        <f t="shared" si="1"/>
        <v>0</v>
      </c>
      <c r="H24" s="106"/>
      <c r="I24" s="106"/>
      <c r="J24" s="106"/>
      <c r="K24" s="106"/>
      <c r="L24" s="106"/>
      <c r="M24" s="106"/>
      <c r="N24" s="106"/>
      <c r="O24" s="106">
        <v>16562</v>
      </c>
      <c r="P24" s="106"/>
      <c r="Q24" s="106"/>
      <c r="R24" s="106">
        <v>10929</v>
      </c>
      <c r="S24" s="106"/>
      <c r="T24" s="106"/>
      <c r="U24" s="106"/>
      <c r="V24" s="106"/>
      <c r="W24" s="106">
        <v>11592</v>
      </c>
      <c r="X24" s="106"/>
      <c r="Y24" s="106"/>
      <c r="Z24" s="106">
        <v>4822</v>
      </c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s="4" customFormat="1" ht="19.5" thickBot="1" x14ac:dyDescent="0.35">
      <c r="A25" s="286">
        <v>130</v>
      </c>
      <c r="B25" s="59" t="s">
        <v>198</v>
      </c>
      <c r="C25" s="268">
        <v>373637</v>
      </c>
      <c r="D25" s="69"/>
      <c r="E25" s="115"/>
      <c r="F25" s="115">
        <f t="shared" si="0"/>
        <v>373637</v>
      </c>
      <c r="G25" s="115">
        <f t="shared" si="1"/>
        <v>0</v>
      </c>
      <c r="H25" s="106"/>
      <c r="I25" s="106"/>
      <c r="J25" s="106"/>
      <c r="K25" s="106"/>
      <c r="L25" s="106"/>
      <c r="M25" s="106"/>
      <c r="N25" s="106"/>
      <c r="O25" s="106">
        <v>82700</v>
      </c>
      <c r="P25" s="106">
        <v>25399</v>
      </c>
      <c r="Q25" s="106">
        <v>35790</v>
      </c>
      <c r="R25" s="106">
        <v>34461</v>
      </c>
      <c r="S25" s="106">
        <v>36000</v>
      </c>
      <c r="T25" s="106"/>
      <c r="U25" s="106"/>
      <c r="V25" s="106"/>
      <c r="W25" s="106"/>
      <c r="X25" s="106"/>
      <c r="Y25" s="106">
        <v>106054</v>
      </c>
      <c r="Z25" s="106">
        <v>53233</v>
      </c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s="4" customFormat="1" ht="19.5" thickBot="1" x14ac:dyDescent="0.35">
      <c r="A26" s="286">
        <v>140</v>
      </c>
      <c r="B26" s="59" t="s">
        <v>199</v>
      </c>
      <c r="C26" s="268">
        <v>64316</v>
      </c>
      <c r="D26" s="69"/>
      <c r="E26" s="115"/>
      <c r="F26" s="115">
        <f t="shared" si="0"/>
        <v>64316</v>
      </c>
      <c r="G26" s="115">
        <f t="shared" si="1"/>
        <v>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>
        <v>56764</v>
      </c>
      <c r="AD26" s="106"/>
      <c r="AE26" s="106"/>
      <c r="AF26" s="106"/>
      <c r="AG26" s="106">
        <v>7552</v>
      </c>
      <c r="AH26" s="106"/>
      <c r="AI26" s="106"/>
      <c r="AJ26" s="106"/>
    </row>
    <row r="27" spans="1:36" s="4" customFormat="1" ht="19.5" thickBot="1" x14ac:dyDescent="0.35">
      <c r="A27" s="286">
        <v>170</v>
      </c>
      <c r="B27" s="59" t="s">
        <v>200</v>
      </c>
      <c r="C27" s="268">
        <v>479</v>
      </c>
      <c r="D27" s="69" t="s">
        <v>381</v>
      </c>
      <c r="E27" s="115">
        <f>C27</f>
        <v>479</v>
      </c>
      <c r="F27" s="115">
        <f t="shared" si="0"/>
        <v>0</v>
      </c>
      <c r="G27" s="115">
        <f t="shared" si="1"/>
        <v>0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s="4" customFormat="1" ht="19.5" thickBot="1" x14ac:dyDescent="0.35">
      <c r="A28" s="286">
        <v>180</v>
      </c>
      <c r="B28" s="59" t="s">
        <v>201</v>
      </c>
      <c r="C28" s="268">
        <v>1092007</v>
      </c>
      <c r="D28" s="69"/>
      <c r="E28" s="115"/>
      <c r="F28" s="115">
        <f t="shared" si="0"/>
        <v>1092007</v>
      </c>
      <c r="G28" s="115">
        <f t="shared" si="1"/>
        <v>0</v>
      </c>
      <c r="H28" s="106"/>
      <c r="I28" s="106"/>
      <c r="J28" s="106"/>
      <c r="K28" s="106"/>
      <c r="L28" s="106"/>
      <c r="M28" s="106"/>
      <c r="N28" s="106"/>
      <c r="O28" s="106">
        <v>56409</v>
      </c>
      <c r="P28" s="106"/>
      <c r="Q28" s="106">
        <v>83714</v>
      </c>
      <c r="R28" s="106">
        <v>182487</v>
      </c>
      <c r="S28" s="106">
        <v>167051</v>
      </c>
      <c r="T28" s="106">
        <v>8126</v>
      </c>
      <c r="U28" s="106">
        <v>74169</v>
      </c>
      <c r="V28" s="106">
        <v>3525</v>
      </c>
      <c r="W28" s="106"/>
      <c r="X28" s="106">
        <v>296824</v>
      </c>
      <c r="Y28" s="106">
        <v>68563</v>
      </c>
      <c r="Z28" s="106"/>
      <c r="AA28" s="106">
        <v>151139</v>
      </c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s="4" customFormat="1" ht="19.5" thickBot="1" x14ac:dyDescent="0.35">
      <c r="A29" s="286">
        <v>190</v>
      </c>
      <c r="B29" s="59" t="s">
        <v>202</v>
      </c>
      <c r="C29" s="268">
        <v>1164</v>
      </c>
      <c r="D29" s="69" t="s">
        <v>381</v>
      </c>
      <c r="E29" s="115">
        <f>C29</f>
        <v>1164</v>
      </c>
      <c r="F29" s="115">
        <f t="shared" si="0"/>
        <v>0</v>
      </c>
      <c r="G29" s="115">
        <f t="shared" si="1"/>
        <v>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s="4" customFormat="1" ht="19.5" thickBot="1" x14ac:dyDescent="0.35">
      <c r="A30" s="286">
        <v>220</v>
      </c>
      <c r="B30" s="59" t="s">
        <v>203</v>
      </c>
      <c r="C30" s="268">
        <v>7123</v>
      </c>
      <c r="D30" s="69" t="s">
        <v>427</v>
      </c>
      <c r="E30" s="115">
        <f>C30</f>
        <v>7123</v>
      </c>
      <c r="F30" s="115">
        <f t="shared" si="0"/>
        <v>0</v>
      </c>
      <c r="G30" s="115">
        <f t="shared" si="1"/>
        <v>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  <row r="31" spans="1:36" s="4" customFormat="1" ht="19.5" thickBot="1" x14ac:dyDescent="0.35">
      <c r="A31" s="286">
        <v>230</v>
      </c>
      <c r="B31" s="59" t="s">
        <v>204</v>
      </c>
      <c r="C31" s="268">
        <v>685</v>
      </c>
      <c r="D31" s="69" t="s">
        <v>431</v>
      </c>
      <c r="E31" s="115">
        <f>C31</f>
        <v>685</v>
      </c>
      <c r="F31" s="115">
        <f t="shared" si="0"/>
        <v>0</v>
      </c>
      <c r="G31" s="115">
        <f t="shared" si="1"/>
        <v>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spans="1:36" s="4" customFormat="1" ht="19.5" thickBot="1" x14ac:dyDescent="0.35">
      <c r="A32" s="286">
        <v>240</v>
      </c>
      <c r="B32" s="59" t="s">
        <v>205</v>
      </c>
      <c r="C32" s="268">
        <v>0</v>
      </c>
      <c r="D32" s="69"/>
      <c r="E32" s="115"/>
      <c r="F32" s="115">
        <f t="shared" si="0"/>
        <v>0</v>
      </c>
      <c r="G32" s="115">
        <f t="shared" si="1"/>
        <v>0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</row>
    <row r="33" spans="1:36" s="4" customFormat="1" ht="19.5" thickBot="1" x14ac:dyDescent="0.35">
      <c r="A33" s="286">
        <v>250</v>
      </c>
      <c r="B33" s="59" t="s">
        <v>206</v>
      </c>
      <c r="C33" s="268">
        <v>0</v>
      </c>
      <c r="D33" s="69" t="s">
        <v>431</v>
      </c>
      <c r="E33" s="115">
        <f>C33</f>
        <v>0</v>
      </c>
      <c r="F33" s="115">
        <f t="shared" si="0"/>
        <v>0</v>
      </c>
      <c r="G33" s="115">
        <f t="shared" si="1"/>
        <v>0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</row>
    <row r="34" spans="1:36" s="4" customFormat="1" ht="19.5" thickBot="1" x14ac:dyDescent="0.35">
      <c r="A34" s="286">
        <v>260</v>
      </c>
      <c r="B34" s="59" t="s">
        <v>207</v>
      </c>
      <c r="C34" s="268">
        <v>0</v>
      </c>
      <c r="D34" s="69"/>
      <c r="E34" s="115"/>
      <c r="F34" s="115">
        <f t="shared" si="0"/>
        <v>0</v>
      </c>
      <c r="G34" s="115">
        <f t="shared" si="1"/>
        <v>0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</row>
    <row r="35" spans="1:36" s="4" customFormat="1" ht="19.5" thickBot="1" x14ac:dyDescent="0.35">
      <c r="A35" s="286">
        <v>270</v>
      </c>
      <c r="B35" s="59" t="s">
        <v>208</v>
      </c>
      <c r="C35" s="268">
        <v>0</v>
      </c>
      <c r="D35" s="69"/>
      <c r="E35" s="115"/>
      <c r="F35" s="115">
        <f t="shared" si="0"/>
        <v>0</v>
      </c>
      <c r="G35" s="115">
        <f t="shared" si="1"/>
        <v>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</row>
    <row r="36" spans="1:36" s="4" customFormat="1" ht="19.5" thickBot="1" x14ac:dyDescent="0.35">
      <c r="A36" s="286">
        <v>290</v>
      </c>
      <c r="B36" s="59" t="s">
        <v>209</v>
      </c>
      <c r="C36" s="268">
        <v>205</v>
      </c>
      <c r="D36" s="69" t="s">
        <v>431</v>
      </c>
      <c r="E36" s="115"/>
      <c r="F36" s="115">
        <f t="shared" si="0"/>
        <v>0</v>
      </c>
      <c r="G36" s="115">
        <f t="shared" si="1"/>
        <v>205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</row>
    <row r="37" spans="1:36" s="4" customFormat="1" ht="19.5" thickBot="1" x14ac:dyDescent="0.35">
      <c r="A37" s="286">
        <v>310</v>
      </c>
      <c r="B37" s="59" t="s">
        <v>210</v>
      </c>
      <c r="C37" s="268">
        <v>1575</v>
      </c>
      <c r="D37" s="69" t="s">
        <v>431</v>
      </c>
      <c r="E37" s="115">
        <f>C37</f>
        <v>1575</v>
      </c>
      <c r="F37" s="115">
        <f t="shared" si="0"/>
        <v>0</v>
      </c>
      <c r="G37" s="115">
        <f t="shared" si="1"/>
        <v>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1:36" s="4" customFormat="1" ht="19.5" thickBot="1" x14ac:dyDescent="0.35">
      <c r="A38" s="286">
        <v>470</v>
      </c>
      <c r="B38" s="59" t="s">
        <v>211</v>
      </c>
      <c r="C38" s="268">
        <v>297882</v>
      </c>
      <c r="D38" s="69"/>
      <c r="E38" s="115"/>
      <c r="F38" s="115">
        <f t="shared" si="0"/>
        <v>297882</v>
      </c>
      <c r="G38" s="115">
        <f t="shared" si="1"/>
        <v>0</v>
      </c>
      <c r="H38" s="106"/>
      <c r="I38" s="106"/>
      <c r="J38" s="106"/>
      <c r="K38" s="106"/>
      <c r="L38" s="106"/>
      <c r="M38" s="106"/>
      <c r="N38" s="106">
        <v>63199</v>
      </c>
      <c r="O38" s="106"/>
      <c r="P38" s="106">
        <v>44099</v>
      </c>
      <c r="Q38" s="106"/>
      <c r="R38" s="106">
        <v>38980</v>
      </c>
      <c r="S38" s="106">
        <v>52076</v>
      </c>
      <c r="T38" s="106"/>
      <c r="U38" s="106"/>
      <c r="V38" s="106"/>
      <c r="W38" s="106">
        <v>63368</v>
      </c>
      <c r="X38" s="106"/>
      <c r="Y38" s="106"/>
      <c r="Z38" s="106"/>
      <c r="AA38" s="106"/>
      <c r="AB38" s="106">
        <v>36160</v>
      </c>
      <c r="AC38" s="106"/>
      <c r="AD38" s="106"/>
      <c r="AE38" s="106"/>
      <c r="AF38" s="106"/>
      <c r="AG38" s="106"/>
      <c r="AH38" s="106"/>
      <c r="AI38" s="106"/>
      <c r="AJ38" s="106"/>
    </row>
    <row r="39" spans="1:36" s="4" customFormat="1" ht="19.5" thickBot="1" x14ac:dyDescent="0.35">
      <c r="A39" s="286">
        <v>480</v>
      </c>
      <c r="B39" s="59" t="s">
        <v>212</v>
      </c>
      <c r="C39" s="268">
        <v>197949</v>
      </c>
      <c r="D39" s="69"/>
      <c r="E39" s="115"/>
      <c r="F39" s="115">
        <f t="shared" si="0"/>
        <v>197949</v>
      </c>
      <c r="G39" s="115">
        <f t="shared" si="1"/>
        <v>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>
        <v>4915</v>
      </c>
      <c r="T39" s="106">
        <v>6263</v>
      </c>
      <c r="U39" s="106"/>
      <c r="V39" s="106">
        <v>70952</v>
      </c>
      <c r="W39" s="106"/>
      <c r="X39" s="106">
        <v>26221</v>
      </c>
      <c r="Y39" s="106">
        <v>29256</v>
      </c>
      <c r="Z39" s="106">
        <v>11918</v>
      </c>
      <c r="AA39" s="106">
        <v>10033</v>
      </c>
      <c r="AB39" s="106">
        <v>23972</v>
      </c>
      <c r="AC39" s="106">
        <v>14419</v>
      </c>
      <c r="AD39" s="106"/>
      <c r="AE39" s="106"/>
      <c r="AF39" s="106"/>
      <c r="AG39" s="106"/>
      <c r="AH39" s="106"/>
      <c r="AI39" s="106"/>
      <c r="AJ39" s="106"/>
    </row>
    <row r="40" spans="1:36" s="4" customFormat="1" ht="19.5" thickBot="1" x14ac:dyDescent="0.35">
      <c r="A40" s="286">
        <v>490</v>
      </c>
      <c r="B40" s="59" t="s">
        <v>433</v>
      </c>
      <c r="C40" s="268">
        <v>0</v>
      </c>
      <c r="D40" s="69"/>
      <c r="E40" s="115"/>
      <c r="F40" s="115">
        <f t="shared" si="0"/>
        <v>0</v>
      </c>
      <c r="G40" s="115">
        <f t="shared" si="1"/>
        <v>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</row>
    <row r="41" spans="1:36" s="4" customFormat="1" ht="19.5" thickBot="1" x14ac:dyDescent="0.35">
      <c r="A41" s="286">
        <v>500</v>
      </c>
      <c r="B41" s="59" t="s">
        <v>214</v>
      </c>
      <c r="C41" s="268">
        <v>1507</v>
      </c>
      <c r="D41" s="69" t="s">
        <v>429</v>
      </c>
      <c r="E41" s="115">
        <f>C41</f>
        <v>1507</v>
      </c>
      <c r="F41" s="115">
        <f t="shared" si="0"/>
        <v>0</v>
      </c>
      <c r="G41" s="115">
        <f t="shared" si="1"/>
        <v>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</row>
    <row r="42" spans="1:36" s="4" customFormat="1" ht="19.5" thickBot="1" x14ac:dyDescent="0.35">
      <c r="A42" s="286">
        <v>510</v>
      </c>
      <c r="B42" s="59" t="s">
        <v>215</v>
      </c>
      <c r="C42" s="268">
        <v>0</v>
      </c>
      <c r="D42" s="69" t="s">
        <v>381</v>
      </c>
      <c r="E42" s="115">
        <v>0</v>
      </c>
      <c r="F42" s="115">
        <f t="shared" si="0"/>
        <v>0</v>
      </c>
      <c r="G42" s="115">
        <f t="shared" si="1"/>
        <v>0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spans="1:36" s="4" customFormat="1" ht="19.5" thickBot="1" x14ac:dyDescent="0.35">
      <c r="A43" s="286">
        <v>520</v>
      </c>
      <c r="B43" s="59" t="s">
        <v>216</v>
      </c>
      <c r="C43" s="268">
        <v>1781</v>
      </c>
      <c r="D43" s="69" t="s">
        <v>381</v>
      </c>
      <c r="E43" s="115">
        <f>C43</f>
        <v>1781</v>
      </c>
      <c r="F43" s="115">
        <f t="shared" si="0"/>
        <v>0</v>
      </c>
      <c r="G43" s="115">
        <f t="shared" si="1"/>
        <v>0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</row>
    <row r="44" spans="1:36" s="4" customFormat="1" ht="19.5" thickBot="1" x14ac:dyDescent="0.35">
      <c r="A44" s="286">
        <v>540</v>
      </c>
      <c r="B44" s="59" t="s">
        <v>434</v>
      </c>
      <c r="C44" s="268">
        <v>0</v>
      </c>
      <c r="D44" s="69"/>
      <c r="E44" s="115"/>
      <c r="F44" s="115">
        <f t="shared" si="0"/>
        <v>0</v>
      </c>
      <c r="G44" s="115">
        <f t="shared" si="1"/>
        <v>0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1:36" s="4" customFormat="1" ht="19.5" thickBot="1" x14ac:dyDescent="0.35">
      <c r="A45" s="286">
        <v>550</v>
      </c>
      <c r="B45" s="59" t="s">
        <v>218</v>
      </c>
      <c r="C45" s="268">
        <v>0</v>
      </c>
      <c r="D45" s="69"/>
      <c r="E45" s="115"/>
      <c r="F45" s="115">
        <f t="shared" si="0"/>
        <v>0</v>
      </c>
      <c r="G45" s="115">
        <f t="shared" si="1"/>
        <v>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</row>
    <row r="46" spans="1:36" s="4" customFormat="1" ht="19.5" thickBot="1" x14ac:dyDescent="0.35">
      <c r="A46" s="286">
        <v>560</v>
      </c>
      <c r="B46" s="59" t="s">
        <v>219</v>
      </c>
      <c r="C46" s="268">
        <v>137</v>
      </c>
      <c r="D46" s="69" t="s">
        <v>429</v>
      </c>
      <c r="E46" s="115">
        <f>C46</f>
        <v>137</v>
      </c>
      <c r="F46" s="115">
        <f t="shared" ref="F46:F77" si="2">SUM(H46:AJ46)</f>
        <v>0</v>
      </c>
      <c r="G46" s="115">
        <f t="shared" si="1"/>
        <v>0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</row>
    <row r="47" spans="1:36" s="4" customFormat="1" ht="19.5" thickBot="1" x14ac:dyDescent="0.35">
      <c r="A47" s="286">
        <v>580</v>
      </c>
      <c r="B47" s="59" t="s">
        <v>220</v>
      </c>
      <c r="C47" s="268">
        <v>1233</v>
      </c>
      <c r="D47" s="69" t="s">
        <v>429</v>
      </c>
      <c r="E47" s="115">
        <f>C47</f>
        <v>1233</v>
      </c>
      <c r="F47" s="115">
        <f t="shared" si="2"/>
        <v>0</v>
      </c>
      <c r="G47" s="115">
        <f t="shared" si="1"/>
        <v>0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</row>
    <row r="48" spans="1:36" s="4" customFormat="1" ht="19.5" thickBot="1" x14ac:dyDescent="0.35">
      <c r="A48" s="286">
        <v>640</v>
      </c>
      <c r="B48" s="61" t="s">
        <v>221</v>
      </c>
      <c r="C48" s="268">
        <v>3219</v>
      </c>
      <c r="D48" s="69" t="s">
        <v>429</v>
      </c>
      <c r="E48" s="115">
        <f>C48</f>
        <v>3219</v>
      </c>
      <c r="F48" s="115">
        <f t="shared" si="2"/>
        <v>0</v>
      </c>
      <c r="G48" s="115">
        <f t="shared" si="1"/>
        <v>0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</row>
    <row r="49" spans="1:36" s="4" customFormat="1" ht="19.5" thickBot="1" x14ac:dyDescent="0.35">
      <c r="A49" s="286">
        <v>740</v>
      </c>
      <c r="B49" s="59" t="s">
        <v>222</v>
      </c>
      <c r="C49" s="268">
        <v>3219</v>
      </c>
      <c r="D49" s="69" t="s">
        <v>429</v>
      </c>
      <c r="E49" s="115">
        <f>C49</f>
        <v>3219</v>
      </c>
      <c r="F49" s="115">
        <f t="shared" si="2"/>
        <v>0</v>
      </c>
      <c r="G49" s="115">
        <f t="shared" si="1"/>
        <v>0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</row>
    <row r="50" spans="1:36" s="4" customFormat="1" ht="19.5" thickBot="1" x14ac:dyDescent="0.35">
      <c r="A50" s="286">
        <v>770</v>
      </c>
      <c r="B50" s="59" t="s">
        <v>223</v>
      </c>
      <c r="C50" s="268">
        <v>205</v>
      </c>
      <c r="D50" s="69" t="s">
        <v>430</v>
      </c>
      <c r="E50" s="115">
        <f>C50</f>
        <v>205</v>
      </c>
      <c r="F50" s="115">
        <f t="shared" si="2"/>
        <v>0</v>
      </c>
      <c r="G50" s="115">
        <f t="shared" si="1"/>
        <v>0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</row>
    <row r="51" spans="1:36" s="4" customFormat="1" ht="19.5" thickBot="1" x14ac:dyDescent="0.35">
      <c r="A51" s="286">
        <v>860</v>
      </c>
      <c r="B51" s="59" t="s">
        <v>224</v>
      </c>
      <c r="C51" s="268">
        <v>0</v>
      </c>
      <c r="D51" s="69"/>
      <c r="E51" s="115"/>
      <c r="F51" s="115">
        <f t="shared" si="2"/>
        <v>0</v>
      </c>
      <c r="G51" s="115">
        <f t="shared" si="1"/>
        <v>0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</row>
    <row r="52" spans="1:36" s="4" customFormat="1" ht="19.5" thickBot="1" x14ac:dyDescent="0.35">
      <c r="A52" s="286">
        <v>870</v>
      </c>
      <c r="B52" s="59" t="s">
        <v>225</v>
      </c>
      <c r="C52" s="268">
        <v>26370</v>
      </c>
      <c r="D52" s="69"/>
      <c r="E52" s="115"/>
      <c r="F52" s="115">
        <f t="shared" si="2"/>
        <v>26370</v>
      </c>
      <c r="G52" s="115">
        <f t="shared" si="1"/>
        <v>0</v>
      </c>
      <c r="H52" s="106"/>
      <c r="I52" s="106"/>
      <c r="J52" s="106"/>
      <c r="K52" s="106"/>
      <c r="L52" s="106">
        <v>5738</v>
      </c>
      <c r="M52" s="106"/>
      <c r="N52" s="106">
        <v>6658</v>
      </c>
      <c r="O52" s="106">
        <v>1038</v>
      </c>
      <c r="P52" s="106">
        <v>1561</v>
      </c>
      <c r="Q52" s="106">
        <v>1562</v>
      </c>
      <c r="R52" s="106">
        <v>1563</v>
      </c>
      <c r="S52" s="106">
        <v>1562</v>
      </c>
      <c r="T52" s="106">
        <v>4135</v>
      </c>
      <c r="U52" s="106"/>
      <c r="V52" s="106"/>
      <c r="W52" s="106"/>
      <c r="X52" s="106">
        <v>2553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  <row r="53" spans="1:36" s="4" customFormat="1" ht="19.5" thickBot="1" x14ac:dyDescent="0.35">
      <c r="A53" s="286">
        <v>880</v>
      </c>
      <c r="B53" s="59" t="s">
        <v>226</v>
      </c>
      <c r="C53" s="268">
        <v>1996682</v>
      </c>
      <c r="D53" s="69"/>
      <c r="E53" s="115"/>
      <c r="F53" s="115">
        <f t="shared" si="2"/>
        <v>1996682</v>
      </c>
      <c r="G53" s="115">
        <f t="shared" si="1"/>
        <v>0</v>
      </c>
      <c r="H53" s="106"/>
      <c r="I53" s="106"/>
      <c r="J53" s="106"/>
      <c r="K53" s="106"/>
      <c r="L53" s="106"/>
      <c r="M53" s="106"/>
      <c r="N53" s="106"/>
      <c r="O53" s="106">
        <v>68266</v>
      </c>
      <c r="P53" s="106">
        <v>301129</v>
      </c>
      <c r="Q53" s="106">
        <v>225367</v>
      </c>
      <c r="R53" s="106">
        <v>177501</v>
      </c>
      <c r="S53" s="106">
        <v>152590</v>
      </c>
      <c r="T53" s="106">
        <v>216267</v>
      </c>
      <c r="U53" s="106">
        <v>166930</v>
      </c>
      <c r="V53" s="106"/>
      <c r="W53" s="106">
        <v>151214</v>
      </c>
      <c r="X53" s="106"/>
      <c r="Y53" s="106"/>
      <c r="Z53" s="106"/>
      <c r="AA53" s="106"/>
      <c r="AB53" s="106"/>
      <c r="AC53" s="106">
        <v>537418</v>
      </c>
      <c r="AD53" s="106"/>
      <c r="AE53" s="106"/>
      <c r="AF53" s="106"/>
      <c r="AG53" s="106"/>
      <c r="AH53" s="106"/>
      <c r="AI53" s="106"/>
      <c r="AJ53" s="106"/>
    </row>
    <row r="54" spans="1:36" s="4" customFormat="1" ht="19.5" thickBot="1" x14ac:dyDescent="0.35">
      <c r="A54" s="286">
        <v>890</v>
      </c>
      <c r="B54" s="59" t="s">
        <v>227</v>
      </c>
      <c r="C54" s="268">
        <v>0</v>
      </c>
      <c r="D54" s="69"/>
      <c r="E54" s="115"/>
      <c r="F54" s="115">
        <f t="shared" si="2"/>
        <v>0</v>
      </c>
      <c r="G54" s="115">
        <f t="shared" si="1"/>
        <v>0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</row>
    <row r="55" spans="1:36" s="4" customFormat="1" ht="19.5" thickBot="1" x14ac:dyDescent="0.35">
      <c r="A55" s="286">
        <v>900</v>
      </c>
      <c r="B55" s="59" t="s">
        <v>228</v>
      </c>
      <c r="C55" s="268">
        <f>184661+C57</f>
        <v>188223</v>
      </c>
      <c r="D55" s="69"/>
      <c r="E55" s="115"/>
      <c r="F55" s="115">
        <f t="shared" si="2"/>
        <v>188223</v>
      </c>
      <c r="G55" s="115">
        <f t="shared" si="1"/>
        <v>0</v>
      </c>
      <c r="H55" s="106"/>
      <c r="I55" s="106"/>
      <c r="J55" s="106"/>
      <c r="K55" s="106"/>
      <c r="L55" s="106"/>
      <c r="M55" s="106"/>
      <c r="N55" s="106">
        <f>34902-3206</f>
        <v>31696</v>
      </c>
      <c r="O55" s="106">
        <v>1706</v>
      </c>
      <c r="P55" s="106">
        <v>1283</v>
      </c>
      <c r="Q55" s="106">
        <v>939</v>
      </c>
      <c r="R55" s="106">
        <v>3372</v>
      </c>
      <c r="S55" s="106">
        <v>17236</v>
      </c>
      <c r="T55" s="106">
        <v>54939</v>
      </c>
      <c r="U55" s="106"/>
      <c r="V55" s="106">
        <v>33768</v>
      </c>
      <c r="W55" s="106"/>
      <c r="X55" s="106">
        <v>33603</v>
      </c>
      <c r="Y55" s="106">
        <v>2228</v>
      </c>
      <c r="Z55" s="106">
        <v>7453</v>
      </c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</row>
    <row r="56" spans="1:36" s="4" customFormat="1" ht="19.5" thickBot="1" x14ac:dyDescent="0.35">
      <c r="A56" s="286">
        <v>910</v>
      </c>
      <c r="B56" s="59" t="s">
        <v>229</v>
      </c>
      <c r="C56" s="268">
        <v>160346</v>
      </c>
      <c r="D56" s="69"/>
      <c r="E56" s="115"/>
      <c r="F56" s="115">
        <f t="shared" si="2"/>
        <v>160346</v>
      </c>
      <c r="G56" s="115">
        <f t="shared" si="1"/>
        <v>0</v>
      </c>
      <c r="H56" s="106"/>
      <c r="I56" s="106"/>
      <c r="J56" s="106"/>
      <c r="K56" s="106"/>
      <c r="L56" s="106">
        <v>20028</v>
      </c>
      <c r="M56" s="106"/>
      <c r="N56" s="106"/>
      <c r="O56" s="106"/>
      <c r="P56" s="106"/>
      <c r="Q56" s="106">
        <v>102806</v>
      </c>
      <c r="R56" s="106"/>
      <c r="S56" s="106"/>
      <c r="T56" s="106"/>
      <c r="U56" s="106">
        <v>37373</v>
      </c>
      <c r="V56" s="106"/>
      <c r="W56" s="106"/>
      <c r="X56" s="106"/>
      <c r="Y56" s="106"/>
      <c r="Z56" s="106"/>
      <c r="AA56" s="106"/>
      <c r="AB56" s="106"/>
      <c r="AC56" s="106"/>
      <c r="AD56" s="106">
        <v>139</v>
      </c>
      <c r="AE56" s="106"/>
      <c r="AF56" s="106"/>
      <c r="AG56" s="106"/>
      <c r="AH56" s="106"/>
      <c r="AI56" s="106"/>
      <c r="AJ56" s="106"/>
    </row>
    <row r="57" spans="1:36" s="4" customFormat="1" ht="19.5" thickBot="1" x14ac:dyDescent="0.35">
      <c r="A57" s="286">
        <v>920</v>
      </c>
      <c r="B57" s="59" t="s">
        <v>230</v>
      </c>
      <c r="C57" s="268">
        <v>3562</v>
      </c>
      <c r="D57" s="326" t="s">
        <v>50</v>
      </c>
      <c r="E57" s="115">
        <v>3562</v>
      </c>
      <c r="F57" s="115">
        <f t="shared" si="2"/>
        <v>0</v>
      </c>
      <c r="G57" s="115">
        <f t="shared" si="1"/>
        <v>0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</row>
    <row r="58" spans="1:36" s="4" customFormat="1" ht="19.5" thickBot="1" x14ac:dyDescent="0.35">
      <c r="A58" s="286">
        <v>930</v>
      </c>
      <c r="B58" s="59" t="s">
        <v>231</v>
      </c>
      <c r="C58" s="268">
        <v>822</v>
      </c>
      <c r="D58" s="69" t="s">
        <v>381</v>
      </c>
      <c r="E58" s="115">
        <f>C58</f>
        <v>822</v>
      </c>
      <c r="F58" s="115">
        <f t="shared" si="2"/>
        <v>0</v>
      </c>
      <c r="G58" s="115">
        <f t="shared" si="1"/>
        <v>0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</row>
    <row r="59" spans="1:36" s="4" customFormat="1" ht="19.5" thickBot="1" x14ac:dyDescent="0.35">
      <c r="A59" s="286">
        <v>940</v>
      </c>
      <c r="B59" s="59" t="s">
        <v>232</v>
      </c>
      <c r="C59" s="268">
        <v>342</v>
      </c>
      <c r="D59" s="69" t="s">
        <v>381</v>
      </c>
      <c r="E59" s="115">
        <f>C59</f>
        <v>342</v>
      </c>
      <c r="F59" s="115">
        <f t="shared" si="2"/>
        <v>0</v>
      </c>
      <c r="G59" s="115">
        <f t="shared" si="1"/>
        <v>0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</row>
    <row r="60" spans="1:36" s="4" customFormat="1" ht="19.5" thickBot="1" x14ac:dyDescent="0.35">
      <c r="A60" s="286">
        <v>950</v>
      </c>
      <c r="B60" s="59" t="s">
        <v>233</v>
      </c>
      <c r="C60" s="268">
        <v>0</v>
      </c>
      <c r="D60" s="69"/>
      <c r="E60" s="115"/>
      <c r="F60" s="115">
        <f t="shared" si="2"/>
        <v>0</v>
      </c>
      <c r="G60" s="115">
        <f t="shared" si="1"/>
        <v>0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</row>
    <row r="61" spans="1:36" s="4" customFormat="1" ht="19.5" thickBot="1" x14ac:dyDescent="0.35">
      <c r="A61" s="286">
        <v>960</v>
      </c>
      <c r="B61" s="59" t="s">
        <v>234</v>
      </c>
      <c r="C61" s="268">
        <v>0</v>
      </c>
      <c r="D61" s="69"/>
      <c r="E61" s="115">
        <v>0</v>
      </c>
      <c r="F61" s="115">
        <f t="shared" si="2"/>
        <v>0</v>
      </c>
      <c r="G61" s="115">
        <f t="shared" si="1"/>
        <v>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</row>
    <row r="62" spans="1:36" s="4" customFormat="1" ht="19.5" thickBot="1" x14ac:dyDescent="0.35">
      <c r="A62" s="286">
        <v>970</v>
      </c>
      <c r="B62" s="59" t="s">
        <v>435</v>
      </c>
      <c r="C62" s="268">
        <v>0</v>
      </c>
      <c r="D62" s="69"/>
      <c r="E62" s="115"/>
      <c r="F62" s="115">
        <f t="shared" si="2"/>
        <v>0</v>
      </c>
      <c r="G62" s="115">
        <f t="shared" si="1"/>
        <v>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</row>
    <row r="63" spans="1:36" s="4" customFormat="1" ht="19.5" thickBot="1" x14ac:dyDescent="0.35">
      <c r="A63" s="286">
        <v>980</v>
      </c>
      <c r="B63" s="59" t="s">
        <v>236</v>
      </c>
      <c r="C63" s="268">
        <v>125824</v>
      </c>
      <c r="D63" s="69"/>
      <c r="E63" s="115"/>
      <c r="F63" s="115">
        <f t="shared" si="2"/>
        <v>125824</v>
      </c>
      <c r="G63" s="115">
        <f t="shared" si="1"/>
        <v>0</v>
      </c>
      <c r="H63" s="106"/>
      <c r="I63" s="106"/>
      <c r="J63" s="106"/>
      <c r="K63" s="106"/>
      <c r="L63" s="106"/>
      <c r="M63" s="106"/>
      <c r="N63" s="106"/>
      <c r="O63" s="106">
        <f>7556+27196</f>
        <v>34752</v>
      </c>
      <c r="P63" s="106">
        <v>2029</v>
      </c>
      <c r="Q63" s="106"/>
      <c r="R63" s="106">
        <v>26015</v>
      </c>
      <c r="S63" s="106">
        <v>6088</v>
      </c>
      <c r="T63" s="106">
        <v>3784</v>
      </c>
      <c r="U63" s="106">
        <v>6253</v>
      </c>
      <c r="V63" s="106">
        <v>2771</v>
      </c>
      <c r="W63" s="106">
        <v>10821</v>
      </c>
      <c r="X63" s="106">
        <v>26182</v>
      </c>
      <c r="Y63" s="106">
        <v>7129</v>
      </c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</row>
    <row r="64" spans="1:36" s="4" customFormat="1" ht="19.5" thickBot="1" x14ac:dyDescent="0.35">
      <c r="A64" s="286">
        <v>990</v>
      </c>
      <c r="B64" s="59" t="s">
        <v>237</v>
      </c>
      <c r="C64" s="268">
        <v>16096</v>
      </c>
      <c r="D64" s="69"/>
      <c r="E64" s="115"/>
      <c r="F64" s="115">
        <f>SUM(H64:AH64)</f>
        <v>16096</v>
      </c>
      <c r="G64" s="115">
        <f t="shared" si="1"/>
        <v>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>
        <v>4075</v>
      </c>
      <c r="W64" s="106">
        <v>1209</v>
      </c>
      <c r="X64" s="106">
        <v>1492</v>
      </c>
      <c r="Y64" s="106">
        <v>1045</v>
      </c>
      <c r="Z64" s="106"/>
      <c r="AA64" s="106">
        <v>1794</v>
      </c>
      <c r="AB64" s="106">
        <v>901</v>
      </c>
      <c r="AC64" s="106">
        <v>900</v>
      </c>
      <c r="AD64" s="106">
        <v>961</v>
      </c>
      <c r="AE64" s="106">
        <v>1220</v>
      </c>
      <c r="AF64" s="106"/>
      <c r="AG64" s="106"/>
      <c r="AH64" s="106">
        <v>2499</v>
      </c>
      <c r="AI64" s="106"/>
    </row>
    <row r="65" spans="1:36" s="4" customFormat="1" ht="19.5" thickBot="1" x14ac:dyDescent="0.35">
      <c r="A65" s="286">
        <v>1000</v>
      </c>
      <c r="B65" s="59" t="s">
        <v>238</v>
      </c>
      <c r="C65" s="268">
        <v>31096</v>
      </c>
      <c r="D65" s="69"/>
      <c r="E65" s="115"/>
      <c r="F65" s="115">
        <f t="shared" si="2"/>
        <v>31096</v>
      </c>
      <c r="G65" s="115">
        <f t="shared" si="1"/>
        <v>0</v>
      </c>
      <c r="H65" s="106"/>
      <c r="I65" s="106"/>
      <c r="J65" s="106"/>
      <c r="K65" s="106"/>
      <c r="L65" s="106">
        <v>10124</v>
      </c>
      <c r="M65" s="106">
        <v>2439</v>
      </c>
      <c r="N65" s="106">
        <v>2440</v>
      </c>
      <c r="O65" s="106">
        <v>2456</v>
      </c>
      <c r="P65" s="106">
        <v>2520</v>
      </c>
      <c r="Q65" s="106">
        <v>2832</v>
      </c>
      <c r="R65" s="106">
        <v>2466</v>
      </c>
      <c r="S65" s="106">
        <v>2446</v>
      </c>
      <c r="T65" s="106">
        <v>2455</v>
      </c>
      <c r="U65" s="106"/>
      <c r="V65" s="106"/>
      <c r="W65" s="106">
        <v>892</v>
      </c>
      <c r="X65" s="106">
        <v>26</v>
      </c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</row>
    <row r="66" spans="1:36" s="4" customFormat="1" ht="19.5" thickBot="1" x14ac:dyDescent="0.35">
      <c r="A66" s="286">
        <v>1010</v>
      </c>
      <c r="B66" s="59" t="s">
        <v>239</v>
      </c>
      <c r="C66" s="268">
        <v>203018</v>
      </c>
      <c r="D66" s="69"/>
      <c r="E66" s="115"/>
      <c r="F66" s="115">
        <f t="shared" si="2"/>
        <v>203018</v>
      </c>
      <c r="G66" s="115">
        <f t="shared" si="1"/>
        <v>0</v>
      </c>
      <c r="H66" s="106"/>
      <c r="I66" s="106"/>
      <c r="J66" s="106"/>
      <c r="K66" s="106"/>
      <c r="L66" s="106">
        <v>27436</v>
      </c>
      <c r="M66" s="106">
        <v>18537</v>
      </c>
      <c r="N66" s="106">
        <v>38107</v>
      </c>
      <c r="O66" s="106">
        <v>1308</v>
      </c>
      <c r="P66" s="106">
        <v>7598</v>
      </c>
      <c r="Q66" s="106">
        <v>16300</v>
      </c>
      <c r="R66" s="106">
        <v>16649</v>
      </c>
      <c r="S66" s="106">
        <v>13064</v>
      </c>
      <c r="T66" s="106">
        <v>15395</v>
      </c>
      <c r="U66" s="106"/>
      <c r="V66" s="106">
        <v>31976</v>
      </c>
      <c r="W66" s="106"/>
      <c r="X66" s="106">
        <v>16648</v>
      </c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</row>
    <row r="67" spans="1:36" s="4" customFormat="1" ht="19.5" thickBot="1" x14ac:dyDescent="0.35">
      <c r="A67" s="286">
        <v>1020</v>
      </c>
      <c r="B67" s="59" t="s">
        <v>240</v>
      </c>
      <c r="C67" s="268">
        <v>11096</v>
      </c>
      <c r="D67" s="69"/>
      <c r="E67" s="115"/>
      <c r="F67" s="115">
        <f t="shared" si="2"/>
        <v>11096</v>
      </c>
      <c r="G67" s="115">
        <f t="shared" si="1"/>
        <v>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>
        <v>11096</v>
      </c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</row>
    <row r="68" spans="1:36" s="4" customFormat="1" ht="19.5" thickBot="1" x14ac:dyDescent="0.35">
      <c r="A68" s="286">
        <v>1030</v>
      </c>
      <c r="B68" s="59" t="s">
        <v>439</v>
      </c>
      <c r="C68" s="268">
        <v>0</v>
      </c>
      <c r="D68" s="69"/>
      <c r="E68" s="115"/>
      <c r="F68" s="115">
        <f t="shared" si="2"/>
        <v>0</v>
      </c>
      <c r="G68" s="115">
        <f t="shared" si="1"/>
        <v>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</row>
    <row r="69" spans="1:36" s="4" customFormat="1" ht="19.5" thickBot="1" x14ac:dyDescent="0.35">
      <c r="A69" s="286">
        <v>1040</v>
      </c>
      <c r="B69" s="59" t="s">
        <v>242</v>
      </c>
      <c r="C69" s="268">
        <v>31918</v>
      </c>
      <c r="D69" s="69"/>
      <c r="E69" s="115"/>
      <c r="F69" s="115">
        <f t="shared" si="2"/>
        <v>31918</v>
      </c>
      <c r="G69" s="115">
        <f t="shared" si="1"/>
        <v>0</v>
      </c>
      <c r="H69" s="106"/>
      <c r="I69" s="106"/>
      <c r="J69" s="106"/>
      <c r="K69" s="106"/>
      <c r="L69" s="106"/>
      <c r="M69" s="106"/>
      <c r="N69" s="106"/>
      <c r="O69" s="106"/>
      <c r="P69" s="106">
        <v>6226</v>
      </c>
      <c r="Q69" s="106"/>
      <c r="R69" s="106">
        <v>7998</v>
      </c>
      <c r="S69" s="106"/>
      <c r="T69" s="106"/>
      <c r="U69" s="106">
        <v>6343</v>
      </c>
      <c r="V69" s="106"/>
      <c r="W69" s="106"/>
      <c r="X69" s="106"/>
      <c r="Y69" s="106"/>
      <c r="Z69" s="106"/>
      <c r="AA69" s="106">
        <v>11351</v>
      </c>
      <c r="AB69" s="106"/>
      <c r="AC69" s="106"/>
      <c r="AD69" s="106"/>
      <c r="AE69" s="106"/>
      <c r="AF69" s="106"/>
      <c r="AG69" s="106"/>
      <c r="AH69" s="106"/>
      <c r="AI69" s="106"/>
      <c r="AJ69" s="106"/>
    </row>
    <row r="70" spans="1:36" s="4" customFormat="1" ht="19.5" thickBot="1" x14ac:dyDescent="0.35">
      <c r="A70" s="286">
        <v>1050</v>
      </c>
      <c r="B70" s="59" t="s">
        <v>436</v>
      </c>
      <c r="C70" s="268">
        <v>6918</v>
      </c>
      <c r="D70" s="69" t="s">
        <v>381</v>
      </c>
      <c r="E70" s="115">
        <f>C70</f>
        <v>6918</v>
      </c>
      <c r="F70" s="115">
        <f t="shared" si="2"/>
        <v>0</v>
      </c>
      <c r="G70" s="115">
        <f t="shared" si="1"/>
        <v>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</row>
    <row r="71" spans="1:36" s="4" customFormat="1" ht="19.5" thickBot="1" x14ac:dyDescent="0.35">
      <c r="A71" s="286">
        <v>1060</v>
      </c>
      <c r="B71" s="59" t="s">
        <v>437</v>
      </c>
      <c r="C71" s="268">
        <v>411</v>
      </c>
      <c r="D71" s="69"/>
      <c r="E71" s="115"/>
      <c r="F71" s="115">
        <f t="shared" si="2"/>
        <v>0</v>
      </c>
      <c r="G71" s="115">
        <f t="shared" si="1"/>
        <v>411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</row>
    <row r="72" spans="1:36" s="4" customFormat="1" ht="19.5" thickBot="1" x14ac:dyDescent="0.35">
      <c r="A72" s="286">
        <v>1070</v>
      </c>
      <c r="B72" s="59" t="s">
        <v>438</v>
      </c>
      <c r="C72" s="268">
        <v>1849</v>
      </c>
      <c r="D72" s="69"/>
      <c r="E72" s="115"/>
      <c r="F72" s="115">
        <f t="shared" si="2"/>
        <v>0</v>
      </c>
      <c r="G72" s="115">
        <f t="shared" si="1"/>
        <v>1849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</row>
    <row r="73" spans="1:36" s="4" customFormat="1" ht="19.5" thickBot="1" x14ac:dyDescent="0.35">
      <c r="A73" s="286">
        <v>1080</v>
      </c>
      <c r="B73" s="59" t="s">
        <v>246</v>
      </c>
      <c r="C73" s="268">
        <v>19041</v>
      </c>
      <c r="D73" s="69"/>
      <c r="E73" s="115"/>
      <c r="F73" s="115">
        <f t="shared" si="2"/>
        <v>19041</v>
      </c>
      <c r="G73" s="115">
        <f t="shared" si="1"/>
        <v>0</v>
      </c>
      <c r="H73" s="106"/>
      <c r="I73" s="106"/>
      <c r="J73" s="106"/>
      <c r="K73" s="106"/>
      <c r="L73" s="106"/>
      <c r="M73" s="106"/>
      <c r="N73" s="106">
        <v>7135</v>
      </c>
      <c r="O73" s="106">
        <v>1126</v>
      </c>
      <c r="P73" s="106">
        <v>3481</v>
      </c>
      <c r="Q73" s="106">
        <v>956</v>
      </c>
      <c r="R73" s="106">
        <v>650</v>
      </c>
      <c r="S73" s="106">
        <v>1504</v>
      </c>
      <c r="T73" s="106">
        <v>918</v>
      </c>
      <c r="U73" s="106">
        <v>1476</v>
      </c>
      <c r="V73" s="106">
        <v>436</v>
      </c>
      <c r="W73" s="106"/>
      <c r="X73" s="106"/>
      <c r="Y73" s="106"/>
      <c r="Z73" s="106"/>
      <c r="AA73" s="106">
        <v>1359</v>
      </c>
      <c r="AB73" s="106"/>
      <c r="AC73" s="106"/>
      <c r="AD73" s="106"/>
      <c r="AE73" s="106"/>
      <c r="AF73" s="106"/>
      <c r="AG73" s="106"/>
      <c r="AH73" s="106"/>
      <c r="AI73" s="106"/>
      <c r="AJ73" s="106"/>
    </row>
    <row r="74" spans="1:36" s="4" customFormat="1" ht="19.5" thickBot="1" x14ac:dyDescent="0.35">
      <c r="A74" s="286">
        <v>1110</v>
      </c>
      <c r="B74" s="59" t="s">
        <v>247</v>
      </c>
      <c r="C74" s="268">
        <v>35138</v>
      </c>
      <c r="D74" s="69"/>
      <c r="E74" s="115"/>
      <c r="F74" s="115">
        <f t="shared" si="2"/>
        <v>35138</v>
      </c>
      <c r="G74" s="115">
        <f t="shared" si="1"/>
        <v>0</v>
      </c>
      <c r="H74" s="106"/>
      <c r="I74" s="106"/>
      <c r="J74" s="106"/>
      <c r="K74" s="106"/>
      <c r="L74" s="106"/>
      <c r="M74" s="106"/>
      <c r="N74" s="106"/>
      <c r="O74" s="106"/>
      <c r="P74" s="106">
        <v>7063</v>
      </c>
      <c r="Q74" s="106"/>
      <c r="R74" s="106"/>
      <c r="S74" s="106">
        <v>19882</v>
      </c>
      <c r="T74" s="106"/>
      <c r="U74" s="106">
        <v>5753</v>
      </c>
      <c r="V74" s="106"/>
      <c r="W74" s="106"/>
      <c r="X74" s="106">
        <v>422</v>
      </c>
      <c r="Y74" s="106"/>
      <c r="Z74" s="106"/>
      <c r="AA74" s="106">
        <v>2018</v>
      </c>
      <c r="AB74" s="106"/>
      <c r="AC74" s="106"/>
      <c r="AD74" s="106"/>
      <c r="AE74" s="106"/>
      <c r="AF74" s="106"/>
      <c r="AG74" s="106"/>
      <c r="AH74" s="106"/>
      <c r="AI74" s="106"/>
      <c r="AJ74" s="106"/>
    </row>
    <row r="75" spans="1:36" s="4" customFormat="1" ht="19.5" thickBot="1" x14ac:dyDescent="0.35">
      <c r="A75" s="286">
        <v>1120</v>
      </c>
      <c r="B75" s="59" t="s">
        <v>440</v>
      </c>
      <c r="C75" s="268">
        <v>0</v>
      </c>
      <c r="D75" s="69"/>
      <c r="E75" s="115"/>
      <c r="F75" s="115">
        <f t="shared" si="2"/>
        <v>0</v>
      </c>
      <c r="G75" s="115">
        <f t="shared" si="1"/>
        <v>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:36" s="4" customFormat="1" ht="19.5" thickBot="1" x14ac:dyDescent="0.35">
      <c r="A76" s="286">
        <v>1130</v>
      </c>
      <c r="B76" s="59" t="s">
        <v>249</v>
      </c>
      <c r="C76" s="268">
        <v>411</v>
      </c>
      <c r="D76" s="69" t="s">
        <v>381</v>
      </c>
      <c r="E76" s="115">
        <f>C76</f>
        <v>411</v>
      </c>
      <c r="F76" s="115">
        <f t="shared" si="2"/>
        <v>0</v>
      </c>
      <c r="G76" s="115">
        <f t="shared" si="1"/>
        <v>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</row>
    <row r="77" spans="1:36" s="4" customFormat="1" ht="19.5" thickBot="1" x14ac:dyDescent="0.35">
      <c r="A77" s="286">
        <v>1140</v>
      </c>
      <c r="B77" s="59" t="s">
        <v>250</v>
      </c>
      <c r="C77" s="268">
        <v>1986</v>
      </c>
      <c r="D77" s="69" t="s">
        <v>430</v>
      </c>
      <c r="E77" s="115">
        <f>C77</f>
        <v>1986</v>
      </c>
      <c r="F77" s="115">
        <f t="shared" si="2"/>
        <v>0</v>
      </c>
      <c r="G77" s="115">
        <f t="shared" si="1"/>
        <v>0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</row>
    <row r="78" spans="1:36" s="4" customFormat="1" ht="19.5" thickBot="1" x14ac:dyDescent="0.35">
      <c r="A78" s="286">
        <v>1150</v>
      </c>
      <c r="B78" s="59" t="s">
        <v>251</v>
      </c>
      <c r="C78" s="268">
        <v>1712</v>
      </c>
      <c r="D78" s="69" t="s">
        <v>430</v>
      </c>
      <c r="E78" s="115">
        <f>C78</f>
        <v>1712</v>
      </c>
      <c r="F78" s="115">
        <f t="shared" ref="F78:F109" si="3">SUM(H78:AJ78)</f>
        <v>0</v>
      </c>
      <c r="G78" s="115">
        <f t="shared" si="1"/>
        <v>0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</row>
    <row r="79" spans="1:36" s="4" customFormat="1" ht="19.5" thickBot="1" x14ac:dyDescent="0.35">
      <c r="A79" s="286">
        <v>1160</v>
      </c>
      <c r="B79" s="59" t="s">
        <v>252</v>
      </c>
      <c r="C79" s="268">
        <v>0</v>
      </c>
      <c r="D79" s="69"/>
      <c r="E79" s="115"/>
      <c r="F79" s="115">
        <f t="shared" si="3"/>
        <v>0</v>
      </c>
      <c r="G79" s="115">
        <f t="shared" ref="G79:G142" si="4">IF(ISBLANK(E79),C79-F79,C79-E79)</f>
        <v>0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</row>
    <row r="80" spans="1:36" s="4" customFormat="1" ht="19.5" thickBot="1" x14ac:dyDescent="0.35">
      <c r="A80" s="286">
        <v>1180</v>
      </c>
      <c r="B80" s="59" t="s">
        <v>253</v>
      </c>
      <c r="C80" s="268">
        <v>103358</v>
      </c>
      <c r="D80" s="69"/>
      <c r="E80" s="115"/>
      <c r="F80" s="115">
        <f t="shared" si="3"/>
        <v>103358</v>
      </c>
      <c r="G80" s="115">
        <f t="shared" si="4"/>
        <v>0</v>
      </c>
      <c r="H80" s="106"/>
      <c r="I80" s="106"/>
      <c r="J80" s="106"/>
      <c r="K80" s="106"/>
      <c r="L80" s="106"/>
      <c r="M80" s="106"/>
      <c r="N80" s="106"/>
      <c r="O80" s="106">
        <v>41496</v>
      </c>
      <c r="P80" s="106"/>
      <c r="Q80" s="106"/>
      <c r="R80" s="106"/>
      <c r="S80" s="106">
        <v>33998</v>
      </c>
      <c r="T80" s="106"/>
      <c r="U80" s="106"/>
      <c r="V80" s="106"/>
      <c r="W80" s="106">
        <v>24588</v>
      </c>
      <c r="X80" s="106"/>
      <c r="Y80" s="106"/>
      <c r="Z80" s="106"/>
      <c r="AA80" s="106"/>
      <c r="AB80" s="106">
        <v>3276</v>
      </c>
      <c r="AC80" s="106"/>
      <c r="AD80" s="106"/>
      <c r="AE80" s="106"/>
      <c r="AF80" s="106"/>
      <c r="AG80" s="106"/>
      <c r="AH80" s="106"/>
      <c r="AI80" s="106"/>
      <c r="AJ80" s="106"/>
    </row>
    <row r="81" spans="1:36" s="4" customFormat="1" ht="19.5" thickBot="1" x14ac:dyDescent="0.35">
      <c r="A81" s="286">
        <v>1195</v>
      </c>
      <c r="B81" s="59" t="s">
        <v>254</v>
      </c>
      <c r="C81" s="268">
        <v>63357</v>
      </c>
      <c r="D81" s="69"/>
      <c r="E81" s="115"/>
      <c r="F81" s="115">
        <f t="shared" si="3"/>
        <v>63357</v>
      </c>
      <c r="G81" s="115">
        <f t="shared" si="4"/>
        <v>0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>
        <v>2207</v>
      </c>
      <c r="T81" s="106"/>
      <c r="U81" s="106">
        <v>27010</v>
      </c>
      <c r="V81" s="106"/>
      <c r="W81" s="106"/>
      <c r="X81" s="106">
        <v>3000</v>
      </c>
      <c r="Y81" s="106"/>
      <c r="Z81" s="106">
        <v>20940</v>
      </c>
      <c r="AA81" s="106">
        <v>2558</v>
      </c>
      <c r="AB81" s="106">
        <v>3036</v>
      </c>
      <c r="AC81" s="106">
        <v>3947</v>
      </c>
      <c r="AD81" s="106">
        <v>659</v>
      </c>
      <c r="AE81" s="106"/>
      <c r="AF81" s="106"/>
      <c r="AG81" s="106"/>
      <c r="AH81" s="106"/>
      <c r="AI81" s="106"/>
      <c r="AJ81" s="106"/>
    </row>
    <row r="82" spans="1:36" s="4" customFormat="1" ht="19.5" thickBot="1" x14ac:dyDescent="0.35">
      <c r="A82" s="286">
        <v>1220</v>
      </c>
      <c r="B82" s="59" t="s">
        <v>255</v>
      </c>
      <c r="C82" s="268">
        <v>14452</v>
      </c>
      <c r="D82" s="69"/>
      <c r="E82" s="115"/>
      <c r="F82" s="115">
        <f t="shared" si="3"/>
        <v>14452</v>
      </c>
      <c r="G82" s="115">
        <f t="shared" si="4"/>
        <v>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>
        <v>14452</v>
      </c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</row>
    <row r="83" spans="1:36" s="4" customFormat="1" ht="19.5" thickBot="1" x14ac:dyDescent="0.35">
      <c r="A83" s="286">
        <v>1330</v>
      </c>
      <c r="B83" s="59" t="s">
        <v>441</v>
      </c>
      <c r="C83" s="268">
        <v>0</v>
      </c>
      <c r="D83" s="69"/>
      <c r="E83" s="115"/>
      <c r="F83" s="115">
        <f t="shared" si="3"/>
        <v>0</v>
      </c>
      <c r="G83" s="115">
        <f t="shared" si="4"/>
        <v>0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</row>
    <row r="84" spans="1:36" s="4" customFormat="1" ht="19.5" thickBot="1" x14ac:dyDescent="0.35">
      <c r="A84" s="286">
        <v>1340</v>
      </c>
      <c r="B84" s="59" t="s">
        <v>257</v>
      </c>
      <c r="C84" s="268">
        <v>2740</v>
      </c>
      <c r="D84" s="69" t="s">
        <v>384</v>
      </c>
      <c r="E84" s="115">
        <f>C84</f>
        <v>2740</v>
      </c>
      <c r="F84" s="115">
        <f t="shared" si="3"/>
        <v>0</v>
      </c>
      <c r="G84" s="115">
        <f t="shared" si="4"/>
        <v>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</row>
    <row r="85" spans="1:36" s="4" customFormat="1" ht="19.5" thickBot="1" x14ac:dyDescent="0.35">
      <c r="A85" s="286">
        <v>1350</v>
      </c>
      <c r="B85" s="59" t="s">
        <v>258</v>
      </c>
      <c r="C85" s="268">
        <f>8219</f>
        <v>8219</v>
      </c>
      <c r="D85" s="69" t="s">
        <v>384</v>
      </c>
      <c r="E85" s="115">
        <v>8219</v>
      </c>
      <c r="F85" s="115">
        <f t="shared" si="3"/>
        <v>0</v>
      </c>
      <c r="G85" s="217">
        <f t="shared" si="4"/>
        <v>0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</row>
    <row r="86" spans="1:36" s="4" customFormat="1" ht="19.5" thickBot="1" x14ac:dyDescent="0.35">
      <c r="A86" s="286">
        <v>1360</v>
      </c>
      <c r="B86" s="59" t="s">
        <v>259</v>
      </c>
      <c r="C86" s="268">
        <v>10480</v>
      </c>
      <c r="D86" s="69"/>
      <c r="E86" s="115"/>
      <c r="F86" s="115">
        <f t="shared" si="3"/>
        <v>10480</v>
      </c>
      <c r="G86" s="115">
        <f t="shared" si="4"/>
        <v>0</v>
      </c>
      <c r="H86" s="106"/>
      <c r="I86" s="106"/>
      <c r="J86" s="106"/>
      <c r="K86" s="106"/>
      <c r="L86" s="106"/>
      <c r="M86" s="106">
        <v>3151</v>
      </c>
      <c r="N86" s="106"/>
      <c r="O86" s="106"/>
      <c r="P86" s="106"/>
      <c r="Q86" s="106"/>
      <c r="R86" s="106"/>
      <c r="S86" s="106">
        <v>7329</v>
      </c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</row>
    <row r="87" spans="1:36" s="4" customFormat="1" ht="19.5" thickBot="1" x14ac:dyDescent="0.35">
      <c r="A87" s="286">
        <v>1380</v>
      </c>
      <c r="B87" s="59" t="s">
        <v>442</v>
      </c>
      <c r="C87" s="268">
        <v>0</v>
      </c>
      <c r="D87" s="69"/>
      <c r="E87" s="115"/>
      <c r="F87" s="115">
        <f t="shared" si="3"/>
        <v>0</v>
      </c>
      <c r="G87" s="115">
        <f t="shared" si="4"/>
        <v>0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</row>
    <row r="88" spans="1:36" s="4" customFormat="1" ht="19.5" thickBot="1" x14ac:dyDescent="0.35">
      <c r="A88" s="286">
        <v>1390</v>
      </c>
      <c r="B88" s="59" t="s">
        <v>261</v>
      </c>
      <c r="C88" s="268">
        <v>0</v>
      </c>
      <c r="D88" s="69" t="s">
        <v>430</v>
      </c>
      <c r="E88" s="115">
        <v>0</v>
      </c>
      <c r="F88" s="115">
        <f t="shared" si="3"/>
        <v>0</v>
      </c>
      <c r="G88" s="115">
        <f t="shared" si="4"/>
        <v>0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:36" s="4" customFormat="1" ht="19.5" thickBot="1" x14ac:dyDescent="0.35">
      <c r="A89" s="286">
        <v>1400</v>
      </c>
      <c r="B89" s="59" t="s">
        <v>262</v>
      </c>
      <c r="C89" s="268">
        <v>274</v>
      </c>
      <c r="D89" s="69"/>
      <c r="E89" s="115"/>
      <c r="F89" s="115">
        <f t="shared" si="3"/>
        <v>0</v>
      </c>
      <c r="G89" s="115">
        <f t="shared" si="4"/>
        <v>274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</row>
    <row r="90" spans="1:36" s="4" customFormat="1" ht="19.5" thickBot="1" x14ac:dyDescent="0.35">
      <c r="A90" s="286">
        <v>1410</v>
      </c>
      <c r="B90" s="61" t="s">
        <v>263</v>
      </c>
      <c r="C90" s="268">
        <v>1712</v>
      </c>
      <c r="D90" s="69" t="s">
        <v>384</v>
      </c>
      <c r="E90" s="115">
        <f>C90</f>
        <v>1712</v>
      </c>
      <c r="F90" s="115">
        <f t="shared" si="3"/>
        <v>0</v>
      </c>
      <c r="G90" s="115">
        <f t="shared" si="4"/>
        <v>0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</row>
    <row r="91" spans="1:36" s="4" customFormat="1" ht="19.5" thickBot="1" x14ac:dyDescent="0.35">
      <c r="A91" s="286">
        <v>1420</v>
      </c>
      <c r="B91" s="59" t="s">
        <v>264</v>
      </c>
      <c r="C91" s="268">
        <v>425830</v>
      </c>
      <c r="D91" s="69"/>
      <c r="E91" s="115"/>
      <c r="F91" s="115">
        <f t="shared" si="3"/>
        <v>425830</v>
      </c>
      <c r="G91" s="115">
        <f t="shared" si="4"/>
        <v>0</v>
      </c>
      <c r="H91" s="106"/>
      <c r="I91" s="106"/>
      <c r="J91" s="106"/>
      <c r="K91" s="106"/>
      <c r="L91" s="106">
        <v>57553</v>
      </c>
      <c r="M91" s="106">
        <v>10057</v>
      </c>
      <c r="N91" s="106">
        <v>40481</v>
      </c>
      <c r="O91" s="106">
        <v>14426</v>
      </c>
      <c r="P91" s="106">
        <v>13732</v>
      </c>
      <c r="Q91" s="106">
        <v>88581</v>
      </c>
      <c r="R91" s="106"/>
      <c r="S91" s="106">
        <v>12093</v>
      </c>
      <c r="T91" s="106">
        <v>6217</v>
      </c>
      <c r="U91" s="106"/>
      <c r="V91" s="106">
        <v>44406</v>
      </c>
      <c r="W91" s="106"/>
      <c r="X91" s="106">
        <f>18214+10344</f>
        <v>28558</v>
      </c>
      <c r="Y91" s="106">
        <v>10224</v>
      </c>
      <c r="Z91" s="106">
        <v>99502</v>
      </c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</row>
    <row r="92" spans="1:36" s="4" customFormat="1" ht="19.5" thickBot="1" x14ac:dyDescent="0.35">
      <c r="A92" s="286">
        <v>1430</v>
      </c>
      <c r="B92" s="59" t="s">
        <v>265</v>
      </c>
      <c r="C92" s="268">
        <v>274</v>
      </c>
      <c r="D92" s="69" t="s">
        <v>431</v>
      </c>
      <c r="E92" s="115">
        <f>C92</f>
        <v>274</v>
      </c>
      <c r="F92" s="115">
        <f t="shared" si="3"/>
        <v>0</v>
      </c>
      <c r="G92" s="115">
        <f t="shared" si="4"/>
        <v>0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</row>
    <row r="93" spans="1:36" s="4" customFormat="1" ht="19.5" thickBot="1" x14ac:dyDescent="0.35">
      <c r="A93" s="286">
        <v>1440</v>
      </c>
      <c r="B93" s="59" t="s">
        <v>266</v>
      </c>
      <c r="C93" s="268">
        <v>0</v>
      </c>
      <c r="D93" s="69"/>
      <c r="E93" s="115"/>
      <c r="F93" s="115">
        <f t="shared" si="3"/>
        <v>0</v>
      </c>
      <c r="G93" s="115">
        <f t="shared" si="4"/>
        <v>0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</row>
    <row r="94" spans="1:36" s="4" customFormat="1" ht="19.5" thickBot="1" x14ac:dyDescent="0.35">
      <c r="A94" s="286">
        <v>1450</v>
      </c>
      <c r="B94" s="59" t="s">
        <v>267</v>
      </c>
      <c r="C94" s="268">
        <v>0</v>
      </c>
      <c r="D94" s="69"/>
      <c r="E94" s="115"/>
      <c r="F94" s="115">
        <f t="shared" si="3"/>
        <v>0</v>
      </c>
      <c r="G94" s="115">
        <f t="shared" si="4"/>
        <v>0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</row>
    <row r="95" spans="1:36" s="4" customFormat="1" ht="19.5" thickBot="1" x14ac:dyDescent="0.35">
      <c r="A95" s="286">
        <v>1460</v>
      </c>
      <c r="B95" s="59" t="s">
        <v>268</v>
      </c>
      <c r="C95" s="268">
        <v>548</v>
      </c>
      <c r="D95" s="69" t="s">
        <v>381</v>
      </c>
      <c r="E95" s="115">
        <f>C95</f>
        <v>548</v>
      </c>
      <c r="F95" s="115">
        <f t="shared" si="3"/>
        <v>0</v>
      </c>
      <c r="G95" s="115">
        <f t="shared" si="4"/>
        <v>0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</row>
    <row r="96" spans="1:36" s="4" customFormat="1" ht="19.5" thickBot="1" x14ac:dyDescent="0.35">
      <c r="A96" s="286">
        <v>1480</v>
      </c>
      <c r="B96" s="59" t="s">
        <v>269</v>
      </c>
      <c r="C96" s="268">
        <v>959</v>
      </c>
      <c r="D96" s="69" t="s">
        <v>381</v>
      </c>
      <c r="E96" s="115">
        <f>C96</f>
        <v>959</v>
      </c>
      <c r="F96" s="115">
        <f t="shared" si="3"/>
        <v>0</v>
      </c>
      <c r="G96" s="115">
        <f t="shared" si="4"/>
        <v>0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</row>
    <row r="97" spans="1:36" s="4" customFormat="1" ht="19.5" thickBot="1" x14ac:dyDescent="0.35">
      <c r="A97" s="286">
        <v>1490</v>
      </c>
      <c r="B97" s="59" t="s">
        <v>270</v>
      </c>
      <c r="C97" s="268">
        <v>2192</v>
      </c>
      <c r="D97" s="69" t="s">
        <v>381</v>
      </c>
      <c r="E97" s="115">
        <f>C97</f>
        <v>2192</v>
      </c>
      <c r="F97" s="115">
        <f t="shared" si="3"/>
        <v>0</v>
      </c>
      <c r="G97" s="115">
        <f t="shared" si="4"/>
        <v>0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</row>
    <row r="98" spans="1:36" s="4" customFormat="1" ht="19.5" thickBot="1" x14ac:dyDescent="0.35">
      <c r="A98" s="286">
        <v>1500</v>
      </c>
      <c r="B98" s="59" t="s">
        <v>271</v>
      </c>
      <c r="C98" s="268">
        <v>12534</v>
      </c>
      <c r="D98" s="69" t="s">
        <v>381</v>
      </c>
      <c r="E98" s="115">
        <f>C98</f>
        <v>12534</v>
      </c>
      <c r="F98" s="115">
        <f t="shared" si="3"/>
        <v>0</v>
      </c>
      <c r="G98" s="115">
        <f t="shared" si="4"/>
        <v>0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</row>
    <row r="99" spans="1:36" s="4" customFormat="1" ht="19.5" thickBot="1" x14ac:dyDescent="0.35">
      <c r="A99" s="286">
        <v>1510</v>
      </c>
      <c r="B99" s="59" t="s">
        <v>272</v>
      </c>
      <c r="C99" s="268">
        <v>30754</v>
      </c>
      <c r="D99" s="69"/>
      <c r="E99" s="115"/>
      <c r="F99" s="115">
        <f t="shared" si="3"/>
        <v>30754</v>
      </c>
      <c r="G99" s="115">
        <f t="shared" si="4"/>
        <v>0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>
        <v>30754</v>
      </c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</row>
    <row r="100" spans="1:36" s="4" customFormat="1" ht="19.5" thickBot="1" x14ac:dyDescent="0.35">
      <c r="A100" s="286">
        <v>1520</v>
      </c>
      <c r="B100" s="59" t="s">
        <v>273</v>
      </c>
      <c r="C100" s="268">
        <v>10069</v>
      </c>
      <c r="D100" s="69" t="s">
        <v>427</v>
      </c>
      <c r="E100" s="115">
        <f>C100</f>
        <v>10069</v>
      </c>
      <c r="F100" s="115">
        <f t="shared" si="3"/>
        <v>0</v>
      </c>
      <c r="G100" s="115">
        <f t="shared" si="4"/>
        <v>0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</row>
    <row r="101" spans="1:36" s="4" customFormat="1" ht="19.5" thickBot="1" x14ac:dyDescent="0.35">
      <c r="A101" s="286">
        <v>1530</v>
      </c>
      <c r="B101" s="59" t="s">
        <v>274</v>
      </c>
      <c r="C101" s="268">
        <v>1644</v>
      </c>
      <c r="D101" s="69" t="s">
        <v>427</v>
      </c>
      <c r="E101" s="115">
        <f>C101</f>
        <v>1644</v>
      </c>
      <c r="F101" s="115">
        <f t="shared" si="3"/>
        <v>0</v>
      </c>
      <c r="G101" s="115">
        <f t="shared" si="4"/>
        <v>0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</row>
    <row r="102" spans="1:36" s="4" customFormat="1" ht="19.5" thickBot="1" x14ac:dyDescent="0.35">
      <c r="A102" s="286">
        <v>1540</v>
      </c>
      <c r="B102" s="59" t="s">
        <v>275</v>
      </c>
      <c r="C102" s="268">
        <v>2260</v>
      </c>
      <c r="D102" s="69" t="s">
        <v>427</v>
      </c>
      <c r="E102" s="115">
        <f>C102</f>
        <v>2260</v>
      </c>
      <c r="F102" s="115">
        <f t="shared" si="3"/>
        <v>0</v>
      </c>
      <c r="G102" s="115">
        <f t="shared" si="4"/>
        <v>0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</row>
    <row r="103" spans="1:36" s="4" customFormat="1" ht="19.5" thickBot="1" x14ac:dyDescent="0.35">
      <c r="A103" s="286">
        <v>1550</v>
      </c>
      <c r="B103" s="59" t="s">
        <v>276</v>
      </c>
      <c r="C103" s="268">
        <v>137126</v>
      </c>
      <c r="D103" s="69"/>
      <c r="E103" s="115"/>
      <c r="F103" s="115">
        <f t="shared" si="3"/>
        <v>137126</v>
      </c>
      <c r="G103" s="115">
        <f t="shared" si="4"/>
        <v>0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>
        <v>9139</v>
      </c>
      <c r="T103" s="106"/>
      <c r="U103" s="106">
        <v>13503</v>
      </c>
      <c r="V103" s="106"/>
      <c r="W103" s="106"/>
      <c r="X103" s="106">
        <f>25460+22673</f>
        <v>48133</v>
      </c>
      <c r="Y103" s="106"/>
      <c r="Z103" s="106">
        <v>49606</v>
      </c>
      <c r="AA103" s="106"/>
      <c r="AB103" s="106">
        <v>5786</v>
      </c>
      <c r="AC103" s="106"/>
      <c r="AD103" s="106">
        <v>5731</v>
      </c>
      <c r="AE103" s="106"/>
      <c r="AF103" s="106">
        <v>5228</v>
      </c>
      <c r="AG103" s="106"/>
      <c r="AH103" s="106"/>
      <c r="AI103" s="106"/>
      <c r="AJ103" s="106"/>
    </row>
    <row r="104" spans="1:36" s="4" customFormat="1" ht="19.5" thickBot="1" x14ac:dyDescent="0.35">
      <c r="A104" s="286">
        <v>1560</v>
      </c>
      <c r="B104" s="59" t="s">
        <v>277</v>
      </c>
      <c r="C104" s="268">
        <v>37740</v>
      </c>
      <c r="D104" s="69"/>
      <c r="E104" s="115"/>
      <c r="F104" s="115">
        <f t="shared" si="3"/>
        <v>37740</v>
      </c>
      <c r="G104" s="115">
        <f t="shared" si="4"/>
        <v>0</v>
      </c>
      <c r="H104" s="106"/>
      <c r="I104" s="106"/>
      <c r="J104" s="106"/>
      <c r="K104" s="106"/>
      <c r="L104" s="106"/>
      <c r="M104" s="106"/>
      <c r="N104" s="106">
        <v>4351</v>
      </c>
      <c r="O104" s="106">
        <v>3363</v>
      </c>
      <c r="P104" s="106">
        <v>2710</v>
      </c>
      <c r="Q104" s="106">
        <v>5664</v>
      </c>
      <c r="R104" s="106">
        <v>2632</v>
      </c>
      <c r="S104" s="106">
        <v>3695</v>
      </c>
      <c r="T104" s="106">
        <v>2806</v>
      </c>
      <c r="U104" s="106"/>
      <c r="V104" s="106">
        <v>5000</v>
      </c>
      <c r="W104" s="106">
        <v>2596</v>
      </c>
      <c r="X104" s="106">
        <v>4594</v>
      </c>
      <c r="Y104" s="106">
        <v>329</v>
      </c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</row>
    <row r="105" spans="1:36" s="4" customFormat="1" ht="19.5" thickBot="1" x14ac:dyDescent="0.35">
      <c r="A105" s="286">
        <v>1570</v>
      </c>
      <c r="B105" s="59" t="s">
        <v>278</v>
      </c>
      <c r="C105" s="268">
        <v>11233</v>
      </c>
      <c r="D105" s="69"/>
      <c r="E105" s="115"/>
      <c r="F105" s="115">
        <f t="shared" si="3"/>
        <v>11233</v>
      </c>
      <c r="G105" s="115">
        <f t="shared" si="4"/>
        <v>0</v>
      </c>
      <c r="H105" s="106"/>
      <c r="I105" s="106"/>
      <c r="J105" s="106"/>
      <c r="K105" s="106"/>
      <c r="L105" s="106"/>
      <c r="M105" s="106"/>
      <c r="N105" s="106">
        <v>9282</v>
      </c>
      <c r="O105" s="106"/>
      <c r="P105" s="106">
        <v>1380</v>
      </c>
      <c r="Q105" s="106"/>
      <c r="R105" s="106"/>
      <c r="S105" s="106">
        <v>571</v>
      </c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</row>
    <row r="106" spans="1:36" s="4" customFormat="1" ht="19.5" thickBot="1" x14ac:dyDescent="0.35">
      <c r="A106" s="286">
        <v>1580</v>
      </c>
      <c r="B106" s="59" t="s">
        <v>279</v>
      </c>
      <c r="C106" s="268">
        <v>4384</v>
      </c>
      <c r="D106" s="69" t="s">
        <v>430</v>
      </c>
      <c r="E106" s="115">
        <f>C106</f>
        <v>4384</v>
      </c>
      <c r="F106" s="115">
        <f t="shared" si="3"/>
        <v>0</v>
      </c>
      <c r="G106" s="115">
        <f t="shared" si="4"/>
        <v>0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</row>
    <row r="107" spans="1:36" s="4" customFormat="1" ht="19.5" thickBot="1" x14ac:dyDescent="0.35">
      <c r="A107" s="286">
        <v>1590</v>
      </c>
      <c r="B107" s="59" t="s">
        <v>280</v>
      </c>
      <c r="C107" s="268">
        <v>274</v>
      </c>
      <c r="D107" s="69" t="s">
        <v>430</v>
      </c>
      <c r="E107" s="115">
        <f>C107</f>
        <v>274</v>
      </c>
      <c r="F107" s="115">
        <f t="shared" si="3"/>
        <v>0</v>
      </c>
      <c r="G107" s="115">
        <f t="shared" si="4"/>
        <v>0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</row>
    <row r="108" spans="1:36" s="4" customFormat="1" ht="19.5" thickBot="1" x14ac:dyDescent="0.35">
      <c r="A108" s="286">
        <v>1600</v>
      </c>
      <c r="B108" s="59" t="s">
        <v>281</v>
      </c>
      <c r="C108" s="268">
        <v>274</v>
      </c>
      <c r="D108" s="69" t="s">
        <v>430</v>
      </c>
      <c r="E108" s="115">
        <f>C108</f>
        <v>274</v>
      </c>
      <c r="F108" s="115">
        <f t="shared" si="3"/>
        <v>0</v>
      </c>
      <c r="G108" s="115">
        <f t="shared" si="4"/>
        <v>0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</row>
    <row r="109" spans="1:36" s="4" customFormat="1" ht="19.5" thickBot="1" x14ac:dyDescent="0.35">
      <c r="A109" s="286">
        <v>1620</v>
      </c>
      <c r="B109" s="59" t="s">
        <v>282</v>
      </c>
      <c r="C109" s="268">
        <v>274</v>
      </c>
      <c r="D109" s="69" t="s">
        <v>430</v>
      </c>
      <c r="E109" s="115">
        <f>C109</f>
        <v>274</v>
      </c>
      <c r="F109" s="115">
        <f t="shared" si="3"/>
        <v>0</v>
      </c>
      <c r="G109" s="115">
        <f t="shared" si="4"/>
        <v>0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</row>
    <row r="110" spans="1:36" s="4" customFormat="1" ht="19.5" thickBot="1" x14ac:dyDescent="0.35">
      <c r="A110" s="286">
        <v>1750</v>
      </c>
      <c r="B110" s="59" t="s">
        <v>283</v>
      </c>
      <c r="C110" s="268">
        <v>0</v>
      </c>
      <c r="D110" s="69"/>
      <c r="E110" s="115"/>
      <c r="F110" s="115">
        <f t="shared" ref="F110:F141" si="5">SUM(H110:AJ110)</f>
        <v>0</v>
      </c>
      <c r="G110" s="115">
        <f t="shared" si="4"/>
        <v>0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</row>
    <row r="111" spans="1:36" s="4" customFormat="1" ht="19.5" thickBot="1" x14ac:dyDescent="0.35">
      <c r="A111" s="286">
        <v>1760</v>
      </c>
      <c r="B111" s="59" t="s">
        <v>284</v>
      </c>
      <c r="C111" s="268">
        <v>0</v>
      </c>
      <c r="D111" s="69"/>
      <c r="E111" s="115"/>
      <c r="F111" s="115">
        <f t="shared" si="5"/>
        <v>0</v>
      </c>
      <c r="G111" s="115">
        <f t="shared" si="4"/>
        <v>0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</row>
    <row r="112" spans="1:36" s="4" customFormat="1" ht="19.5" thickBot="1" x14ac:dyDescent="0.35">
      <c r="A112" s="286">
        <v>1780</v>
      </c>
      <c r="B112" s="59" t="s">
        <v>285</v>
      </c>
      <c r="C112" s="268">
        <v>0</v>
      </c>
      <c r="D112" s="69"/>
      <c r="E112" s="115"/>
      <c r="F112" s="115">
        <f t="shared" si="5"/>
        <v>0</v>
      </c>
      <c r="G112" s="115">
        <f t="shared" si="4"/>
        <v>0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</row>
    <row r="113" spans="1:36" s="4" customFormat="1" ht="19.5" thickBot="1" x14ac:dyDescent="0.35">
      <c r="A113" s="286">
        <v>1790</v>
      </c>
      <c r="B113" s="59" t="s">
        <v>286</v>
      </c>
      <c r="C113" s="268">
        <v>1027</v>
      </c>
      <c r="D113" s="69" t="s">
        <v>381</v>
      </c>
      <c r="E113" s="115">
        <f>C113</f>
        <v>1027</v>
      </c>
      <c r="F113" s="115">
        <f t="shared" si="5"/>
        <v>0</v>
      </c>
      <c r="G113" s="115">
        <f t="shared" si="4"/>
        <v>0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</row>
    <row r="114" spans="1:36" s="4" customFormat="1" ht="19.5" thickBot="1" x14ac:dyDescent="0.35">
      <c r="A114" s="286">
        <v>1810</v>
      </c>
      <c r="B114" s="59" t="s">
        <v>287</v>
      </c>
      <c r="C114" s="268">
        <v>0</v>
      </c>
      <c r="D114" s="69"/>
      <c r="E114" s="115"/>
      <c r="F114" s="115">
        <f t="shared" si="5"/>
        <v>0</v>
      </c>
      <c r="G114" s="115">
        <f t="shared" si="4"/>
        <v>0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</row>
    <row r="115" spans="1:36" s="4" customFormat="1" ht="19.5" thickBot="1" x14ac:dyDescent="0.35">
      <c r="A115" s="286">
        <v>1828</v>
      </c>
      <c r="B115" s="59" t="s">
        <v>288</v>
      </c>
      <c r="C115" s="268">
        <v>10137</v>
      </c>
      <c r="D115" s="69" t="s">
        <v>409</v>
      </c>
      <c r="E115" s="115">
        <f>C115</f>
        <v>10137</v>
      </c>
      <c r="F115" s="115">
        <f t="shared" si="5"/>
        <v>0</v>
      </c>
      <c r="G115" s="115">
        <f t="shared" si="4"/>
        <v>0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</row>
    <row r="116" spans="1:36" s="4" customFormat="1" ht="19.5" thickBot="1" x14ac:dyDescent="0.35">
      <c r="A116" s="286">
        <v>1850</v>
      </c>
      <c r="B116" s="59" t="s">
        <v>289</v>
      </c>
      <c r="C116" s="268">
        <v>0</v>
      </c>
      <c r="D116" s="69"/>
      <c r="E116" s="115"/>
      <c r="F116" s="115">
        <f t="shared" si="5"/>
        <v>0</v>
      </c>
      <c r="G116" s="115">
        <f t="shared" si="4"/>
        <v>0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</row>
    <row r="117" spans="1:36" s="4" customFormat="1" ht="19.5" thickBot="1" x14ac:dyDescent="0.35">
      <c r="A117" s="286">
        <v>1860</v>
      </c>
      <c r="B117" s="59" t="s">
        <v>443</v>
      </c>
      <c r="C117" s="268">
        <v>0</v>
      </c>
      <c r="D117" s="69"/>
      <c r="E117" s="115"/>
      <c r="F117" s="115">
        <f t="shared" si="5"/>
        <v>0</v>
      </c>
      <c r="G117" s="115">
        <f t="shared" si="4"/>
        <v>0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</row>
    <row r="118" spans="1:36" s="4" customFormat="1" ht="19.5" thickBot="1" x14ac:dyDescent="0.35">
      <c r="A118" s="286">
        <v>1870</v>
      </c>
      <c r="B118" s="59" t="s">
        <v>444</v>
      </c>
      <c r="C118" s="268">
        <v>0</v>
      </c>
      <c r="D118" s="69"/>
      <c r="E118" s="115"/>
      <c r="F118" s="115">
        <f t="shared" si="5"/>
        <v>0</v>
      </c>
      <c r="G118" s="115">
        <f t="shared" si="4"/>
        <v>0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</row>
    <row r="119" spans="1:36" s="4" customFormat="1" ht="19.5" thickBot="1" x14ac:dyDescent="0.35">
      <c r="A119" s="286">
        <v>1980</v>
      </c>
      <c r="B119" s="59" t="s">
        <v>445</v>
      </c>
      <c r="C119" s="268">
        <v>0</v>
      </c>
      <c r="D119" s="69"/>
      <c r="E119" s="115"/>
      <c r="F119" s="115">
        <f t="shared" si="5"/>
        <v>0</v>
      </c>
      <c r="G119" s="115">
        <f t="shared" si="4"/>
        <v>0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</row>
    <row r="120" spans="1:36" s="4" customFormat="1" ht="19.5" thickBot="1" x14ac:dyDescent="0.35">
      <c r="A120" s="286">
        <v>1990</v>
      </c>
      <c r="B120" s="59" t="s">
        <v>446</v>
      </c>
      <c r="C120" s="268">
        <v>0</v>
      </c>
      <c r="D120" s="69"/>
      <c r="E120" s="115"/>
      <c r="F120" s="115">
        <f t="shared" si="5"/>
        <v>0</v>
      </c>
      <c r="G120" s="115">
        <f t="shared" si="4"/>
        <v>0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</row>
    <row r="121" spans="1:36" s="4" customFormat="1" ht="19.5" thickBot="1" x14ac:dyDescent="0.35">
      <c r="A121" s="286">
        <v>2000</v>
      </c>
      <c r="B121" s="59" t="s">
        <v>294</v>
      </c>
      <c r="C121" s="268">
        <v>78358</v>
      </c>
      <c r="D121" s="69"/>
      <c r="E121" s="115"/>
      <c r="F121" s="115">
        <f t="shared" si="5"/>
        <v>78358</v>
      </c>
      <c r="G121" s="115">
        <f t="shared" si="4"/>
        <v>0</v>
      </c>
      <c r="H121" s="106"/>
      <c r="I121" s="106"/>
      <c r="J121" s="106"/>
      <c r="K121" s="106"/>
      <c r="L121" s="106"/>
      <c r="M121" s="106"/>
      <c r="N121" s="106"/>
      <c r="O121" s="106"/>
      <c r="P121" s="106">
        <v>4280</v>
      </c>
      <c r="Q121" s="106">
        <v>12152</v>
      </c>
      <c r="R121" s="106">
        <v>12151</v>
      </c>
      <c r="S121" s="106">
        <v>10681</v>
      </c>
      <c r="T121" s="106">
        <v>11417</v>
      </c>
      <c r="U121" s="106">
        <v>21475</v>
      </c>
      <c r="V121" s="106"/>
      <c r="W121" s="106">
        <v>6202</v>
      </c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</row>
    <row r="122" spans="1:36" s="4" customFormat="1" ht="19.5" thickBot="1" x14ac:dyDescent="0.35">
      <c r="A122" s="286">
        <v>2010</v>
      </c>
      <c r="B122" s="59" t="s">
        <v>295</v>
      </c>
      <c r="C122" s="268">
        <v>0</v>
      </c>
      <c r="D122" s="69"/>
      <c r="E122" s="115"/>
      <c r="F122" s="115">
        <f t="shared" si="5"/>
        <v>0</v>
      </c>
      <c r="G122" s="115">
        <f t="shared" si="4"/>
        <v>0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</row>
    <row r="123" spans="1:36" s="4" customFormat="1" ht="19.5" thickBot="1" x14ac:dyDescent="0.35">
      <c r="A123" s="286">
        <v>2020</v>
      </c>
      <c r="B123" s="59" t="s">
        <v>460</v>
      </c>
      <c r="C123" s="268">
        <v>15480</v>
      </c>
      <c r="D123" s="69"/>
      <c r="E123" s="115"/>
      <c r="F123" s="115">
        <f t="shared" si="5"/>
        <v>15480</v>
      </c>
      <c r="G123" s="115">
        <f t="shared" si="4"/>
        <v>0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>
        <f>12148-1017</f>
        <v>11131</v>
      </c>
      <c r="R123" s="106"/>
      <c r="S123" s="106">
        <v>3332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>
        <v>1017</v>
      </c>
      <c r="AF123" s="106"/>
      <c r="AG123" s="106"/>
      <c r="AH123" s="106"/>
      <c r="AI123" s="106"/>
      <c r="AJ123" s="106"/>
    </row>
    <row r="124" spans="1:36" s="4" customFormat="1" ht="19.5" thickBot="1" x14ac:dyDescent="0.35">
      <c r="A124" s="286">
        <v>2035</v>
      </c>
      <c r="B124" s="59" t="s">
        <v>297</v>
      </c>
      <c r="C124" s="268">
        <v>15548</v>
      </c>
      <c r="D124" s="69"/>
      <c r="E124" s="115"/>
      <c r="F124" s="115">
        <f t="shared" si="5"/>
        <v>15548</v>
      </c>
      <c r="G124" s="115">
        <f t="shared" si="4"/>
        <v>0</v>
      </c>
      <c r="H124" s="106"/>
      <c r="I124" s="106"/>
      <c r="J124" s="106"/>
      <c r="K124" s="106">
        <v>156</v>
      </c>
      <c r="L124" s="106">
        <v>1346</v>
      </c>
      <c r="M124" s="106"/>
      <c r="N124" s="106">
        <v>2685</v>
      </c>
      <c r="O124" s="106">
        <v>1364</v>
      </c>
      <c r="P124" s="106">
        <v>1353</v>
      </c>
      <c r="Q124" s="106">
        <v>1353</v>
      </c>
      <c r="R124" s="106">
        <v>1353</v>
      </c>
      <c r="S124" s="106">
        <v>1353</v>
      </c>
      <c r="T124" s="106">
        <v>1515</v>
      </c>
      <c r="U124" s="106">
        <v>1340</v>
      </c>
      <c r="V124" s="106"/>
      <c r="W124" s="106">
        <v>955</v>
      </c>
      <c r="X124" s="106">
        <v>775</v>
      </c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</row>
    <row r="125" spans="1:36" s="4" customFormat="1" ht="19.5" thickBot="1" x14ac:dyDescent="0.35">
      <c r="A125" s="286">
        <v>2055</v>
      </c>
      <c r="B125" s="59" t="s">
        <v>298</v>
      </c>
      <c r="C125" s="268">
        <v>753</v>
      </c>
      <c r="D125" s="69" t="s">
        <v>427</v>
      </c>
      <c r="E125" s="115">
        <f>C125</f>
        <v>753</v>
      </c>
      <c r="F125" s="115">
        <f t="shared" si="5"/>
        <v>0</v>
      </c>
      <c r="G125" s="115">
        <f t="shared" si="4"/>
        <v>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</row>
    <row r="126" spans="1:36" s="4" customFormat="1" ht="19.5" thickBot="1" x14ac:dyDescent="0.35">
      <c r="A126" s="286">
        <v>2070</v>
      </c>
      <c r="B126" s="59" t="s">
        <v>299</v>
      </c>
      <c r="C126" s="268">
        <v>1644</v>
      </c>
      <c r="D126" s="69" t="s">
        <v>427</v>
      </c>
      <c r="E126" s="115">
        <f>C126</f>
        <v>1644</v>
      </c>
      <c r="F126" s="115">
        <f t="shared" si="5"/>
        <v>0</v>
      </c>
      <c r="G126" s="115">
        <f t="shared" si="4"/>
        <v>0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</row>
    <row r="127" spans="1:36" s="4" customFormat="1" ht="19.5" thickBot="1" x14ac:dyDescent="0.35">
      <c r="A127" s="286">
        <v>2180</v>
      </c>
      <c r="B127" s="59" t="s">
        <v>300</v>
      </c>
      <c r="C127" s="268">
        <f>68631+C164</f>
        <v>75206</v>
      </c>
      <c r="D127" s="69"/>
      <c r="E127" s="115"/>
      <c r="F127" s="115">
        <f t="shared" si="5"/>
        <v>75206</v>
      </c>
      <c r="G127" s="115">
        <f t="shared" si="4"/>
        <v>0</v>
      </c>
      <c r="H127" s="106"/>
      <c r="I127" s="106"/>
      <c r="J127" s="106"/>
      <c r="K127" s="106"/>
      <c r="L127" s="106"/>
      <c r="M127" s="106">
        <f>19361-7116</f>
        <v>12245</v>
      </c>
      <c r="N127" s="106"/>
      <c r="O127" s="106">
        <v>8259</v>
      </c>
      <c r="P127" s="106">
        <v>5501</v>
      </c>
      <c r="Q127" s="106">
        <v>6671</v>
      </c>
      <c r="R127" s="106">
        <v>5746</v>
      </c>
      <c r="S127" s="106">
        <v>6988</v>
      </c>
      <c r="T127" s="106"/>
      <c r="U127" s="106">
        <v>11083</v>
      </c>
      <c r="V127" s="106">
        <v>3565</v>
      </c>
      <c r="W127" s="106"/>
      <c r="X127" s="106"/>
      <c r="Y127" s="106">
        <v>7244</v>
      </c>
      <c r="Z127" s="106">
        <v>7904</v>
      </c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</row>
    <row r="128" spans="1:36" s="4" customFormat="1" ht="19.5" thickBot="1" x14ac:dyDescent="0.35">
      <c r="A128" s="286">
        <v>2190</v>
      </c>
      <c r="B128" s="59" t="s">
        <v>301</v>
      </c>
      <c r="C128" s="268">
        <v>411</v>
      </c>
      <c r="D128" s="69" t="s">
        <v>427</v>
      </c>
      <c r="E128" s="115">
        <f>C128</f>
        <v>411</v>
      </c>
      <c r="F128" s="115">
        <f t="shared" si="5"/>
        <v>0</v>
      </c>
      <c r="G128" s="115">
        <f t="shared" si="4"/>
        <v>0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</row>
    <row r="129" spans="1:36" s="4" customFormat="1" ht="19.5" thickBot="1" x14ac:dyDescent="0.35">
      <c r="A129" s="286">
        <v>2395</v>
      </c>
      <c r="B129" s="59" t="s">
        <v>302</v>
      </c>
      <c r="C129" s="268">
        <v>17946</v>
      </c>
      <c r="D129" s="69" t="s">
        <v>409</v>
      </c>
      <c r="E129" s="115">
        <f>C129</f>
        <v>17946</v>
      </c>
      <c r="F129" s="115">
        <f t="shared" si="5"/>
        <v>0</v>
      </c>
      <c r="G129" s="115">
        <f t="shared" si="4"/>
        <v>0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</row>
    <row r="130" spans="1:36" s="4" customFormat="1" ht="19.5" thickBot="1" x14ac:dyDescent="0.35">
      <c r="A130" s="286">
        <v>2405</v>
      </c>
      <c r="B130" s="59" t="s">
        <v>303</v>
      </c>
      <c r="C130" s="268">
        <v>72467</v>
      </c>
      <c r="D130" s="69"/>
      <c r="E130" s="115"/>
      <c r="F130" s="115">
        <f t="shared" si="5"/>
        <v>72467</v>
      </c>
      <c r="G130" s="115">
        <f t="shared" si="4"/>
        <v>0</v>
      </c>
      <c r="H130" s="106"/>
      <c r="I130" s="106"/>
      <c r="J130" s="106"/>
      <c r="K130" s="106"/>
      <c r="L130" s="106">
        <v>6449</v>
      </c>
      <c r="M130" s="106">
        <v>8299</v>
      </c>
      <c r="N130" s="106">
        <v>6982</v>
      </c>
      <c r="O130" s="106">
        <v>8348</v>
      </c>
      <c r="P130" s="106">
        <v>7762</v>
      </c>
      <c r="Q130" s="106">
        <v>7141</v>
      </c>
      <c r="R130" s="106">
        <v>7132</v>
      </c>
      <c r="S130" s="106">
        <v>8159</v>
      </c>
      <c r="T130" s="106">
        <v>4385</v>
      </c>
      <c r="U130" s="106">
        <v>1661</v>
      </c>
      <c r="V130" s="106">
        <v>1018</v>
      </c>
      <c r="W130" s="106">
        <v>5131</v>
      </c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</row>
    <row r="131" spans="1:36" s="4" customFormat="1" ht="19.5" thickBot="1" x14ac:dyDescent="0.35">
      <c r="A131" s="286">
        <v>2505</v>
      </c>
      <c r="B131" s="59" t="s">
        <v>304</v>
      </c>
      <c r="C131" s="268">
        <v>137</v>
      </c>
      <c r="D131" s="69" t="s">
        <v>409</v>
      </c>
      <c r="E131" s="115">
        <f>C131</f>
        <v>137</v>
      </c>
      <c r="F131" s="115">
        <f t="shared" si="5"/>
        <v>0</v>
      </c>
      <c r="G131" s="115">
        <f t="shared" si="4"/>
        <v>0</v>
      </c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</row>
    <row r="132" spans="1:36" s="4" customFormat="1" ht="19.5" thickBot="1" x14ac:dyDescent="0.35">
      <c r="A132" s="286">
        <v>2515</v>
      </c>
      <c r="B132" s="59" t="s">
        <v>305</v>
      </c>
      <c r="C132" s="268">
        <v>7055</v>
      </c>
      <c r="D132" s="69" t="s">
        <v>409</v>
      </c>
      <c r="E132" s="115">
        <f>C132</f>
        <v>7055</v>
      </c>
      <c r="F132" s="115">
        <f t="shared" si="5"/>
        <v>0</v>
      </c>
      <c r="G132" s="115">
        <f t="shared" si="4"/>
        <v>0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</row>
    <row r="133" spans="1:36" s="4" customFormat="1" ht="19.5" thickBot="1" x14ac:dyDescent="0.35">
      <c r="A133" s="286">
        <v>2520</v>
      </c>
      <c r="B133" s="59" t="s">
        <v>447</v>
      </c>
      <c r="C133" s="268">
        <v>2534</v>
      </c>
      <c r="D133" s="69"/>
      <c r="E133" s="115"/>
      <c r="F133" s="115">
        <f t="shared" si="5"/>
        <v>0</v>
      </c>
      <c r="G133" s="115">
        <f t="shared" si="4"/>
        <v>2534</v>
      </c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</row>
    <row r="134" spans="1:36" s="4" customFormat="1" ht="19.5" thickBot="1" x14ac:dyDescent="0.35">
      <c r="A134" s="286">
        <v>2530</v>
      </c>
      <c r="B134" s="59" t="s">
        <v>307</v>
      </c>
      <c r="C134" s="268">
        <f>5274+C138+C148</f>
        <v>10754</v>
      </c>
      <c r="D134" s="69"/>
      <c r="E134" s="115"/>
      <c r="F134" s="115">
        <f t="shared" si="5"/>
        <v>6926</v>
      </c>
      <c r="G134" s="217">
        <f t="shared" si="4"/>
        <v>3828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>
        <v>6926</v>
      </c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</row>
    <row r="135" spans="1:36" s="4" customFormat="1" ht="19.5" thickBot="1" x14ac:dyDescent="0.35">
      <c r="A135" s="286">
        <v>2535</v>
      </c>
      <c r="B135" s="59" t="s">
        <v>308</v>
      </c>
      <c r="C135" s="268">
        <v>3288</v>
      </c>
      <c r="D135" s="69" t="s">
        <v>430</v>
      </c>
      <c r="E135" s="115">
        <f>C135</f>
        <v>3288</v>
      </c>
      <c r="F135" s="115">
        <f t="shared" si="5"/>
        <v>0</v>
      </c>
      <c r="G135" s="115">
        <f t="shared" si="4"/>
        <v>0</v>
      </c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</row>
    <row r="136" spans="1:36" s="4" customFormat="1" ht="19.5" thickBot="1" x14ac:dyDescent="0.35">
      <c r="A136" s="286">
        <v>2540</v>
      </c>
      <c r="B136" s="59" t="s">
        <v>309</v>
      </c>
      <c r="C136" s="268">
        <v>616</v>
      </c>
      <c r="D136" s="69" t="s">
        <v>430</v>
      </c>
      <c r="E136" s="115">
        <f>C136</f>
        <v>616</v>
      </c>
      <c r="F136" s="115">
        <f t="shared" si="5"/>
        <v>0</v>
      </c>
      <c r="G136" s="115">
        <f t="shared" si="4"/>
        <v>0</v>
      </c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</row>
    <row r="137" spans="1:36" s="4" customFormat="1" ht="19.5" thickBot="1" x14ac:dyDescent="0.35">
      <c r="A137" s="286">
        <v>2560</v>
      </c>
      <c r="B137" s="59" t="s">
        <v>310</v>
      </c>
      <c r="C137" s="268">
        <v>0</v>
      </c>
      <c r="D137" s="69"/>
      <c r="E137" s="115"/>
      <c r="F137" s="115">
        <f t="shared" si="5"/>
        <v>0</v>
      </c>
      <c r="G137" s="115">
        <f t="shared" si="4"/>
        <v>0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</row>
    <row r="138" spans="1:36" s="4" customFormat="1" ht="19.5" thickBot="1" x14ac:dyDescent="0.35">
      <c r="A138" s="286">
        <v>2570</v>
      </c>
      <c r="B138" s="59" t="s">
        <v>311</v>
      </c>
      <c r="C138" s="268">
        <v>548</v>
      </c>
      <c r="D138" s="325">
        <v>2530</v>
      </c>
      <c r="E138" s="115">
        <f>C138</f>
        <v>548</v>
      </c>
      <c r="F138" s="115">
        <f t="shared" si="5"/>
        <v>0</v>
      </c>
      <c r="G138" s="115">
        <f t="shared" si="4"/>
        <v>0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</row>
    <row r="139" spans="1:36" s="4" customFormat="1" ht="19.5" thickBot="1" x14ac:dyDescent="0.35">
      <c r="A139" s="286">
        <v>2580</v>
      </c>
      <c r="B139" s="59" t="s">
        <v>312</v>
      </c>
      <c r="C139" s="268">
        <v>616</v>
      </c>
      <c r="D139" s="69" t="s">
        <v>427</v>
      </c>
      <c r="E139" s="115">
        <f>C139</f>
        <v>616</v>
      </c>
      <c r="F139" s="115">
        <f t="shared" si="5"/>
        <v>0</v>
      </c>
      <c r="G139" s="115">
        <f t="shared" si="4"/>
        <v>0</v>
      </c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</row>
    <row r="140" spans="1:36" s="4" customFormat="1" ht="19.5" thickBot="1" x14ac:dyDescent="0.35">
      <c r="A140" s="286">
        <v>2590</v>
      </c>
      <c r="B140" s="59" t="s">
        <v>313</v>
      </c>
      <c r="C140" s="268">
        <v>753</v>
      </c>
      <c r="D140" s="69" t="s">
        <v>427</v>
      </c>
      <c r="E140" s="115">
        <f>C140</f>
        <v>753</v>
      </c>
      <c r="F140" s="115">
        <f t="shared" si="5"/>
        <v>0</v>
      </c>
      <c r="G140" s="115">
        <f t="shared" si="4"/>
        <v>0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</row>
    <row r="141" spans="1:36" s="4" customFormat="1" ht="19.5" thickBot="1" x14ac:dyDescent="0.35">
      <c r="A141" s="286">
        <v>2600</v>
      </c>
      <c r="B141" s="59" t="s">
        <v>314</v>
      </c>
      <c r="C141" s="268">
        <v>0</v>
      </c>
      <c r="D141" s="69"/>
      <c r="E141" s="115"/>
      <c r="F141" s="115">
        <f t="shared" si="5"/>
        <v>0</v>
      </c>
      <c r="G141" s="115">
        <f t="shared" si="4"/>
        <v>0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</row>
    <row r="142" spans="1:36" s="4" customFormat="1" ht="19.5" thickBot="1" x14ac:dyDescent="0.35">
      <c r="A142" s="286">
        <v>2610</v>
      </c>
      <c r="B142" s="59" t="s">
        <v>448</v>
      </c>
      <c r="C142" s="268">
        <v>0</v>
      </c>
      <c r="D142" s="69"/>
      <c r="E142" s="115"/>
      <c r="F142" s="115">
        <f t="shared" ref="F142:F173" si="6">SUM(H142:AJ142)</f>
        <v>0</v>
      </c>
      <c r="G142" s="115">
        <f t="shared" si="4"/>
        <v>0</v>
      </c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</row>
    <row r="143" spans="1:36" s="4" customFormat="1" ht="19.5" thickBot="1" x14ac:dyDescent="0.35">
      <c r="A143" s="286">
        <v>2620</v>
      </c>
      <c r="B143" s="59" t="s">
        <v>316</v>
      </c>
      <c r="C143" s="268">
        <v>9452</v>
      </c>
      <c r="D143" s="69" t="s">
        <v>426</v>
      </c>
      <c r="E143" s="115">
        <f>C143</f>
        <v>9452</v>
      </c>
      <c r="F143" s="115">
        <f t="shared" si="6"/>
        <v>0</v>
      </c>
      <c r="G143" s="115">
        <f t="shared" ref="G143:G201" si="7">IF(ISBLANK(E143),C143-F143,C143-E143)</f>
        <v>0</v>
      </c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</row>
    <row r="144" spans="1:36" s="4" customFormat="1" ht="19.5" thickBot="1" x14ac:dyDescent="0.35">
      <c r="A144" s="286">
        <v>2630</v>
      </c>
      <c r="B144" s="59" t="s">
        <v>317</v>
      </c>
      <c r="C144" s="268">
        <v>0</v>
      </c>
      <c r="D144" s="69"/>
      <c r="E144" s="115"/>
      <c r="F144" s="115">
        <f t="shared" si="6"/>
        <v>0</v>
      </c>
      <c r="G144" s="115">
        <f t="shared" si="7"/>
        <v>0</v>
      </c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</row>
    <row r="145" spans="1:36" s="4" customFormat="1" ht="19.5" thickBot="1" x14ac:dyDescent="0.35">
      <c r="A145" s="286">
        <v>2640</v>
      </c>
      <c r="B145" s="59" t="s">
        <v>318</v>
      </c>
      <c r="C145" s="268">
        <v>12261</v>
      </c>
      <c r="D145" s="69"/>
      <c r="E145" s="115"/>
      <c r="F145" s="115">
        <f t="shared" si="6"/>
        <v>12261</v>
      </c>
      <c r="G145" s="115">
        <f t="shared" si="7"/>
        <v>0</v>
      </c>
      <c r="H145" s="106"/>
      <c r="I145" s="106"/>
      <c r="J145" s="106"/>
      <c r="K145" s="106"/>
      <c r="L145" s="106"/>
      <c r="M145" s="106"/>
      <c r="N145" s="106">
        <v>6125</v>
      </c>
      <c r="O145" s="106"/>
      <c r="P145" s="106"/>
      <c r="Q145" s="106"/>
      <c r="R145" s="106"/>
      <c r="S145" s="106">
        <v>6136</v>
      </c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</row>
    <row r="146" spans="1:36" s="4" customFormat="1" ht="19.5" thickBot="1" x14ac:dyDescent="0.35">
      <c r="A146" s="286">
        <v>2650</v>
      </c>
      <c r="B146" s="59" t="s">
        <v>319</v>
      </c>
      <c r="C146" s="268">
        <v>2260</v>
      </c>
      <c r="D146" s="69" t="s">
        <v>431</v>
      </c>
      <c r="E146" s="115">
        <f>C146</f>
        <v>2260</v>
      </c>
      <c r="F146" s="115">
        <f t="shared" si="6"/>
        <v>0</v>
      </c>
      <c r="G146" s="115">
        <f t="shared" si="7"/>
        <v>0</v>
      </c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</row>
    <row r="147" spans="1:36" s="4" customFormat="1" ht="19.5" thickBot="1" x14ac:dyDescent="0.35">
      <c r="A147" s="286">
        <v>2660</v>
      </c>
      <c r="B147" s="59" t="s">
        <v>320</v>
      </c>
      <c r="C147" s="268">
        <v>7260</v>
      </c>
      <c r="D147" s="69" t="s">
        <v>431</v>
      </c>
      <c r="E147" s="115">
        <f>C147</f>
        <v>7260</v>
      </c>
      <c r="F147" s="115">
        <f t="shared" si="6"/>
        <v>0</v>
      </c>
      <c r="G147" s="115">
        <f t="shared" si="7"/>
        <v>0</v>
      </c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</row>
    <row r="148" spans="1:36" s="4" customFormat="1" ht="19.5" thickBot="1" x14ac:dyDescent="0.35">
      <c r="A148" s="286">
        <v>2670</v>
      </c>
      <c r="B148" s="59" t="s">
        <v>321</v>
      </c>
      <c r="C148" s="268">
        <v>4932</v>
      </c>
      <c r="D148" s="325">
        <v>2530</v>
      </c>
      <c r="E148" s="115">
        <f>C148</f>
        <v>4932</v>
      </c>
      <c r="F148" s="115">
        <f t="shared" si="6"/>
        <v>0</v>
      </c>
      <c r="G148" s="115">
        <f t="shared" si="7"/>
        <v>0</v>
      </c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</row>
    <row r="149" spans="1:36" s="4" customFormat="1" ht="19.5" thickBot="1" x14ac:dyDescent="0.35">
      <c r="A149" s="286">
        <v>2680</v>
      </c>
      <c r="B149" s="59" t="s">
        <v>322</v>
      </c>
      <c r="C149" s="268">
        <v>411</v>
      </c>
      <c r="D149" s="69"/>
      <c r="E149" s="115"/>
      <c r="F149" s="115">
        <f t="shared" si="6"/>
        <v>0</v>
      </c>
      <c r="G149" s="115">
        <f t="shared" si="7"/>
        <v>411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</row>
    <row r="150" spans="1:36" s="4" customFormat="1" ht="19.5" thickBot="1" x14ac:dyDescent="0.35">
      <c r="A150" s="286">
        <v>2690</v>
      </c>
      <c r="B150" s="59" t="s">
        <v>323</v>
      </c>
      <c r="C150" s="268">
        <v>80549</v>
      </c>
      <c r="D150" s="69"/>
      <c r="E150" s="115"/>
      <c r="F150" s="115">
        <f t="shared" si="6"/>
        <v>72774</v>
      </c>
      <c r="G150" s="115">
        <f t="shared" si="7"/>
        <v>7775</v>
      </c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>
        <v>517</v>
      </c>
      <c r="Z150" s="106"/>
      <c r="AA150" s="106">
        <v>1869</v>
      </c>
      <c r="AB150" s="106">
        <v>8033</v>
      </c>
      <c r="AC150" s="106">
        <v>13411</v>
      </c>
      <c r="AD150" s="106">
        <v>22590</v>
      </c>
      <c r="AE150" s="106">
        <v>6482</v>
      </c>
      <c r="AF150" s="106">
        <v>13277</v>
      </c>
      <c r="AG150" s="106">
        <v>6595</v>
      </c>
      <c r="AH150" s="106"/>
      <c r="AI150" s="106"/>
      <c r="AJ150" s="106"/>
    </row>
    <row r="151" spans="1:36" s="4" customFormat="1" ht="19.5" thickBot="1" x14ac:dyDescent="0.35">
      <c r="A151" s="286">
        <v>2700</v>
      </c>
      <c r="B151" s="59" t="s">
        <v>324</v>
      </c>
      <c r="C151" s="268">
        <v>21302</v>
      </c>
      <c r="D151" s="69"/>
      <c r="E151" s="115"/>
      <c r="F151" s="115">
        <f t="shared" si="6"/>
        <v>21302</v>
      </c>
      <c r="G151" s="115">
        <f t="shared" si="7"/>
        <v>0</v>
      </c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>
        <v>2661</v>
      </c>
      <c r="V151" s="106">
        <v>1763</v>
      </c>
      <c r="W151" s="106"/>
      <c r="X151" s="106"/>
      <c r="Y151" s="106"/>
      <c r="Z151" s="106"/>
      <c r="AA151" s="106"/>
      <c r="AB151" s="106">
        <v>982</v>
      </c>
      <c r="AC151" s="106">
        <v>1715</v>
      </c>
      <c r="AD151" s="106">
        <v>2853</v>
      </c>
      <c r="AE151" s="106">
        <v>9610</v>
      </c>
      <c r="AF151" s="106">
        <v>1718</v>
      </c>
      <c r="AG151" s="106"/>
      <c r="AH151" s="106"/>
      <c r="AI151" s="106"/>
      <c r="AJ151" s="106"/>
    </row>
    <row r="152" spans="1:36" s="4" customFormat="1" ht="19.5" thickBot="1" x14ac:dyDescent="0.35">
      <c r="A152" s="286">
        <v>2710</v>
      </c>
      <c r="B152" s="59" t="s">
        <v>325</v>
      </c>
      <c r="C152" s="268">
        <v>4041</v>
      </c>
      <c r="D152" s="69" t="s">
        <v>384</v>
      </c>
      <c r="E152" s="115">
        <f>C152</f>
        <v>4041</v>
      </c>
      <c r="F152" s="115">
        <f t="shared" si="6"/>
        <v>0</v>
      </c>
      <c r="G152" s="115">
        <f t="shared" si="7"/>
        <v>0</v>
      </c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</row>
    <row r="153" spans="1:36" s="4" customFormat="1" ht="19.5" thickBot="1" x14ac:dyDescent="0.35">
      <c r="A153" s="286">
        <v>2720</v>
      </c>
      <c r="B153" s="59" t="s">
        <v>326</v>
      </c>
      <c r="C153" s="268">
        <v>0</v>
      </c>
      <c r="D153" s="69"/>
      <c r="E153" s="115"/>
      <c r="F153" s="115">
        <f t="shared" si="6"/>
        <v>0</v>
      </c>
      <c r="G153" s="115">
        <f t="shared" si="7"/>
        <v>0</v>
      </c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</row>
    <row r="154" spans="1:36" s="4" customFormat="1" ht="19.5" thickBot="1" x14ac:dyDescent="0.35">
      <c r="A154" s="286">
        <v>2730</v>
      </c>
      <c r="B154" s="59" t="s">
        <v>327</v>
      </c>
      <c r="C154" s="268">
        <v>2740</v>
      </c>
      <c r="D154" s="69" t="s">
        <v>429</v>
      </c>
      <c r="E154" s="115">
        <f>C154</f>
        <v>2740</v>
      </c>
      <c r="F154" s="115">
        <f t="shared" si="6"/>
        <v>0</v>
      </c>
      <c r="G154" s="115">
        <f t="shared" si="7"/>
        <v>0</v>
      </c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</row>
    <row r="155" spans="1:36" s="4" customFormat="1" ht="19.5" thickBot="1" x14ac:dyDescent="0.35">
      <c r="A155" s="286">
        <v>2740</v>
      </c>
      <c r="B155" s="59" t="s">
        <v>328</v>
      </c>
      <c r="C155" s="268">
        <v>13288</v>
      </c>
      <c r="D155" s="69"/>
      <c r="E155" s="115"/>
      <c r="F155" s="115">
        <f t="shared" si="6"/>
        <v>2135</v>
      </c>
      <c r="G155" s="115">
        <f>IF(ISBLANK(E155),C155-F155,C155-E155)-7000</f>
        <v>4153</v>
      </c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>
        <v>2122</v>
      </c>
      <c r="U155" s="106">
        <v>13</v>
      </c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</row>
    <row r="156" spans="1:36" s="4" customFormat="1" ht="19.5" thickBot="1" x14ac:dyDescent="0.35">
      <c r="A156" s="286">
        <v>2750</v>
      </c>
      <c r="B156" s="59" t="s">
        <v>329</v>
      </c>
      <c r="C156" s="268">
        <v>2123</v>
      </c>
      <c r="D156" s="69" t="s">
        <v>429</v>
      </c>
      <c r="E156" s="115">
        <f>C156</f>
        <v>2123</v>
      </c>
      <c r="F156" s="115">
        <f t="shared" si="6"/>
        <v>0</v>
      </c>
      <c r="G156" s="115">
        <f t="shared" si="7"/>
        <v>0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</row>
    <row r="157" spans="1:36" s="4" customFormat="1" ht="19.5" thickBot="1" x14ac:dyDescent="0.35">
      <c r="A157" s="286">
        <v>2760</v>
      </c>
      <c r="B157" s="59" t="s">
        <v>330</v>
      </c>
      <c r="C157" s="268">
        <v>1986</v>
      </c>
      <c r="D157" s="69" t="s">
        <v>384</v>
      </c>
      <c r="E157" s="115">
        <f>C157</f>
        <v>1986</v>
      </c>
      <c r="F157" s="115">
        <f t="shared" si="6"/>
        <v>0</v>
      </c>
      <c r="G157" s="115">
        <f t="shared" si="7"/>
        <v>0</v>
      </c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</row>
    <row r="158" spans="1:36" s="4" customFormat="1" ht="19.5" thickBot="1" x14ac:dyDescent="0.35">
      <c r="A158" s="286">
        <v>2770</v>
      </c>
      <c r="B158" s="59" t="s">
        <v>331</v>
      </c>
      <c r="C158" s="268">
        <v>10891</v>
      </c>
      <c r="D158" s="69"/>
      <c r="E158" s="115"/>
      <c r="F158" s="115">
        <f t="shared" si="6"/>
        <v>10891</v>
      </c>
      <c r="G158" s="115">
        <f t="shared" si="7"/>
        <v>0</v>
      </c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>
        <v>10891</v>
      </c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</row>
    <row r="159" spans="1:36" s="4" customFormat="1" ht="19.5" thickBot="1" x14ac:dyDescent="0.35">
      <c r="A159" s="286">
        <v>2780</v>
      </c>
      <c r="B159" s="59" t="s">
        <v>332</v>
      </c>
      <c r="C159" s="268">
        <v>1370</v>
      </c>
      <c r="D159" s="69" t="s">
        <v>384</v>
      </c>
      <c r="E159" s="115">
        <f>C159</f>
        <v>1370</v>
      </c>
      <c r="F159" s="115">
        <f t="shared" si="6"/>
        <v>0</v>
      </c>
      <c r="G159" s="115">
        <f t="shared" si="7"/>
        <v>0</v>
      </c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</row>
    <row r="160" spans="1:36" s="4" customFormat="1" ht="19.5" thickBot="1" x14ac:dyDescent="0.35">
      <c r="A160" s="286">
        <v>2790</v>
      </c>
      <c r="B160" s="59" t="s">
        <v>449</v>
      </c>
      <c r="C160" s="268">
        <v>0</v>
      </c>
      <c r="D160" s="69"/>
      <c r="E160" s="115"/>
      <c r="F160" s="115">
        <f t="shared" si="6"/>
        <v>0</v>
      </c>
      <c r="G160" s="115">
        <f t="shared" si="7"/>
        <v>0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</row>
    <row r="161" spans="1:36" s="4" customFormat="1" ht="19.5" thickBot="1" x14ac:dyDescent="0.35">
      <c r="A161" s="286">
        <v>2800</v>
      </c>
      <c r="B161" s="59" t="s">
        <v>334</v>
      </c>
      <c r="C161" s="268">
        <v>0</v>
      </c>
      <c r="D161" s="69"/>
      <c r="E161" s="115">
        <f>C161</f>
        <v>0</v>
      </c>
      <c r="F161" s="115">
        <f t="shared" si="6"/>
        <v>0</v>
      </c>
      <c r="G161" s="115">
        <f t="shared" si="7"/>
        <v>0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</row>
    <row r="162" spans="1:36" s="4" customFormat="1" ht="19.5" thickBot="1" x14ac:dyDescent="0.35">
      <c r="A162" s="286">
        <v>2810</v>
      </c>
      <c r="B162" s="59" t="s">
        <v>335</v>
      </c>
      <c r="C162" s="268">
        <v>16370</v>
      </c>
      <c r="D162" s="69"/>
      <c r="E162" s="115"/>
      <c r="F162" s="115">
        <f t="shared" si="6"/>
        <v>16370</v>
      </c>
      <c r="G162" s="115">
        <f t="shared" si="7"/>
        <v>0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>
        <v>1937</v>
      </c>
      <c r="X162" s="106"/>
      <c r="Y162" s="106">
        <v>14419</v>
      </c>
      <c r="Z162" s="106"/>
      <c r="AA162" s="106"/>
      <c r="AB162" s="106"/>
      <c r="AC162" s="106"/>
      <c r="AD162" s="106"/>
      <c r="AE162" s="106">
        <v>14</v>
      </c>
      <c r="AF162" s="106"/>
      <c r="AG162" s="106"/>
      <c r="AH162" s="106"/>
      <c r="AI162" s="106"/>
      <c r="AJ162" s="106"/>
    </row>
    <row r="163" spans="1:36" s="4" customFormat="1" ht="19.5" thickBot="1" x14ac:dyDescent="0.35">
      <c r="A163" s="286">
        <v>2820</v>
      </c>
      <c r="B163" s="59" t="s">
        <v>336</v>
      </c>
      <c r="C163" s="268">
        <v>959</v>
      </c>
      <c r="D163" s="69" t="s">
        <v>427</v>
      </c>
      <c r="E163" s="115">
        <f>C163</f>
        <v>959</v>
      </c>
      <c r="F163" s="115">
        <f t="shared" si="6"/>
        <v>0</v>
      </c>
      <c r="G163" s="115">
        <f t="shared" si="7"/>
        <v>0</v>
      </c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</row>
    <row r="164" spans="1:36" s="4" customFormat="1" ht="19.5" thickBot="1" x14ac:dyDescent="0.35">
      <c r="A164" s="286">
        <v>2830</v>
      </c>
      <c r="B164" s="59" t="s">
        <v>337</v>
      </c>
      <c r="C164" s="268">
        <v>6575</v>
      </c>
      <c r="D164" s="325">
        <v>2180</v>
      </c>
      <c r="E164" s="115">
        <v>6575</v>
      </c>
      <c r="F164" s="115">
        <f t="shared" si="6"/>
        <v>0</v>
      </c>
      <c r="G164" s="115">
        <f t="shared" si="7"/>
        <v>0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</row>
    <row r="165" spans="1:36" s="4" customFormat="1" ht="19.5" thickBot="1" x14ac:dyDescent="0.35">
      <c r="A165" s="286">
        <v>2840</v>
      </c>
      <c r="B165" s="59" t="s">
        <v>338</v>
      </c>
      <c r="C165" s="268">
        <v>1370</v>
      </c>
      <c r="D165" s="69" t="s">
        <v>427</v>
      </c>
      <c r="E165" s="115">
        <f>C165</f>
        <v>1370</v>
      </c>
      <c r="F165" s="115">
        <f t="shared" si="6"/>
        <v>0</v>
      </c>
      <c r="G165" s="115">
        <f t="shared" si="7"/>
        <v>0</v>
      </c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</row>
    <row r="166" spans="1:36" s="4" customFormat="1" ht="19.5" thickBot="1" x14ac:dyDescent="0.35">
      <c r="A166" s="286">
        <v>2862</v>
      </c>
      <c r="B166" s="59" t="s">
        <v>339</v>
      </c>
      <c r="C166" s="268">
        <v>479</v>
      </c>
      <c r="D166" s="69" t="s">
        <v>383</v>
      </c>
      <c r="E166" s="115">
        <f>C166</f>
        <v>479</v>
      </c>
      <c r="F166" s="115">
        <f t="shared" si="6"/>
        <v>0</v>
      </c>
      <c r="G166" s="115">
        <f t="shared" si="7"/>
        <v>0</v>
      </c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</row>
    <row r="167" spans="1:36" s="4" customFormat="1" ht="19.5" thickBot="1" x14ac:dyDescent="0.35">
      <c r="A167" s="286">
        <v>2865</v>
      </c>
      <c r="B167" s="59" t="s">
        <v>340</v>
      </c>
      <c r="C167" s="268">
        <v>0</v>
      </c>
      <c r="D167" s="69"/>
      <c r="E167" s="115"/>
      <c r="F167" s="115">
        <f t="shared" si="6"/>
        <v>0</v>
      </c>
      <c r="G167" s="115">
        <f t="shared" si="7"/>
        <v>0</v>
      </c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</row>
    <row r="168" spans="1:36" s="4" customFormat="1" ht="19.5" thickBot="1" x14ac:dyDescent="0.35">
      <c r="A168" s="286">
        <v>3000</v>
      </c>
      <c r="B168" s="59" t="s">
        <v>341</v>
      </c>
      <c r="C168" s="268">
        <v>52604</v>
      </c>
      <c r="D168" s="69"/>
      <c r="E168" s="115"/>
      <c r="F168" s="115">
        <f t="shared" si="6"/>
        <v>52604</v>
      </c>
      <c r="G168" s="115">
        <f t="shared" si="7"/>
        <v>0</v>
      </c>
      <c r="H168" s="106"/>
      <c r="I168" s="106"/>
      <c r="J168" s="106"/>
      <c r="K168" s="106"/>
      <c r="L168" s="106"/>
      <c r="M168" s="106">
        <v>4693</v>
      </c>
      <c r="N168" s="106">
        <v>9589</v>
      </c>
      <c r="O168" s="106"/>
      <c r="P168" s="106"/>
      <c r="Q168" s="106"/>
      <c r="R168" s="106"/>
      <c r="S168" s="106">
        <v>24857</v>
      </c>
      <c r="T168" s="106"/>
      <c r="U168" s="106"/>
      <c r="V168" s="106">
        <v>13465</v>
      </c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</row>
    <row r="169" spans="1:36" s="4" customFormat="1" ht="19.5" thickBot="1" x14ac:dyDescent="0.35">
      <c r="A169" s="286">
        <v>3010</v>
      </c>
      <c r="B169" s="59" t="s">
        <v>450</v>
      </c>
      <c r="C169" s="268">
        <v>0</v>
      </c>
      <c r="D169" s="69"/>
      <c r="E169" s="115"/>
      <c r="F169" s="115">
        <f t="shared" si="6"/>
        <v>0</v>
      </c>
      <c r="G169" s="115">
        <f t="shared" si="7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</row>
    <row r="170" spans="1:36" s="4" customFormat="1" ht="19.5" thickBot="1" x14ac:dyDescent="0.35">
      <c r="A170" s="286">
        <v>3020</v>
      </c>
      <c r="B170" s="59" t="s">
        <v>451</v>
      </c>
      <c r="C170" s="268">
        <v>0</v>
      </c>
      <c r="D170" s="69"/>
      <c r="E170" s="115"/>
      <c r="F170" s="115">
        <f t="shared" si="6"/>
        <v>0</v>
      </c>
      <c r="G170" s="115">
        <f t="shared" si="7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</row>
    <row r="171" spans="1:36" s="4" customFormat="1" ht="19.5" thickBot="1" x14ac:dyDescent="0.35">
      <c r="A171" s="286">
        <v>3030</v>
      </c>
      <c r="B171" s="59" t="s">
        <v>344</v>
      </c>
      <c r="C171" s="268">
        <v>479</v>
      </c>
      <c r="D171" s="69" t="s">
        <v>383</v>
      </c>
      <c r="E171" s="115">
        <f>C171</f>
        <v>479</v>
      </c>
      <c r="F171" s="115">
        <f t="shared" si="6"/>
        <v>0</v>
      </c>
      <c r="G171" s="115">
        <f t="shared" si="7"/>
        <v>0</v>
      </c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</row>
    <row r="172" spans="1:36" s="4" customFormat="1" ht="19.5" thickBot="1" x14ac:dyDescent="0.35">
      <c r="A172" s="286">
        <v>3040</v>
      </c>
      <c r="B172" s="59" t="s">
        <v>345</v>
      </c>
      <c r="C172" s="268">
        <v>479</v>
      </c>
      <c r="D172" s="69" t="s">
        <v>381</v>
      </c>
      <c r="E172" s="115">
        <f>C172</f>
        <v>479</v>
      </c>
      <c r="F172" s="115">
        <f t="shared" si="6"/>
        <v>0</v>
      </c>
      <c r="G172" s="115">
        <f t="shared" si="7"/>
        <v>0</v>
      </c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</row>
    <row r="173" spans="1:36" s="4" customFormat="1" ht="19.5" thickBot="1" x14ac:dyDescent="0.35">
      <c r="A173" s="286">
        <v>3050</v>
      </c>
      <c r="B173" s="59" t="s">
        <v>346</v>
      </c>
      <c r="C173" s="268">
        <v>0</v>
      </c>
      <c r="D173" s="69"/>
      <c r="E173" s="115"/>
      <c r="F173" s="115">
        <f t="shared" si="6"/>
        <v>0</v>
      </c>
      <c r="G173" s="115">
        <f t="shared" si="7"/>
        <v>0</v>
      </c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</row>
    <row r="174" spans="1:36" s="4" customFormat="1" ht="19.5" thickBot="1" x14ac:dyDescent="0.35">
      <c r="A174" s="286">
        <v>3060</v>
      </c>
      <c r="B174" s="59" t="s">
        <v>347</v>
      </c>
      <c r="C174" s="268">
        <v>0</v>
      </c>
      <c r="D174" s="69"/>
      <c r="E174" s="115"/>
      <c r="F174" s="115">
        <f t="shared" ref="F174:F201" si="8">SUM(H174:AJ174)</f>
        <v>0</v>
      </c>
      <c r="G174" s="115">
        <f t="shared" si="7"/>
        <v>0</v>
      </c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</row>
    <row r="175" spans="1:36" s="4" customFormat="1" ht="19.5" thickBot="1" x14ac:dyDescent="0.35">
      <c r="A175" s="286">
        <v>3070</v>
      </c>
      <c r="B175" s="59" t="s">
        <v>348</v>
      </c>
      <c r="C175" s="268">
        <v>137</v>
      </c>
      <c r="D175" s="69" t="s">
        <v>381</v>
      </c>
      <c r="E175" s="115">
        <f>C175</f>
        <v>137</v>
      </c>
      <c r="F175" s="115">
        <f t="shared" si="8"/>
        <v>0</v>
      </c>
      <c r="G175" s="115">
        <f t="shared" si="7"/>
        <v>0</v>
      </c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</row>
    <row r="176" spans="1:36" s="4" customFormat="1" ht="19.5" thickBot="1" x14ac:dyDescent="0.35">
      <c r="A176" s="286">
        <v>3080</v>
      </c>
      <c r="B176" s="59" t="s">
        <v>349</v>
      </c>
      <c r="C176" s="268">
        <v>24453</v>
      </c>
      <c r="D176" s="69" t="s">
        <v>409</v>
      </c>
      <c r="E176" s="115">
        <f>C176</f>
        <v>24453</v>
      </c>
      <c r="F176" s="115">
        <f t="shared" si="8"/>
        <v>0</v>
      </c>
      <c r="G176" s="115">
        <f t="shared" si="7"/>
        <v>0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</row>
    <row r="177" spans="1:36" s="4" customFormat="1" ht="19.5" thickBot="1" x14ac:dyDescent="0.35">
      <c r="A177" s="286">
        <v>3085</v>
      </c>
      <c r="B177" s="59" t="s">
        <v>350</v>
      </c>
      <c r="C177" s="268">
        <v>8493</v>
      </c>
      <c r="D177" s="69" t="s">
        <v>409</v>
      </c>
      <c r="E177" s="115">
        <f>C177</f>
        <v>8493</v>
      </c>
      <c r="F177" s="115">
        <f t="shared" si="8"/>
        <v>0</v>
      </c>
      <c r="G177" s="115">
        <f t="shared" si="7"/>
        <v>0</v>
      </c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</row>
    <row r="178" spans="1:36" s="4" customFormat="1" ht="19.5" thickBot="1" x14ac:dyDescent="0.35">
      <c r="A178" s="286">
        <v>3090</v>
      </c>
      <c r="B178" s="59" t="s">
        <v>351</v>
      </c>
      <c r="C178" s="268">
        <v>26507</v>
      </c>
      <c r="D178" s="69"/>
      <c r="E178" s="115"/>
      <c r="F178" s="115">
        <f t="shared" si="8"/>
        <v>26507</v>
      </c>
      <c r="G178" s="115">
        <f t="shared" si="7"/>
        <v>0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>
        <v>18671</v>
      </c>
      <c r="S178" s="106"/>
      <c r="T178" s="106"/>
      <c r="U178" s="106"/>
      <c r="V178" s="106"/>
      <c r="W178" s="106"/>
      <c r="X178" s="106"/>
      <c r="Y178" s="106"/>
      <c r="Z178" s="106"/>
      <c r="AA178" s="106">
        <v>7836</v>
      </c>
      <c r="AB178" s="106"/>
      <c r="AC178" s="106"/>
      <c r="AD178" s="106"/>
      <c r="AE178" s="106"/>
      <c r="AF178" s="106"/>
      <c r="AG178" s="106"/>
      <c r="AH178" s="106"/>
      <c r="AI178" s="106"/>
      <c r="AJ178" s="106"/>
    </row>
    <row r="179" spans="1:36" s="4" customFormat="1" ht="19.5" thickBot="1" x14ac:dyDescent="0.35">
      <c r="A179" s="286">
        <v>3100</v>
      </c>
      <c r="B179" s="59" t="s">
        <v>352</v>
      </c>
      <c r="C179" s="268">
        <v>5069</v>
      </c>
      <c r="D179" s="69" t="s">
        <v>409</v>
      </c>
      <c r="E179" s="115">
        <f>C179</f>
        <v>5069</v>
      </c>
      <c r="F179" s="115">
        <f t="shared" si="8"/>
        <v>0</v>
      </c>
      <c r="G179" s="115">
        <f t="shared" si="7"/>
        <v>0</v>
      </c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</row>
    <row r="180" spans="1:36" s="4" customFormat="1" ht="19.5" thickBot="1" x14ac:dyDescent="0.35">
      <c r="A180" s="286">
        <v>3110</v>
      </c>
      <c r="B180" s="59" t="s">
        <v>353</v>
      </c>
      <c r="C180" s="268">
        <v>17740</v>
      </c>
      <c r="D180" s="69"/>
      <c r="E180" s="115"/>
      <c r="F180" s="115">
        <f t="shared" si="8"/>
        <v>17740</v>
      </c>
      <c r="G180" s="115">
        <f t="shared" si="7"/>
        <v>0</v>
      </c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>
        <v>17740</v>
      </c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</row>
    <row r="181" spans="1:36" s="4" customFormat="1" ht="19.5" thickBot="1" x14ac:dyDescent="0.35">
      <c r="A181" s="286">
        <v>3120</v>
      </c>
      <c r="B181" s="59" t="s">
        <v>354</v>
      </c>
      <c r="C181" s="268">
        <v>353089</v>
      </c>
      <c r="D181" s="69"/>
      <c r="E181" s="115"/>
      <c r="F181" s="115">
        <f t="shared" si="8"/>
        <v>353089</v>
      </c>
      <c r="G181" s="115">
        <f t="shared" si="7"/>
        <v>0</v>
      </c>
      <c r="H181" s="106"/>
      <c r="I181" s="106"/>
      <c r="J181" s="106"/>
      <c r="K181" s="106"/>
      <c r="L181" s="106"/>
      <c r="M181" s="106">
        <v>51937</v>
      </c>
      <c r="N181" s="106"/>
      <c r="O181" s="106">
        <v>93696</v>
      </c>
      <c r="P181" s="106">
        <v>21928</v>
      </c>
      <c r="Q181" s="106">
        <v>25300</v>
      </c>
      <c r="R181" s="106">
        <v>25918</v>
      </c>
      <c r="S181" s="106">
        <v>30172</v>
      </c>
      <c r="T181" s="106">
        <v>36635</v>
      </c>
      <c r="U181" s="106">
        <v>21878</v>
      </c>
      <c r="V181" s="106"/>
      <c r="W181" s="106">
        <f>21407+20599</f>
        <v>42006</v>
      </c>
      <c r="X181" s="106">
        <v>3619</v>
      </c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</row>
    <row r="182" spans="1:36" s="4" customFormat="1" ht="19.5" thickBot="1" x14ac:dyDescent="0.35">
      <c r="A182" s="286">
        <v>3130</v>
      </c>
      <c r="B182" s="59" t="s">
        <v>355</v>
      </c>
      <c r="C182" s="268">
        <v>5137</v>
      </c>
      <c r="D182" s="69" t="s">
        <v>409</v>
      </c>
      <c r="E182" s="115">
        <f>C182</f>
        <v>5137</v>
      </c>
      <c r="F182" s="115">
        <f t="shared" si="8"/>
        <v>0</v>
      </c>
      <c r="G182" s="115">
        <f t="shared" si="7"/>
        <v>0</v>
      </c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</row>
    <row r="183" spans="1:36" s="4" customFormat="1" ht="19.5" thickBot="1" x14ac:dyDescent="0.35">
      <c r="A183" s="286">
        <v>3140</v>
      </c>
      <c r="B183" s="59" t="s">
        <v>356</v>
      </c>
      <c r="C183" s="268">
        <v>53563</v>
      </c>
      <c r="D183" s="69"/>
      <c r="E183" s="115"/>
      <c r="F183" s="115">
        <f t="shared" si="8"/>
        <v>53563</v>
      </c>
      <c r="G183" s="115">
        <f t="shared" si="7"/>
        <v>0</v>
      </c>
      <c r="H183" s="106"/>
      <c r="I183" s="106"/>
      <c r="J183" s="106"/>
      <c r="K183" s="106"/>
      <c r="L183" s="106"/>
      <c r="M183" s="106"/>
      <c r="N183" s="106"/>
      <c r="O183" s="106">
        <v>16354</v>
      </c>
      <c r="P183" s="106"/>
      <c r="Q183" s="106"/>
      <c r="R183" s="106"/>
      <c r="S183" s="106"/>
      <c r="T183" s="106"/>
      <c r="U183" s="106"/>
      <c r="V183" s="106"/>
      <c r="W183" s="106"/>
      <c r="X183" s="106">
        <v>32760</v>
      </c>
      <c r="Y183" s="106"/>
      <c r="Z183" s="106">
        <v>4449</v>
      </c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</row>
    <row r="184" spans="1:36" s="4" customFormat="1" ht="19.5" thickBot="1" x14ac:dyDescent="0.35">
      <c r="A184" s="286">
        <v>3145</v>
      </c>
      <c r="B184" s="59" t="s">
        <v>357</v>
      </c>
      <c r="C184" s="268">
        <v>6781</v>
      </c>
      <c r="D184" s="69" t="s">
        <v>409</v>
      </c>
      <c r="E184" s="115">
        <f>C184</f>
        <v>6781</v>
      </c>
      <c r="F184" s="115">
        <f t="shared" si="8"/>
        <v>0</v>
      </c>
      <c r="G184" s="115">
        <f t="shared" si="7"/>
        <v>0</v>
      </c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</row>
    <row r="185" spans="1:36" s="4" customFormat="1" ht="19.5" thickBot="1" x14ac:dyDescent="0.35">
      <c r="A185" s="286">
        <v>3146</v>
      </c>
      <c r="B185" s="59" t="s">
        <v>358</v>
      </c>
      <c r="C185" s="268">
        <v>0</v>
      </c>
      <c r="D185" s="69"/>
      <c r="E185" s="115"/>
      <c r="F185" s="115">
        <f t="shared" si="8"/>
        <v>0</v>
      </c>
      <c r="G185" s="115">
        <f t="shared" si="7"/>
        <v>0</v>
      </c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</row>
    <row r="186" spans="1:36" s="4" customFormat="1" ht="19.5" thickBot="1" x14ac:dyDescent="0.35">
      <c r="A186" s="286">
        <v>3147</v>
      </c>
      <c r="B186" s="59" t="s">
        <v>359</v>
      </c>
      <c r="C186" s="268">
        <v>0</v>
      </c>
      <c r="D186" s="69"/>
      <c r="E186" s="115"/>
      <c r="F186" s="115">
        <f t="shared" si="8"/>
        <v>0</v>
      </c>
      <c r="G186" s="115">
        <f t="shared" si="7"/>
        <v>0</v>
      </c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</row>
    <row r="187" spans="1:36" s="4" customFormat="1" ht="19.5" thickBot="1" x14ac:dyDescent="0.35">
      <c r="A187" s="286">
        <v>3148</v>
      </c>
      <c r="B187" s="59" t="s">
        <v>360</v>
      </c>
      <c r="C187" s="268">
        <v>0</v>
      </c>
      <c r="D187" s="69"/>
      <c r="E187" s="115"/>
      <c r="F187" s="115">
        <f t="shared" si="8"/>
        <v>0</v>
      </c>
      <c r="G187" s="115">
        <f t="shared" si="7"/>
        <v>0</v>
      </c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</row>
    <row r="188" spans="1:36" s="4" customFormat="1" ht="19.5" thickBot="1" x14ac:dyDescent="0.35">
      <c r="A188" s="286">
        <v>3200</v>
      </c>
      <c r="B188" s="59" t="s">
        <v>361</v>
      </c>
      <c r="C188" s="268">
        <v>19315</v>
      </c>
      <c r="D188" s="69"/>
      <c r="E188" s="115"/>
      <c r="F188" s="115">
        <f t="shared" si="8"/>
        <v>19315</v>
      </c>
      <c r="G188" s="115">
        <f t="shared" si="7"/>
        <v>0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>
        <v>18514</v>
      </c>
      <c r="U188" s="106"/>
      <c r="V188" s="106"/>
      <c r="W188" s="106"/>
      <c r="X188" s="106"/>
      <c r="Y188" s="106"/>
      <c r="Z188" s="106"/>
      <c r="AA188" s="106"/>
      <c r="AB188" s="106"/>
      <c r="AC188" s="106">
        <v>801</v>
      </c>
      <c r="AD188" s="106"/>
      <c r="AE188" s="106"/>
      <c r="AF188" s="106"/>
      <c r="AG188" s="106"/>
      <c r="AH188" s="106"/>
      <c r="AI188" s="106"/>
      <c r="AJ188" s="106"/>
    </row>
    <row r="189" spans="1:36" s="4" customFormat="1" ht="19.5" customHeight="1" thickBot="1" x14ac:dyDescent="0.35">
      <c r="A189" s="286">
        <v>3210</v>
      </c>
      <c r="B189" s="59" t="s">
        <v>362</v>
      </c>
      <c r="C189" s="268">
        <v>8082</v>
      </c>
      <c r="D189" s="69" t="s">
        <v>383</v>
      </c>
      <c r="E189" s="115">
        <f>C189</f>
        <v>8082</v>
      </c>
      <c r="F189" s="115">
        <f t="shared" si="8"/>
        <v>0</v>
      </c>
      <c r="G189" s="115">
        <f t="shared" si="7"/>
        <v>0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</row>
    <row r="190" spans="1:36" s="4" customFormat="1" ht="19.5" thickBot="1" x14ac:dyDescent="0.35">
      <c r="A190" s="286">
        <v>3220</v>
      </c>
      <c r="B190" s="59" t="s">
        <v>363</v>
      </c>
      <c r="C190" s="268">
        <v>2329</v>
      </c>
      <c r="D190" s="69" t="s">
        <v>381</v>
      </c>
      <c r="E190" s="115">
        <f>C190</f>
        <v>2329</v>
      </c>
      <c r="F190" s="115">
        <f t="shared" si="8"/>
        <v>0</v>
      </c>
      <c r="G190" s="115">
        <f t="shared" si="7"/>
        <v>0</v>
      </c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</row>
    <row r="191" spans="1:36" s="4" customFormat="1" ht="19.5" thickBot="1" x14ac:dyDescent="0.35">
      <c r="A191" s="286">
        <v>3230</v>
      </c>
      <c r="B191" s="59" t="s">
        <v>364</v>
      </c>
      <c r="C191" s="269">
        <v>68</v>
      </c>
      <c r="D191" s="69" t="s">
        <v>381</v>
      </c>
      <c r="E191" s="115">
        <f>C191</f>
        <v>68</v>
      </c>
      <c r="F191" s="115">
        <f t="shared" si="8"/>
        <v>0</v>
      </c>
      <c r="G191" s="115">
        <f t="shared" si="7"/>
        <v>0</v>
      </c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</row>
    <row r="192" spans="1:36" s="4" customFormat="1" ht="19.5" thickBot="1" x14ac:dyDescent="0.35">
      <c r="A192" s="283">
        <v>8001</v>
      </c>
      <c r="B192" s="59" t="s">
        <v>366</v>
      </c>
      <c r="C192" s="115">
        <v>134797</v>
      </c>
      <c r="D192" s="69"/>
      <c r="E192" s="115"/>
      <c r="F192" s="115">
        <f t="shared" si="8"/>
        <v>134797</v>
      </c>
      <c r="G192" s="115">
        <f t="shared" si="7"/>
        <v>0</v>
      </c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>
        <v>68230</v>
      </c>
      <c r="X192" s="106"/>
      <c r="Y192" s="106"/>
      <c r="Z192" s="106">
        <v>9542</v>
      </c>
      <c r="AA192" s="106"/>
      <c r="AB192" s="106"/>
      <c r="AC192" s="106"/>
      <c r="AD192" s="106">
        <v>24839</v>
      </c>
      <c r="AE192" s="106"/>
      <c r="AF192" s="106">
        <v>32186</v>
      </c>
      <c r="AG192" s="106"/>
      <c r="AH192" s="106"/>
      <c r="AI192" s="106"/>
      <c r="AJ192" s="106"/>
    </row>
    <row r="193" spans="1:36" s="4" customFormat="1" ht="19.5" thickBot="1" x14ac:dyDescent="0.35">
      <c r="A193" s="286">
        <v>9000</v>
      </c>
      <c r="B193" s="59" t="s">
        <v>367</v>
      </c>
      <c r="C193" s="115">
        <v>0</v>
      </c>
      <c r="D193" s="70"/>
      <c r="E193" s="115"/>
      <c r="F193" s="115">
        <f>SUM(H193:AJ193)</f>
        <v>0</v>
      </c>
      <c r="G193" s="115">
        <f>IF(ISBLANK(E193),C193-F193,C193-E193)</f>
        <v>0</v>
      </c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</row>
    <row r="194" spans="1:36" ht="19.5" customHeight="1" thickBot="1" x14ac:dyDescent="0.3">
      <c r="A194" s="284">
        <v>9025</v>
      </c>
      <c r="B194" s="65" t="s">
        <v>381</v>
      </c>
      <c r="C194" s="115">
        <f ca="1">SUMIF($D$14:$E$201,"East Central BOCES",$E$14:$E$201)</f>
        <v>39519</v>
      </c>
      <c r="D194" s="70"/>
      <c r="E194" s="115"/>
      <c r="F194" s="115">
        <f t="shared" si="8"/>
        <v>39519</v>
      </c>
      <c r="G194" s="115">
        <f t="shared" ca="1" si="7"/>
        <v>0</v>
      </c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>
        <v>15676</v>
      </c>
      <c r="U194" s="107">
        <v>1689</v>
      </c>
      <c r="V194" s="107"/>
      <c r="W194" s="107"/>
      <c r="X194" s="106"/>
      <c r="Y194" s="107"/>
      <c r="Z194" s="107"/>
      <c r="AA194" s="107">
        <v>15952</v>
      </c>
      <c r="AB194" s="107">
        <v>3320</v>
      </c>
      <c r="AC194" s="107">
        <v>2605</v>
      </c>
      <c r="AD194" s="107">
        <v>277</v>
      </c>
      <c r="AE194" s="107"/>
      <c r="AF194" s="107"/>
      <c r="AG194" s="107"/>
      <c r="AH194" s="107"/>
      <c r="AI194" s="107"/>
      <c r="AJ194" s="107"/>
    </row>
    <row r="195" spans="1:36" ht="19.5" customHeight="1" thickBot="1" x14ac:dyDescent="0.3">
      <c r="A195" s="284">
        <v>9035</v>
      </c>
      <c r="B195" s="65" t="s">
        <v>382</v>
      </c>
      <c r="C195" s="115">
        <f ca="1">SUMIF($D$14:$E$201,"CBOCES",$E$14:$E$201)</f>
        <v>85208</v>
      </c>
      <c r="D195" s="71"/>
      <c r="E195" s="115"/>
      <c r="F195" s="115">
        <f t="shared" si="8"/>
        <v>85208</v>
      </c>
      <c r="G195" s="115">
        <f t="shared" ca="1" si="7"/>
        <v>0</v>
      </c>
      <c r="H195" s="107"/>
      <c r="I195" s="107"/>
      <c r="J195" s="107"/>
      <c r="K195" s="107"/>
      <c r="L195" s="107">
        <v>4031</v>
      </c>
      <c r="M195" s="107">
        <v>5675</v>
      </c>
      <c r="N195" s="107">
        <v>8407</v>
      </c>
      <c r="O195" s="107">
        <v>6075</v>
      </c>
      <c r="P195" s="107">
        <v>7450</v>
      </c>
      <c r="Q195" s="107">
        <v>4000</v>
      </c>
      <c r="R195" s="107">
        <v>8900</v>
      </c>
      <c r="S195" s="107">
        <v>8875</v>
      </c>
      <c r="T195" s="107">
        <v>7600</v>
      </c>
      <c r="U195" s="107">
        <v>4300</v>
      </c>
      <c r="V195" s="107">
        <v>9782</v>
      </c>
      <c r="W195" s="107"/>
      <c r="X195" s="106">
        <v>2071</v>
      </c>
      <c r="Y195" s="107">
        <v>689</v>
      </c>
      <c r="Z195" s="107">
        <v>7353</v>
      </c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</row>
    <row r="196" spans="1:36" ht="19.5" customHeight="1" thickBot="1" x14ac:dyDescent="0.3">
      <c r="A196" s="284">
        <v>9040</v>
      </c>
      <c r="B196" s="66" t="s">
        <v>383</v>
      </c>
      <c r="C196" s="115">
        <f ca="1">SUMIF($D$14:$E$201,"Northeast BOCES",$E$14:$E$201)</f>
        <v>18492</v>
      </c>
      <c r="D196" s="71"/>
      <c r="E196" s="115"/>
      <c r="F196" s="115">
        <f t="shared" si="8"/>
        <v>18492</v>
      </c>
      <c r="G196" s="115">
        <f t="shared" ca="1" si="7"/>
        <v>0</v>
      </c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>
        <v>18492</v>
      </c>
      <c r="U196" s="107"/>
      <c r="V196" s="107"/>
      <c r="W196" s="107"/>
      <c r="X196" s="106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</row>
    <row r="197" spans="1:36" ht="19.5" customHeight="1" thickBot="1" x14ac:dyDescent="0.3">
      <c r="A197" s="284">
        <v>9050</v>
      </c>
      <c r="B197" s="66" t="s">
        <v>428</v>
      </c>
      <c r="C197" s="115">
        <f ca="1">SUMIF($D$14:$E$201,"CONSORTIUM-SJBOCES",$E$14:$E$201)</f>
        <v>27602</v>
      </c>
      <c r="D197" s="71"/>
      <c r="E197" s="115"/>
      <c r="F197" s="115">
        <f t="shared" si="8"/>
        <v>27602</v>
      </c>
      <c r="G197" s="115">
        <f t="shared" ca="1" si="7"/>
        <v>0</v>
      </c>
      <c r="H197" s="108"/>
      <c r="I197" s="108"/>
      <c r="J197" s="108"/>
      <c r="K197" s="108"/>
      <c r="L197" s="108"/>
      <c r="M197" s="108"/>
      <c r="N197" s="108">
        <v>17491</v>
      </c>
      <c r="O197" s="108"/>
      <c r="P197" s="108"/>
      <c r="Q197" s="108"/>
      <c r="R197" s="108"/>
      <c r="S197" s="108">
        <v>10111</v>
      </c>
      <c r="T197" s="108"/>
      <c r="U197" s="108"/>
      <c r="V197" s="108"/>
      <c r="W197" s="108"/>
      <c r="X197" s="106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</row>
    <row r="198" spans="1:36" ht="19.5" customHeight="1" thickBot="1" x14ac:dyDescent="0.3">
      <c r="A198" s="284">
        <v>9055</v>
      </c>
      <c r="B198" s="66" t="s">
        <v>429</v>
      </c>
      <c r="C198" s="115">
        <f ca="1">SUMIF($D$14:$E$201,"San Luis Valley BOCES",$E$14:$E$201)</f>
        <v>15479</v>
      </c>
      <c r="D198" s="71"/>
      <c r="E198" s="115"/>
      <c r="F198" s="115">
        <f t="shared" si="8"/>
        <v>22479</v>
      </c>
      <c r="G198" s="115">
        <f ca="1">IF(ISBLANK(E198),C198-F198,C198-E198)+7000</f>
        <v>0</v>
      </c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>
        <v>991</v>
      </c>
      <c r="V198" s="108"/>
      <c r="W198" s="108"/>
      <c r="X198" s="106"/>
      <c r="Y198" s="108"/>
      <c r="Z198" s="108"/>
      <c r="AA198" s="108">
        <v>7431</v>
      </c>
      <c r="AB198" s="108"/>
      <c r="AC198" s="108"/>
      <c r="AD198" s="108"/>
      <c r="AE198" s="108"/>
      <c r="AF198" s="108"/>
      <c r="AG198" s="108"/>
      <c r="AH198" s="108"/>
      <c r="AI198" s="108"/>
      <c r="AJ198" s="108">
        <v>14057</v>
      </c>
    </row>
    <row r="199" spans="1:36" ht="19.5" customHeight="1" thickBot="1" x14ac:dyDescent="0.3">
      <c r="A199" s="284">
        <v>9060</v>
      </c>
      <c r="B199" s="66" t="s">
        <v>430</v>
      </c>
      <c r="C199" s="115">
        <f ca="1">SUMIF($D$14:$E$201,"South Central BOCES",$E$14:$E$201)</f>
        <v>13013</v>
      </c>
      <c r="D199" s="71"/>
      <c r="E199" s="115"/>
      <c r="F199" s="115">
        <f t="shared" si="8"/>
        <v>11451</v>
      </c>
      <c r="G199" s="115">
        <f t="shared" ca="1" si="7"/>
        <v>1562</v>
      </c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>
        <v>11451</v>
      </c>
      <c r="V199" s="108"/>
      <c r="W199" s="108"/>
      <c r="X199" s="106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</row>
    <row r="200" spans="1:36" ht="19.5" customHeight="1" thickBot="1" x14ac:dyDescent="0.3">
      <c r="A200" s="284">
        <v>9075</v>
      </c>
      <c r="B200" s="65" t="s">
        <v>432</v>
      </c>
      <c r="C200" s="115">
        <f ca="1">SUMIF($D$14:$E$201,"CONSORTIUM-SEBOCES",$E$14:$E$201)</f>
        <v>12054</v>
      </c>
      <c r="D200" s="71"/>
      <c r="E200" s="115"/>
      <c r="F200" s="115">
        <f t="shared" si="8"/>
        <v>12054</v>
      </c>
      <c r="G200" s="115">
        <f t="shared" ca="1" si="7"/>
        <v>0</v>
      </c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>
        <v>2111</v>
      </c>
      <c r="S200" s="108">
        <v>3500</v>
      </c>
      <c r="T200" s="108"/>
      <c r="U200" s="108"/>
      <c r="V200" s="108"/>
      <c r="W200" s="108"/>
      <c r="X200" s="106"/>
      <c r="Y200" s="108"/>
      <c r="Z200" s="108"/>
      <c r="AA200" s="108"/>
      <c r="AB200" s="108">
        <v>3663</v>
      </c>
      <c r="AC200" s="108"/>
      <c r="AD200" s="108"/>
      <c r="AE200" s="108">
        <v>2780</v>
      </c>
      <c r="AF200" s="108"/>
      <c r="AG200" s="108"/>
      <c r="AH200" s="108"/>
      <c r="AI200" s="108"/>
      <c r="AJ200" s="108"/>
    </row>
    <row r="201" spans="1:36" ht="19.5" customHeight="1" thickBot="1" x14ac:dyDescent="0.3">
      <c r="A201" s="284">
        <v>9095</v>
      </c>
      <c r="B201" s="67" t="s">
        <v>384</v>
      </c>
      <c r="C201" s="115">
        <f ca="1">SUMIF($D$14:$E$201,"Northwest BOCES",$E$14:$E$201)</f>
        <v>20068</v>
      </c>
      <c r="D201" s="71"/>
      <c r="E201" s="115"/>
      <c r="F201" s="115">
        <f t="shared" si="8"/>
        <v>20068</v>
      </c>
      <c r="G201" s="115">
        <f t="shared" ca="1" si="7"/>
        <v>0</v>
      </c>
      <c r="H201" s="108"/>
      <c r="I201" s="108"/>
      <c r="J201" s="108"/>
      <c r="K201" s="108"/>
      <c r="L201" s="108"/>
      <c r="M201" s="108"/>
      <c r="N201" s="108"/>
      <c r="O201" s="108"/>
      <c r="P201" s="108">
        <v>6175</v>
      </c>
      <c r="Q201" s="108">
        <v>2423</v>
      </c>
      <c r="R201" s="108"/>
      <c r="S201" s="108"/>
      <c r="T201" s="108"/>
      <c r="U201" s="108">
        <v>11454</v>
      </c>
      <c r="V201" s="108"/>
      <c r="W201" s="108"/>
      <c r="X201" s="106"/>
      <c r="Y201" s="108"/>
      <c r="Z201" s="108"/>
      <c r="AA201" s="108"/>
      <c r="AB201" s="108"/>
      <c r="AC201" s="108"/>
      <c r="AD201" s="108"/>
      <c r="AE201" s="108"/>
      <c r="AF201" s="108"/>
      <c r="AG201" s="108">
        <v>16</v>
      </c>
      <c r="AH201" s="108"/>
      <c r="AI201" s="108"/>
      <c r="AJ201" s="108"/>
    </row>
    <row r="202" spans="1:36" ht="19.5" customHeight="1" thickBot="1" x14ac:dyDescent="0.3">
      <c r="A202" s="285">
        <v>9125</v>
      </c>
      <c r="B202" s="169" t="s">
        <v>385</v>
      </c>
      <c r="C202" s="115">
        <f ca="1">SUMIF($D$14:$E$201,"Rio Blanco BOCES",$E$14:$E$201)</f>
        <v>0</v>
      </c>
      <c r="D202" s="71"/>
      <c r="E202" s="115"/>
      <c r="F202" s="115">
        <f t="shared" ref="F202" si="9">SUM(H202:AJ202)</f>
        <v>0</v>
      </c>
      <c r="G202" s="115">
        <f t="shared" ref="G202" ca="1" si="10">IF(ISBLANK(E202),C202-F202,C202-E202)</f>
        <v>0</v>
      </c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6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</row>
    <row r="203" spans="1:36" ht="16.5" thickBot="1" x14ac:dyDescent="0.3">
      <c r="A203" s="177"/>
      <c r="B203" s="178"/>
      <c r="C203" s="115"/>
      <c r="D203" s="200"/>
      <c r="E203" s="115"/>
      <c r="F203" s="115"/>
      <c r="G203" s="115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6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</row>
    <row r="204" spans="1:36" s="203" customFormat="1" ht="16.5" thickBot="1" x14ac:dyDescent="0.3">
      <c r="A204" s="179"/>
      <c r="B204" s="180"/>
      <c r="C204" s="189">
        <f ca="1">SUM(C14:C203)-E204</f>
        <v>8416108</v>
      </c>
      <c r="D204" s="201"/>
      <c r="E204" s="189">
        <f>SUM(E14:E202)</f>
        <v>247052</v>
      </c>
      <c r="F204" s="189">
        <f>SUM(F14:F201)</f>
        <v>8393106</v>
      </c>
      <c r="G204" s="189">
        <f ca="1">SUM(G14:G201)</f>
        <v>23002</v>
      </c>
      <c r="H204" s="202">
        <f t="shared" ref="H204:AJ204" si="11">SUM(H14:H201)</f>
        <v>0</v>
      </c>
      <c r="I204" s="202">
        <f t="shared" si="11"/>
        <v>0</v>
      </c>
      <c r="J204" s="202">
        <f t="shared" si="11"/>
        <v>0</v>
      </c>
      <c r="K204" s="202">
        <f t="shared" si="11"/>
        <v>156</v>
      </c>
      <c r="L204" s="202">
        <f t="shared" si="11"/>
        <v>147708</v>
      </c>
      <c r="M204" s="202">
        <f t="shared" si="11"/>
        <v>215299</v>
      </c>
      <c r="N204" s="202">
        <f t="shared" si="11"/>
        <v>282397</v>
      </c>
      <c r="O204" s="202">
        <f t="shared" si="11"/>
        <v>638134</v>
      </c>
      <c r="P204" s="202">
        <f t="shared" si="11"/>
        <v>575662</v>
      </c>
      <c r="Q204" s="202">
        <f t="shared" si="11"/>
        <v>759909</v>
      </c>
      <c r="R204" s="202">
        <f t="shared" si="11"/>
        <v>650103</v>
      </c>
      <c r="S204" s="202">
        <f t="shared" si="11"/>
        <v>877845</v>
      </c>
      <c r="T204" s="202">
        <f t="shared" si="11"/>
        <v>493756</v>
      </c>
      <c r="U204" s="202">
        <f t="shared" si="11"/>
        <v>476838</v>
      </c>
      <c r="V204" s="202">
        <f t="shared" si="11"/>
        <v>357992</v>
      </c>
      <c r="W204" s="202">
        <f t="shared" si="11"/>
        <v>414277</v>
      </c>
      <c r="X204" s="202">
        <f t="shared" si="11"/>
        <v>781720</v>
      </c>
      <c r="Y204" s="202">
        <f t="shared" si="11"/>
        <v>282131</v>
      </c>
      <c r="Z204" s="202">
        <f t="shared" si="11"/>
        <v>311682</v>
      </c>
      <c r="AA204" s="202">
        <f t="shared" si="11"/>
        <v>238371</v>
      </c>
      <c r="AB204" s="202">
        <f t="shared" si="11"/>
        <v>89129</v>
      </c>
      <c r="AC204" s="202">
        <f t="shared" si="11"/>
        <v>637697</v>
      </c>
      <c r="AD204" s="202">
        <f t="shared" si="11"/>
        <v>58049</v>
      </c>
      <c r="AE204" s="202">
        <f t="shared" si="11"/>
        <v>21123</v>
      </c>
      <c r="AF204" s="202">
        <f t="shared" si="11"/>
        <v>52409</v>
      </c>
      <c r="AG204" s="202">
        <f t="shared" si="11"/>
        <v>14163</v>
      </c>
      <c r="AH204" s="202">
        <f t="shared" si="11"/>
        <v>2499</v>
      </c>
      <c r="AI204" s="202"/>
      <c r="AJ204" s="202">
        <f t="shared" si="11"/>
        <v>14057</v>
      </c>
    </row>
    <row r="205" spans="1:36" ht="15.75" x14ac:dyDescent="0.25">
      <c r="A205" s="19" t="s">
        <v>365</v>
      </c>
      <c r="B205" s="19" t="s">
        <v>413</v>
      </c>
      <c r="C205" s="52"/>
      <c r="D205" s="51"/>
      <c r="E205" s="52"/>
      <c r="F205" s="52"/>
      <c r="G205" s="5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 ht="15.75" x14ac:dyDescent="0.25">
      <c r="A206" s="19"/>
      <c r="B206" s="19"/>
      <c r="C206" s="52"/>
      <c r="D206" s="51"/>
      <c r="E206" s="52"/>
      <c r="F206" s="52"/>
      <c r="G206" s="5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219"/>
      <c r="X206" s="19"/>
      <c r="Y206" s="19"/>
      <c r="Z206" s="219"/>
      <c r="AA206" s="219"/>
      <c r="AB206" s="219"/>
      <c r="AC206" s="19"/>
      <c r="AD206" s="219"/>
      <c r="AE206" s="219"/>
      <c r="AF206" s="19"/>
      <c r="AG206" s="19"/>
      <c r="AH206" s="19"/>
      <c r="AI206" s="19"/>
      <c r="AJ206" s="19"/>
    </row>
    <row r="207" spans="1:36" ht="15.75" x14ac:dyDescent="0.25">
      <c r="A207" s="19"/>
      <c r="B207" s="19"/>
      <c r="C207" s="52"/>
      <c r="D207" s="51"/>
      <c r="E207" s="52"/>
      <c r="F207" s="52"/>
      <c r="G207" s="5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219"/>
      <c r="S207" s="19"/>
      <c r="T207" s="19"/>
      <c r="U207" s="2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 ht="15.75" x14ac:dyDescent="0.25">
      <c r="A208" s="19"/>
      <c r="B208" s="19"/>
      <c r="C208" s="50"/>
      <c r="D208" s="51"/>
      <c r="E208" s="52"/>
      <c r="F208" s="52"/>
      <c r="G208" s="5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5.75" x14ac:dyDescent="0.25">
      <c r="A209" s="19"/>
      <c r="B209" s="19"/>
      <c r="C209" s="52"/>
      <c r="D209" s="51"/>
      <c r="E209" s="52"/>
      <c r="F209" s="52"/>
      <c r="G209" s="5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5.75" x14ac:dyDescent="0.25">
      <c r="A210" s="19"/>
      <c r="B210" s="19"/>
      <c r="C210" s="52"/>
      <c r="D210" s="51"/>
      <c r="E210" s="52"/>
      <c r="F210" s="52"/>
      <c r="G210" s="5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5.75" x14ac:dyDescent="0.25">
      <c r="A211" s="19"/>
      <c r="B211" s="19"/>
      <c r="C211" s="52"/>
      <c r="D211" s="51"/>
      <c r="E211" s="52"/>
      <c r="F211" s="52"/>
      <c r="G211" s="5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5.75" x14ac:dyDescent="0.25">
      <c r="A212" s="19"/>
      <c r="B212" s="19"/>
      <c r="C212" s="52"/>
      <c r="D212" s="51"/>
      <c r="E212" s="52"/>
      <c r="F212" s="52"/>
      <c r="G212" s="5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 ht="15.75" x14ac:dyDescent="0.25">
      <c r="A213" s="19"/>
      <c r="B213" s="19"/>
      <c r="C213" s="52"/>
      <c r="D213" s="51"/>
      <c r="E213" s="52"/>
      <c r="F213" s="52"/>
      <c r="G213" s="5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5.75" x14ac:dyDescent="0.25">
      <c r="A214" s="19"/>
      <c r="B214" s="19"/>
      <c r="C214" s="52"/>
      <c r="D214" s="51"/>
      <c r="E214" s="52"/>
      <c r="F214" s="52"/>
      <c r="G214" s="5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 ht="15.75" x14ac:dyDescent="0.25">
      <c r="A215" s="19"/>
      <c r="B215" s="19"/>
      <c r="C215" s="52"/>
      <c r="D215" s="51"/>
      <c r="E215" s="52"/>
      <c r="F215" s="52"/>
      <c r="G215" s="5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 ht="15.75" x14ac:dyDescent="0.25">
      <c r="A216" s="19"/>
      <c r="B216" s="19"/>
      <c r="C216" s="52"/>
      <c r="D216" s="51"/>
      <c r="E216" s="52"/>
      <c r="F216" s="52"/>
      <c r="G216" s="5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 ht="15.75" x14ac:dyDescent="0.25">
      <c r="A217" s="19"/>
      <c r="B217" s="19"/>
      <c r="C217" s="52"/>
      <c r="D217" s="51"/>
      <c r="E217" s="52"/>
      <c r="F217" s="52"/>
      <c r="G217" s="5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 ht="15.75" x14ac:dyDescent="0.25">
      <c r="A218" s="19"/>
      <c r="B218" s="19"/>
      <c r="C218" s="52"/>
      <c r="D218" s="51"/>
      <c r="E218" s="52"/>
      <c r="F218" s="52"/>
      <c r="G218" s="5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 ht="15.75" x14ac:dyDescent="0.25">
      <c r="A219" s="19"/>
      <c r="B219" s="19"/>
      <c r="C219" s="52"/>
      <c r="D219" s="51"/>
      <c r="E219" s="52"/>
      <c r="F219" s="52"/>
      <c r="G219" s="5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 ht="15.75" x14ac:dyDescent="0.25">
      <c r="A220" s="19"/>
      <c r="B220" s="19"/>
      <c r="C220" s="52"/>
      <c r="D220" s="51"/>
      <c r="E220" s="52"/>
      <c r="F220" s="52"/>
      <c r="G220" s="5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5.75" x14ac:dyDescent="0.25">
      <c r="A221" s="19"/>
      <c r="B221" s="19"/>
      <c r="C221" s="52"/>
      <c r="D221" s="51"/>
      <c r="E221" s="52"/>
      <c r="F221" s="52"/>
      <c r="G221" s="5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 ht="15.75" x14ac:dyDescent="0.25">
      <c r="A222" s="19"/>
      <c r="B222" s="19"/>
      <c r="C222" s="52"/>
      <c r="D222" s="51"/>
      <c r="E222" s="52"/>
      <c r="F222" s="52"/>
      <c r="G222" s="5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 ht="15.75" x14ac:dyDescent="0.25">
      <c r="A223" s="19"/>
      <c r="B223" s="19"/>
      <c r="C223" s="52"/>
      <c r="D223" s="51"/>
      <c r="E223" s="52"/>
      <c r="F223" s="52"/>
      <c r="G223" s="5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5.75" x14ac:dyDescent="0.25">
      <c r="A224" s="19"/>
      <c r="B224" s="19"/>
      <c r="C224" s="52"/>
      <c r="D224" s="51"/>
      <c r="E224" s="52"/>
      <c r="F224" s="52"/>
      <c r="G224" s="5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 ht="15.75" x14ac:dyDescent="0.25">
      <c r="A225" s="19"/>
      <c r="B225" s="19"/>
      <c r="C225" s="52"/>
      <c r="D225" s="51"/>
      <c r="E225" s="52"/>
      <c r="F225" s="52"/>
      <c r="G225" s="5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5.75" x14ac:dyDescent="0.25">
      <c r="A226" s="19"/>
      <c r="B226" s="19"/>
      <c r="C226" s="52"/>
      <c r="D226" s="51"/>
      <c r="E226" s="52"/>
      <c r="F226" s="52"/>
      <c r="G226" s="5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 ht="15.75" x14ac:dyDescent="0.25">
      <c r="A227" s="19"/>
      <c r="B227" s="19"/>
      <c r="C227" s="52"/>
      <c r="D227" s="51"/>
      <c r="E227" s="52"/>
      <c r="F227" s="52"/>
      <c r="G227" s="5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 ht="15.75" x14ac:dyDescent="0.25">
      <c r="A228" s="19"/>
      <c r="B228" s="19"/>
      <c r="C228" s="52"/>
      <c r="D228" s="51"/>
      <c r="E228" s="52"/>
      <c r="F228" s="52"/>
      <c r="G228" s="5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 ht="15.75" x14ac:dyDescent="0.25">
      <c r="A229" s="19"/>
      <c r="B229" s="19"/>
      <c r="C229" s="52"/>
      <c r="D229" s="51"/>
      <c r="E229" s="52"/>
      <c r="F229" s="52"/>
      <c r="G229" s="5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 ht="15.75" x14ac:dyDescent="0.25">
      <c r="A230" s="19"/>
      <c r="B230" s="19"/>
      <c r="C230" s="52"/>
      <c r="D230" s="51"/>
      <c r="E230" s="52"/>
      <c r="F230" s="52"/>
      <c r="G230" s="5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 ht="15.75" x14ac:dyDescent="0.25">
      <c r="A231" s="19"/>
      <c r="B231" s="19"/>
      <c r="C231" s="52"/>
      <c r="D231" s="51"/>
      <c r="E231" s="52"/>
      <c r="F231" s="52"/>
      <c r="G231" s="5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 ht="15.75" x14ac:dyDescent="0.25">
      <c r="A232" s="19"/>
      <c r="B232" s="19"/>
      <c r="C232" s="52"/>
      <c r="D232" s="51"/>
      <c r="E232" s="52"/>
      <c r="F232" s="52"/>
      <c r="G232" s="5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 ht="15.75" x14ac:dyDescent="0.25">
      <c r="A233" s="19"/>
      <c r="B233" s="19"/>
      <c r="C233" s="52"/>
      <c r="D233" s="51"/>
      <c r="E233" s="52"/>
      <c r="F233" s="52"/>
      <c r="G233" s="5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 ht="15.75" x14ac:dyDescent="0.25">
      <c r="A234" s="19"/>
      <c r="B234" s="19"/>
      <c r="C234" s="52"/>
      <c r="D234" s="51"/>
      <c r="E234" s="52"/>
      <c r="F234" s="52"/>
      <c r="G234" s="5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ht="15.75" x14ac:dyDescent="0.25">
      <c r="A235" s="19"/>
      <c r="B235" s="19"/>
      <c r="C235" s="52"/>
      <c r="D235" s="51"/>
      <c r="E235" s="52"/>
      <c r="F235" s="52"/>
      <c r="G235" s="5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5.75" x14ac:dyDescent="0.25">
      <c r="A236" s="19"/>
      <c r="B236" s="19"/>
      <c r="C236" s="52"/>
      <c r="D236" s="51"/>
      <c r="E236" s="52"/>
      <c r="F236" s="52"/>
      <c r="G236" s="5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ht="15.75" x14ac:dyDescent="0.25">
      <c r="A237" s="19"/>
      <c r="B237" s="19"/>
      <c r="C237" s="52"/>
      <c r="D237" s="51"/>
      <c r="E237" s="52"/>
      <c r="F237" s="52"/>
      <c r="G237" s="5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 ht="15.75" x14ac:dyDescent="0.25">
      <c r="A238" s="19"/>
      <c r="B238" s="19"/>
      <c r="C238" s="52"/>
      <c r="D238" s="51"/>
      <c r="E238" s="52"/>
      <c r="F238" s="52"/>
      <c r="G238" s="52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 ht="15.75" x14ac:dyDescent="0.25">
      <c r="A239" s="19"/>
      <c r="B239" s="19"/>
      <c r="C239" s="52"/>
      <c r="D239" s="51"/>
      <c r="E239" s="52"/>
      <c r="F239" s="52"/>
      <c r="G239" s="52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 ht="15.75" x14ac:dyDescent="0.25">
      <c r="A240" s="19"/>
      <c r="B240" s="19"/>
      <c r="C240" s="52"/>
      <c r="D240" s="51"/>
      <c r="E240" s="52"/>
      <c r="F240" s="52"/>
      <c r="G240" s="5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 ht="15.75" x14ac:dyDescent="0.25">
      <c r="A241" s="19"/>
      <c r="B241" s="19"/>
      <c r="C241" s="52"/>
      <c r="D241" s="51"/>
      <c r="E241" s="52"/>
      <c r="F241" s="52"/>
      <c r="G241" s="5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 ht="15.75" x14ac:dyDescent="0.25">
      <c r="A242" s="19"/>
      <c r="B242" s="19"/>
      <c r="C242" s="52"/>
      <c r="D242" s="51"/>
      <c r="E242" s="52"/>
      <c r="F242" s="52"/>
      <c r="G242" s="5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 ht="15.75" x14ac:dyDescent="0.25">
      <c r="A243" s="19"/>
      <c r="B243" s="19"/>
      <c r="C243" s="52"/>
      <c r="D243" s="51"/>
      <c r="E243" s="52"/>
      <c r="F243" s="52"/>
      <c r="G243" s="5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 ht="15.75" x14ac:dyDescent="0.25">
      <c r="A244" s="19"/>
      <c r="B244" s="19"/>
      <c r="C244" s="52"/>
      <c r="D244" s="51"/>
      <c r="E244" s="52"/>
      <c r="F244" s="52"/>
      <c r="G244" s="5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 ht="15.75" x14ac:dyDescent="0.25">
      <c r="A245" s="19"/>
      <c r="B245" s="19"/>
      <c r="C245" s="52"/>
      <c r="D245" s="51"/>
      <c r="E245" s="52"/>
      <c r="F245" s="52"/>
      <c r="G245" s="5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 ht="15.75" x14ac:dyDescent="0.25">
      <c r="A246" s="19"/>
      <c r="B246" s="19"/>
      <c r="C246" s="52"/>
      <c r="D246" s="51"/>
      <c r="E246" s="52"/>
      <c r="F246" s="52"/>
      <c r="G246" s="5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 ht="15.75" x14ac:dyDescent="0.25">
      <c r="A247" s="19"/>
      <c r="B247" s="19"/>
      <c r="C247" s="52"/>
      <c r="D247" s="51"/>
      <c r="E247" s="52"/>
      <c r="F247" s="52"/>
      <c r="G247" s="5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 ht="15.75" x14ac:dyDescent="0.25">
      <c r="A248" s="19"/>
      <c r="B248" s="19"/>
      <c r="C248" s="52"/>
      <c r="D248" s="51"/>
      <c r="E248" s="52"/>
      <c r="F248" s="52"/>
      <c r="G248" s="5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 ht="15.75" x14ac:dyDescent="0.25">
      <c r="A249" s="19"/>
      <c r="B249" s="19"/>
      <c r="C249" s="52"/>
      <c r="D249" s="51"/>
      <c r="E249" s="52"/>
      <c r="F249" s="52"/>
      <c r="G249" s="5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 ht="15.75" x14ac:dyDescent="0.25">
      <c r="A250" s="19"/>
      <c r="B250" s="19"/>
      <c r="C250" s="52"/>
      <c r="D250" s="51"/>
      <c r="E250" s="52"/>
      <c r="F250" s="52"/>
      <c r="G250" s="5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 ht="15.75" x14ac:dyDescent="0.25">
      <c r="A251" s="19"/>
      <c r="B251" s="19"/>
      <c r="C251" s="52"/>
      <c r="D251" s="51"/>
      <c r="E251" s="52"/>
      <c r="F251" s="52"/>
      <c r="G251" s="5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 ht="15.75" x14ac:dyDescent="0.25">
      <c r="A252" s="19"/>
      <c r="B252" s="19"/>
      <c r="C252" s="52"/>
      <c r="D252" s="51"/>
      <c r="E252" s="52"/>
      <c r="F252" s="52"/>
      <c r="G252" s="5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 ht="15.75" x14ac:dyDescent="0.25">
      <c r="A253" s="19"/>
      <c r="B253" s="19"/>
      <c r="C253" s="52"/>
      <c r="D253" s="51"/>
      <c r="E253" s="52"/>
      <c r="F253" s="52"/>
      <c r="G253" s="5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 ht="15.75" x14ac:dyDescent="0.25">
      <c r="A254" s="19"/>
      <c r="B254" s="19"/>
      <c r="C254" s="52"/>
      <c r="D254" s="51"/>
      <c r="E254" s="52"/>
      <c r="F254" s="52"/>
      <c r="G254" s="5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 ht="15.75" x14ac:dyDescent="0.25">
      <c r="A255" s="19"/>
      <c r="B255" s="19"/>
      <c r="C255" s="52"/>
      <c r="D255" s="51"/>
      <c r="E255" s="52"/>
      <c r="F255" s="52"/>
      <c r="G255" s="5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 ht="15.75" x14ac:dyDescent="0.25">
      <c r="A256" s="19"/>
      <c r="B256" s="19"/>
      <c r="C256" s="52"/>
      <c r="D256" s="51"/>
      <c r="E256" s="52"/>
      <c r="F256" s="52"/>
      <c r="G256" s="5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 ht="15.75" x14ac:dyDescent="0.25">
      <c r="A257" s="19"/>
      <c r="B257" s="19"/>
      <c r="C257" s="52"/>
      <c r="D257" s="51"/>
      <c r="E257" s="52"/>
      <c r="F257" s="52"/>
      <c r="G257" s="5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 ht="15.75" x14ac:dyDescent="0.25">
      <c r="A258" s="19"/>
      <c r="B258" s="19"/>
      <c r="C258" s="52"/>
      <c r="D258" s="51"/>
      <c r="E258" s="52"/>
      <c r="F258" s="52"/>
      <c r="G258" s="5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 ht="15.75" x14ac:dyDescent="0.25">
      <c r="A259" s="19"/>
      <c r="B259" s="19"/>
      <c r="C259" s="52"/>
      <c r="D259" s="51"/>
      <c r="E259" s="52"/>
      <c r="F259" s="52"/>
      <c r="G259" s="5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 ht="15.75" x14ac:dyDescent="0.25">
      <c r="A260" s="19"/>
      <c r="B260" s="19"/>
      <c r="C260" s="52"/>
      <c r="D260" s="51"/>
      <c r="E260" s="52"/>
      <c r="F260" s="52"/>
      <c r="G260" s="5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 ht="15.75" x14ac:dyDescent="0.25">
      <c r="A261" s="19"/>
      <c r="B261" s="19"/>
      <c r="C261" s="52"/>
      <c r="D261" s="51"/>
      <c r="E261" s="52"/>
      <c r="F261" s="52"/>
      <c r="G261" s="5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 ht="15.75" x14ac:dyDescent="0.25">
      <c r="A262" s="19"/>
      <c r="B262" s="19"/>
      <c r="C262" s="52"/>
      <c r="D262" s="51"/>
      <c r="E262" s="52"/>
      <c r="F262" s="52"/>
      <c r="G262" s="5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 ht="15.75" x14ac:dyDescent="0.25">
      <c r="A263" s="19"/>
      <c r="B263" s="19"/>
      <c r="C263" s="52"/>
      <c r="D263" s="51"/>
      <c r="E263" s="52"/>
      <c r="F263" s="52"/>
      <c r="G263" s="5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 ht="15.75" x14ac:dyDescent="0.25">
      <c r="A264" s="19"/>
      <c r="B264" s="19"/>
      <c r="C264" s="52"/>
      <c r="D264" s="51"/>
      <c r="E264" s="52"/>
      <c r="F264" s="52"/>
      <c r="G264" s="5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 ht="15.75" x14ac:dyDescent="0.25">
      <c r="A265" s="19"/>
      <c r="B265" s="19"/>
      <c r="C265" s="52"/>
      <c r="D265" s="51"/>
      <c r="E265" s="52"/>
      <c r="F265" s="52"/>
      <c r="G265" s="5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 ht="15.75" x14ac:dyDescent="0.25">
      <c r="A266" s="19"/>
      <c r="B266" s="19"/>
      <c r="C266" s="52"/>
      <c r="D266" s="51"/>
      <c r="E266" s="52"/>
      <c r="F266" s="52"/>
      <c r="G266" s="5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 ht="15.75" x14ac:dyDescent="0.25">
      <c r="A267" s="19"/>
      <c r="B267" s="19"/>
      <c r="C267" s="52"/>
      <c r="D267" s="51"/>
      <c r="E267" s="52"/>
      <c r="F267" s="52"/>
      <c r="G267" s="5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 ht="15.75" x14ac:dyDescent="0.25">
      <c r="A268" s="19"/>
      <c r="B268" s="19"/>
      <c r="C268" s="52"/>
      <c r="D268" s="51"/>
      <c r="E268" s="52"/>
      <c r="F268" s="52"/>
      <c r="G268" s="5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 ht="15.75" x14ac:dyDescent="0.25">
      <c r="A269" s="19"/>
      <c r="B269" s="19"/>
      <c r="C269" s="52"/>
      <c r="D269" s="51"/>
      <c r="E269" s="52"/>
      <c r="F269" s="52"/>
      <c r="G269" s="5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X206"/>
  <sheetViews>
    <sheetView workbookViewId="0">
      <pane xSplit="7" ySplit="13" topLeftCell="AV14" activePane="bottomRight" state="frozen"/>
      <selection pane="topRight" activeCell="H1" sqref="H1"/>
      <selection pane="bottomLeft" activeCell="A14" sqref="A14"/>
      <selection pane="bottomRight" activeCell="AX14" sqref="AX14"/>
    </sheetView>
  </sheetViews>
  <sheetFormatPr defaultColWidth="9.140625" defaultRowHeight="15" x14ac:dyDescent="0.25"/>
  <cols>
    <col min="1" max="1" width="9.140625" style="2"/>
    <col min="2" max="2" width="29.42578125" style="2" bestFit="1" customWidth="1"/>
    <col min="3" max="3" width="17.7109375" style="2" customWidth="1"/>
    <col min="4" max="4" width="19.7109375" style="20" customWidth="1"/>
    <col min="5" max="5" width="15.140625" style="20" customWidth="1"/>
    <col min="6" max="6" width="15.42578125" style="2" customWidth="1"/>
    <col min="7" max="7" width="15.140625" style="2" customWidth="1"/>
    <col min="8" max="34" width="15.7109375" style="2" customWidth="1"/>
    <col min="35" max="36" width="15.42578125" style="2" bestFit="1" customWidth="1"/>
    <col min="37" max="37" width="15.42578125" style="20" bestFit="1" customWidth="1"/>
    <col min="38" max="46" width="15.7109375" style="20" customWidth="1"/>
    <col min="47" max="50" width="15.42578125" style="20" bestFit="1" customWidth="1"/>
    <col min="51" max="16384" width="9.140625" style="2"/>
  </cols>
  <sheetData>
    <row r="1" spans="1:50" ht="21" x14ac:dyDescent="0.35">
      <c r="A1" s="26" t="s">
        <v>0</v>
      </c>
      <c r="B1" s="27"/>
      <c r="C1" s="28" t="s">
        <v>417</v>
      </c>
      <c r="D1" s="28"/>
      <c r="E1" s="28"/>
      <c r="F1" s="26"/>
      <c r="G1" s="29"/>
      <c r="H1" s="30"/>
      <c r="I1" s="30"/>
      <c r="J1" s="28" t="str">
        <f>A1</f>
        <v>Grant:</v>
      </c>
      <c r="K1" s="28" t="str">
        <f>C1</f>
        <v>Title III-A SAI Formula</v>
      </c>
      <c r="L1" s="26"/>
      <c r="M1" s="26"/>
      <c r="N1" s="29"/>
      <c r="O1" s="29"/>
      <c r="P1" s="30"/>
      <c r="Q1" s="30"/>
      <c r="R1" s="28" t="s">
        <v>0</v>
      </c>
      <c r="S1" s="28" t="str">
        <f>$C$1</f>
        <v>Title III-A SAI Formula</v>
      </c>
      <c r="T1" s="26"/>
      <c r="U1" s="26"/>
      <c r="V1" s="29"/>
      <c r="W1" s="29"/>
      <c r="X1" s="30"/>
      <c r="Y1" s="30"/>
      <c r="Z1" s="28" t="s">
        <v>0</v>
      </c>
      <c r="AA1" s="28" t="str">
        <f>$C$1</f>
        <v>Title III-A SAI Formula</v>
      </c>
      <c r="AB1" s="26"/>
      <c r="AC1" s="26"/>
      <c r="AD1" s="29"/>
      <c r="AE1" s="29"/>
      <c r="AF1" s="30"/>
      <c r="AG1" s="30"/>
      <c r="AH1" s="28"/>
      <c r="AI1" s="292"/>
      <c r="AJ1" s="292"/>
      <c r="AK1" s="292"/>
      <c r="AL1" s="292" t="s">
        <v>0</v>
      </c>
      <c r="AM1" s="292" t="str">
        <f>$C$1</f>
        <v>Title III-A SAI Formula</v>
      </c>
      <c r="AN1" s="290"/>
      <c r="AO1" s="290"/>
      <c r="AP1" s="293"/>
      <c r="AQ1" s="293"/>
      <c r="AR1" s="294"/>
      <c r="AS1" s="294"/>
      <c r="AT1" s="292"/>
      <c r="AU1" s="292"/>
      <c r="AV1" s="292"/>
      <c r="AW1" s="292"/>
      <c r="AX1" s="292"/>
    </row>
    <row r="2" spans="1:50" ht="15.75" x14ac:dyDescent="0.25">
      <c r="A2" s="31" t="s">
        <v>1</v>
      </c>
      <c r="B2" s="27"/>
      <c r="C2" s="32">
        <v>84.364999999999995</v>
      </c>
      <c r="D2" s="32"/>
      <c r="E2" s="32"/>
      <c r="F2" s="31"/>
      <c r="G2" s="33"/>
      <c r="H2" s="30"/>
      <c r="I2" s="30"/>
      <c r="J2" s="31" t="s">
        <v>2</v>
      </c>
      <c r="K2" s="31"/>
      <c r="L2" s="34" t="s">
        <v>466</v>
      </c>
      <c r="M2" s="34"/>
      <c r="N2" s="33"/>
      <c r="O2" s="33"/>
      <c r="P2" s="33"/>
      <c r="Q2" s="33"/>
      <c r="R2" s="31" t="s">
        <v>2</v>
      </c>
      <c r="S2" s="31"/>
      <c r="T2" s="34" t="s">
        <v>466</v>
      </c>
      <c r="U2" s="34"/>
      <c r="V2" s="33"/>
      <c r="W2" s="33"/>
      <c r="X2" s="33"/>
      <c r="Y2" s="33"/>
      <c r="Z2" s="31" t="s">
        <v>2</v>
      </c>
      <c r="AA2" s="31"/>
      <c r="AB2" s="34" t="s">
        <v>3</v>
      </c>
      <c r="AC2" s="34"/>
      <c r="AD2" s="33"/>
      <c r="AE2" s="33"/>
      <c r="AF2" s="33"/>
      <c r="AG2" s="33"/>
      <c r="AH2" s="31"/>
      <c r="AI2" s="295"/>
      <c r="AJ2" s="295"/>
      <c r="AK2" s="295"/>
      <c r="AL2" s="295" t="s">
        <v>2</v>
      </c>
      <c r="AM2" s="295"/>
      <c r="AN2" s="298" t="s">
        <v>3</v>
      </c>
      <c r="AO2" s="298"/>
      <c r="AP2" s="297"/>
      <c r="AQ2" s="297"/>
      <c r="AR2" s="297"/>
      <c r="AS2" s="297"/>
      <c r="AT2" s="295"/>
      <c r="AU2" s="295"/>
      <c r="AV2" s="295"/>
      <c r="AW2" s="295"/>
      <c r="AX2" s="295"/>
    </row>
    <row r="3" spans="1:50" ht="15.75" x14ac:dyDescent="0.25">
      <c r="A3" s="31" t="s">
        <v>4</v>
      </c>
      <c r="B3" s="27"/>
      <c r="C3" s="34">
        <v>7365</v>
      </c>
      <c r="D3" s="34"/>
      <c r="E3" s="34"/>
      <c r="F3" s="31"/>
      <c r="G3" s="3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</row>
    <row r="4" spans="1:50" ht="21" x14ac:dyDescent="0.35">
      <c r="A4" s="31" t="s">
        <v>2</v>
      </c>
      <c r="B4" s="27"/>
      <c r="C4" s="28" t="str">
        <f>'NCLB Title I-A Formula'!$C$4</f>
        <v>2012-13</v>
      </c>
      <c r="D4" s="34"/>
      <c r="E4" s="34"/>
      <c r="F4" s="33"/>
      <c r="G4" s="3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</row>
    <row r="5" spans="1:50" ht="15.75" x14ac:dyDescent="0.25">
      <c r="A5" s="31" t="s">
        <v>457</v>
      </c>
      <c r="B5" s="27"/>
      <c r="C5" s="31" t="s">
        <v>502</v>
      </c>
      <c r="D5" s="31"/>
      <c r="E5" s="31"/>
      <c r="F5" s="31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</row>
    <row r="6" spans="1:50" ht="15.75" x14ac:dyDescent="0.25">
      <c r="A6" s="31" t="s">
        <v>6</v>
      </c>
      <c r="B6" s="27"/>
      <c r="C6" s="31" t="s">
        <v>370</v>
      </c>
      <c r="D6" s="31"/>
      <c r="E6" s="31"/>
      <c r="F6" s="31"/>
      <c r="G6" s="35"/>
      <c r="H6" s="35"/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</row>
    <row r="7" spans="1:50" s="20" customFormat="1" ht="15.75" x14ac:dyDescent="0.25">
      <c r="A7" s="31"/>
      <c r="B7" s="27"/>
      <c r="C7" s="34" t="s">
        <v>501</v>
      </c>
      <c r="D7" s="43"/>
      <c r="E7" s="44"/>
      <c r="F7" s="31"/>
      <c r="G7" s="35"/>
      <c r="H7" s="35"/>
      <c r="I7" s="35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</row>
    <row r="8" spans="1:50" ht="15.75" x14ac:dyDescent="0.25">
      <c r="A8" s="31"/>
      <c r="B8" s="27"/>
      <c r="C8" s="31"/>
      <c r="D8" s="31"/>
      <c r="E8" s="31"/>
      <c r="F8" s="31"/>
      <c r="G8" s="35"/>
      <c r="H8" s="35"/>
      <c r="I8" s="35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</row>
    <row r="9" spans="1:50" ht="15.75" x14ac:dyDescent="0.25">
      <c r="A9" s="31" t="s">
        <v>400</v>
      </c>
      <c r="B9" s="27"/>
      <c r="C9" s="31" t="s">
        <v>490</v>
      </c>
      <c r="D9" s="31"/>
      <c r="E9" s="31"/>
      <c r="F9" s="3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</row>
    <row r="10" spans="1:50" ht="15.75" x14ac:dyDescent="0.25">
      <c r="A10" s="31" t="s">
        <v>401</v>
      </c>
      <c r="B10" s="27"/>
      <c r="C10" s="31" t="s">
        <v>402</v>
      </c>
      <c r="D10" s="31"/>
      <c r="E10" s="31"/>
      <c r="F10" s="3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</row>
    <row r="11" spans="1:50" s="20" customFormat="1" ht="15.75" x14ac:dyDescent="0.25">
      <c r="A11" s="31" t="s">
        <v>458</v>
      </c>
      <c r="B11" s="27"/>
      <c r="C11" s="31" t="s">
        <v>471</v>
      </c>
      <c r="D11" s="31"/>
      <c r="E11" s="31"/>
      <c r="F11" s="3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</row>
    <row r="12" spans="1:50" s="20" customFormat="1" ht="16.5" thickBot="1" x14ac:dyDescent="0.3">
      <c r="A12" s="44" t="s">
        <v>365</v>
      </c>
      <c r="B12" s="128" t="s">
        <v>408</v>
      </c>
      <c r="C12" s="31"/>
      <c r="D12" s="31"/>
      <c r="E12" s="31"/>
      <c r="F12" s="3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</row>
    <row r="13" spans="1:50" s="5" customFormat="1" ht="32.25" customHeight="1" thickBot="1" x14ac:dyDescent="0.3">
      <c r="A13" s="139" t="s">
        <v>371</v>
      </c>
      <c r="B13" s="140" t="s">
        <v>372</v>
      </c>
      <c r="C13" s="151" t="s">
        <v>373</v>
      </c>
      <c r="D13" s="140" t="s">
        <v>406</v>
      </c>
      <c r="E13" s="156" t="s">
        <v>453</v>
      </c>
      <c r="F13" s="142" t="s">
        <v>374</v>
      </c>
      <c r="G13" s="213" t="s">
        <v>375</v>
      </c>
      <c r="H13" s="143" t="s">
        <v>386</v>
      </c>
      <c r="I13" s="143" t="s">
        <v>388</v>
      </c>
      <c r="J13" s="143" t="s">
        <v>389</v>
      </c>
      <c r="K13" s="143" t="s">
        <v>390</v>
      </c>
      <c r="L13" s="143" t="s">
        <v>391</v>
      </c>
      <c r="M13" s="143" t="s">
        <v>392</v>
      </c>
      <c r="N13" s="143" t="s">
        <v>393</v>
      </c>
      <c r="O13" s="143" t="s">
        <v>455</v>
      </c>
      <c r="P13" s="143" t="s">
        <v>394</v>
      </c>
      <c r="Q13" s="143" t="s">
        <v>395</v>
      </c>
      <c r="R13" s="143" t="s">
        <v>396</v>
      </c>
      <c r="S13" s="143" t="s">
        <v>397</v>
      </c>
      <c r="T13" s="143" t="s">
        <v>387</v>
      </c>
      <c r="U13" s="143" t="s">
        <v>398</v>
      </c>
      <c r="V13" s="143" t="s">
        <v>399</v>
      </c>
      <c r="W13" s="312" t="s">
        <v>475</v>
      </c>
      <c r="X13" s="311" t="s">
        <v>476</v>
      </c>
      <c r="Y13" s="312" t="s">
        <v>477</v>
      </c>
      <c r="Z13" s="311" t="s">
        <v>478</v>
      </c>
      <c r="AA13" s="312" t="s">
        <v>479</v>
      </c>
      <c r="AB13" s="311" t="s">
        <v>480</v>
      </c>
      <c r="AC13" s="312" t="s">
        <v>481</v>
      </c>
      <c r="AD13" s="311" t="s">
        <v>482</v>
      </c>
      <c r="AE13" s="312" t="s">
        <v>483</v>
      </c>
      <c r="AF13" s="311" t="s">
        <v>472</v>
      </c>
      <c r="AG13" s="312" t="s">
        <v>473</v>
      </c>
      <c r="AH13" s="312" t="s">
        <v>474</v>
      </c>
      <c r="AI13" s="312" t="s">
        <v>505</v>
      </c>
      <c r="AJ13" s="312" t="s">
        <v>506</v>
      </c>
      <c r="AK13" s="312" t="s">
        <v>507</v>
      </c>
      <c r="AL13" s="311" t="s">
        <v>508</v>
      </c>
      <c r="AM13" s="312" t="s">
        <v>509</v>
      </c>
      <c r="AN13" s="311" t="s">
        <v>510</v>
      </c>
      <c r="AO13" s="312" t="s">
        <v>511</v>
      </c>
      <c r="AP13" s="311" t="s">
        <v>512</v>
      </c>
      <c r="AQ13" s="312" t="s">
        <v>513</v>
      </c>
      <c r="AR13" s="311" t="s">
        <v>514</v>
      </c>
      <c r="AS13" s="312" t="s">
        <v>515</v>
      </c>
      <c r="AT13" s="312" t="s">
        <v>516</v>
      </c>
      <c r="AU13" s="312" t="s">
        <v>517</v>
      </c>
      <c r="AV13" s="312" t="s">
        <v>518</v>
      </c>
      <c r="AW13" s="312" t="s">
        <v>519</v>
      </c>
      <c r="AX13" s="312" t="s">
        <v>520</v>
      </c>
    </row>
    <row r="14" spans="1:50" ht="16.5" thickBot="1" x14ac:dyDescent="0.3">
      <c r="A14" s="162" t="s">
        <v>9</v>
      </c>
      <c r="B14" s="163" t="s">
        <v>187</v>
      </c>
      <c r="C14" s="272">
        <v>88197</v>
      </c>
      <c r="D14" s="69"/>
      <c r="E14" s="115"/>
      <c r="F14" s="115">
        <f>SUM(H14:AX14)</f>
        <v>69925</v>
      </c>
      <c r="G14" s="115">
        <f t="shared" ref="G14:G20" si="0">IF(ISBLANK(E14),C14-F14,C14-E14)</f>
        <v>18272</v>
      </c>
      <c r="N14" s="107">
        <v>8028</v>
      </c>
      <c r="O14" s="107">
        <v>3402</v>
      </c>
      <c r="P14" s="107">
        <v>3452</v>
      </c>
      <c r="Q14" s="107">
        <v>1563</v>
      </c>
      <c r="R14" s="107">
        <v>2867</v>
      </c>
      <c r="S14" s="107">
        <v>16565</v>
      </c>
      <c r="T14" s="107"/>
      <c r="U14" s="107">
        <v>20069</v>
      </c>
      <c r="V14" s="107">
        <v>1256</v>
      </c>
      <c r="W14" s="107"/>
      <c r="X14" s="107"/>
      <c r="Y14" s="107"/>
      <c r="Z14" s="107"/>
      <c r="AA14" s="107"/>
      <c r="AB14" s="107"/>
      <c r="AC14" s="107"/>
      <c r="AD14" s="107"/>
      <c r="AE14" s="107">
        <f>790+4583</f>
        <v>5373</v>
      </c>
      <c r="AF14" s="107"/>
      <c r="AG14" s="107"/>
      <c r="AH14" s="107">
        <v>7350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</row>
    <row r="15" spans="1:50" ht="16.5" hidden="1" thickBot="1" x14ac:dyDescent="0.3">
      <c r="A15" s="162" t="s">
        <v>10</v>
      </c>
      <c r="B15" s="163" t="s">
        <v>188</v>
      </c>
      <c r="C15" s="272">
        <v>0</v>
      </c>
      <c r="D15" s="69"/>
      <c r="E15" s="115"/>
      <c r="F15" s="115">
        <f t="shared" ref="F15:F78" si="1">SUM(H15:AX15)</f>
        <v>0</v>
      </c>
      <c r="G15" s="115">
        <f t="shared" si="0"/>
        <v>0</v>
      </c>
      <c r="AI15" s="20"/>
      <c r="AJ15" s="20"/>
    </row>
    <row r="16" spans="1:50" ht="16.5" hidden="1" thickBot="1" x14ac:dyDescent="0.3">
      <c r="A16" s="162" t="s">
        <v>11</v>
      </c>
      <c r="B16" s="163" t="s">
        <v>189</v>
      </c>
      <c r="C16" s="272">
        <v>0</v>
      </c>
      <c r="D16" s="69"/>
      <c r="E16" s="115"/>
      <c r="F16" s="115">
        <f t="shared" si="1"/>
        <v>0</v>
      </c>
      <c r="G16" s="115">
        <f t="shared" si="0"/>
        <v>0</v>
      </c>
      <c r="AI16" s="20"/>
      <c r="AJ16" s="20"/>
    </row>
    <row r="17" spans="1:50" ht="16.5" hidden="1" thickBot="1" x14ac:dyDescent="0.3">
      <c r="A17" s="162" t="s">
        <v>12</v>
      </c>
      <c r="B17" s="163" t="s">
        <v>190</v>
      </c>
      <c r="C17" s="272">
        <v>0</v>
      </c>
      <c r="D17" s="69"/>
      <c r="E17" s="115"/>
      <c r="F17" s="115">
        <f t="shared" si="1"/>
        <v>0</v>
      </c>
      <c r="G17" s="115">
        <f t="shared" si="0"/>
        <v>0</v>
      </c>
      <c r="AI17" s="20"/>
      <c r="AJ17" s="20"/>
    </row>
    <row r="18" spans="1:50" ht="16.5" hidden="1" thickBot="1" x14ac:dyDescent="0.3">
      <c r="A18" s="162" t="s">
        <v>13</v>
      </c>
      <c r="B18" s="163" t="s">
        <v>191</v>
      </c>
      <c r="C18" s="272">
        <v>0</v>
      </c>
      <c r="D18" s="69"/>
      <c r="E18" s="115"/>
      <c r="F18" s="115">
        <f t="shared" si="1"/>
        <v>0</v>
      </c>
      <c r="G18" s="115">
        <f t="shared" si="0"/>
        <v>0</v>
      </c>
      <c r="AI18" s="20"/>
      <c r="AJ18" s="20"/>
    </row>
    <row r="19" spans="1:50" ht="16.5" hidden="1" thickBot="1" x14ac:dyDescent="0.3">
      <c r="A19" s="162" t="s">
        <v>14</v>
      </c>
      <c r="B19" s="163" t="s">
        <v>192</v>
      </c>
      <c r="C19" s="272">
        <v>0</v>
      </c>
      <c r="D19" s="69"/>
      <c r="E19" s="115"/>
      <c r="F19" s="115">
        <f t="shared" si="1"/>
        <v>0</v>
      </c>
      <c r="G19" s="115">
        <f t="shared" si="0"/>
        <v>0</v>
      </c>
      <c r="AI19" s="20"/>
      <c r="AJ19" s="20"/>
    </row>
    <row r="20" spans="1:50" ht="16.5" hidden="1" thickBot="1" x14ac:dyDescent="0.3">
      <c r="A20" s="162" t="s">
        <v>15</v>
      </c>
      <c r="B20" s="163" t="s">
        <v>193</v>
      </c>
      <c r="C20" s="272">
        <v>0</v>
      </c>
      <c r="D20" s="69"/>
      <c r="E20" s="115"/>
      <c r="F20" s="115">
        <f t="shared" si="1"/>
        <v>0</v>
      </c>
      <c r="G20" s="115">
        <f t="shared" si="0"/>
        <v>0</v>
      </c>
      <c r="AI20" s="20"/>
      <c r="AJ20" s="20"/>
    </row>
    <row r="21" spans="1:50" ht="16.5" thickBot="1" x14ac:dyDescent="0.3">
      <c r="A21" s="162" t="s">
        <v>16</v>
      </c>
      <c r="B21" s="163" t="s">
        <v>194</v>
      </c>
      <c r="C21" s="272">
        <v>4992</v>
      </c>
      <c r="D21" s="69"/>
      <c r="E21" s="115"/>
      <c r="F21" s="115">
        <f t="shared" si="1"/>
        <v>4975</v>
      </c>
      <c r="G21" s="115">
        <f>IF(ISBLANK(E21),C21-F21,C21-E21)</f>
        <v>17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>
        <v>4676</v>
      </c>
      <c r="W21" s="107"/>
      <c r="X21" s="107"/>
      <c r="Y21" s="107">
        <v>299</v>
      </c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</row>
    <row r="22" spans="1:50" ht="16.5" hidden="1" thickBot="1" x14ac:dyDescent="0.3">
      <c r="A22" s="162" t="s">
        <v>17</v>
      </c>
      <c r="B22" s="163" t="s">
        <v>195</v>
      </c>
      <c r="C22" s="273">
        <v>0</v>
      </c>
      <c r="D22" s="69"/>
      <c r="E22" s="115"/>
      <c r="F22" s="115">
        <f t="shared" si="1"/>
        <v>0</v>
      </c>
      <c r="G22" s="115">
        <f t="shared" ref="G22:G85" si="2">IF(ISBLANK(E22),C22-F22,C22-E22)</f>
        <v>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</row>
    <row r="23" spans="1:50" ht="16.5" hidden="1" thickBot="1" x14ac:dyDescent="0.3">
      <c r="A23" s="162" t="s">
        <v>18</v>
      </c>
      <c r="B23" s="163" t="s">
        <v>196</v>
      </c>
      <c r="C23" s="273">
        <v>0</v>
      </c>
      <c r="D23" s="69"/>
      <c r="E23" s="115"/>
      <c r="F23" s="115">
        <f t="shared" si="1"/>
        <v>0</v>
      </c>
      <c r="G23" s="115">
        <f t="shared" si="2"/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</row>
    <row r="24" spans="1:50" ht="16.5" hidden="1" thickBot="1" x14ac:dyDescent="0.3">
      <c r="A24" s="162" t="s">
        <v>19</v>
      </c>
      <c r="B24" s="163" t="s">
        <v>197</v>
      </c>
      <c r="C24" s="273">
        <v>0</v>
      </c>
      <c r="D24" s="69"/>
      <c r="E24" s="115"/>
      <c r="F24" s="115">
        <f t="shared" si="1"/>
        <v>0</v>
      </c>
      <c r="G24" s="115">
        <f t="shared" si="2"/>
        <v>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</row>
    <row r="25" spans="1:50" ht="16.5" hidden="1" thickBot="1" x14ac:dyDescent="0.3">
      <c r="A25" s="162" t="s">
        <v>20</v>
      </c>
      <c r="B25" s="163" t="s">
        <v>198</v>
      </c>
      <c r="C25" s="273">
        <v>0</v>
      </c>
      <c r="D25" s="69"/>
      <c r="E25" s="115"/>
      <c r="F25" s="115">
        <f t="shared" si="1"/>
        <v>0</v>
      </c>
      <c r="G25" s="115">
        <f t="shared" si="2"/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ht="16.5" thickBot="1" x14ac:dyDescent="0.3">
      <c r="A26" s="162" t="s">
        <v>21</v>
      </c>
      <c r="B26" s="163" t="s">
        <v>199</v>
      </c>
      <c r="C26" s="273">
        <v>129799</v>
      </c>
      <c r="D26" s="69"/>
      <c r="E26" s="115"/>
      <c r="F26" s="115">
        <f t="shared" si="1"/>
        <v>113264</v>
      </c>
      <c r="G26" s="115">
        <f t="shared" si="2"/>
        <v>16535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>
        <f>18465+94799</f>
        <v>113264</v>
      </c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</row>
    <row r="27" spans="1:50" ht="16.5" hidden="1" thickBot="1" x14ac:dyDescent="0.3">
      <c r="A27" s="162" t="s">
        <v>22</v>
      </c>
      <c r="B27" s="163" t="s">
        <v>200</v>
      </c>
      <c r="C27" s="273">
        <v>0</v>
      </c>
      <c r="D27" s="69"/>
      <c r="E27" s="115"/>
      <c r="F27" s="115">
        <f t="shared" si="1"/>
        <v>0</v>
      </c>
      <c r="G27" s="115">
        <f t="shared" si="2"/>
        <v>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</row>
    <row r="28" spans="1:50" ht="16.5" thickBot="1" x14ac:dyDescent="0.3">
      <c r="A28" s="162" t="s">
        <v>23</v>
      </c>
      <c r="B28" s="163" t="s">
        <v>201</v>
      </c>
      <c r="C28" s="273">
        <v>168073</v>
      </c>
      <c r="D28" s="69"/>
      <c r="E28" s="115"/>
      <c r="F28" s="115">
        <f t="shared" si="1"/>
        <v>167540</v>
      </c>
      <c r="G28" s="115">
        <f t="shared" si="2"/>
        <v>533</v>
      </c>
      <c r="H28" s="107"/>
      <c r="I28" s="107"/>
      <c r="J28" s="107"/>
      <c r="K28" s="107"/>
      <c r="L28" s="107"/>
      <c r="M28" s="107">
        <v>10578</v>
      </c>
      <c r="N28" s="107"/>
      <c r="O28" s="107">
        <v>11265</v>
      </c>
      <c r="P28" s="107">
        <v>6194</v>
      </c>
      <c r="Q28" s="107">
        <v>6814</v>
      </c>
      <c r="R28" s="107">
        <v>18366</v>
      </c>
      <c r="S28" s="107">
        <v>8458</v>
      </c>
      <c r="T28" s="107">
        <v>9628</v>
      </c>
      <c r="U28" s="107">
        <v>6185</v>
      </c>
      <c r="V28" s="107">
        <v>902</v>
      </c>
      <c r="W28" s="107">
        <v>692</v>
      </c>
      <c r="X28" s="107">
        <v>29457</v>
      </c>
      <c r="Y28" s="107"/>
      <c r="Z28" s="107"/>
      <c r="AA28" s="107">
        <v>14550</v>
      </c>
      <c r="AB28" s="107">
        <v>8279</v>
      </c>
      <c r="AC28" s="107">
        <v>11388</v>
      </c>
      <c r="AD28" s="107">
        <v>5230</v>
      </c>
      <c r="AE28" s="107">
        <f>4825+9649</f>
        <v>14474</v>
      </c>
      <c r="AF28" s="107"/>
      <c r="AG28" s="107">
        <v>4882</v>
      </c>
      <c r="AH28" s="107">
        <v>198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</row>
    <row r="29" spans="1:50" ht="16.5" hidden="1" thickBot="1" x14ac:dyDescent="0.3">
      <c r="A29" s="162" t="s">
        <v>24</v>
      </c>
      <c r="B29" s="163" t="s">
        <v>202</v>
      </c>
      <c r="C29" s="273">
        <v>0</v>
      </c>
      <c r="D29" s="69"/>
      <c r="E29" s="115"/>
      <c r="F29" s="115">
        <f t="shared" si="1"/>
        <v>0</v>
      </c>
      <c r="G29" s="115">
        <f t="shared" si="2"/>
        <v>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</row>
    <row r="30" spans="1:50" ht="16.5" hidden="1" thickBot="1" x14ac:dyDescent="0.3">
      <c r="A30" s="162" t="s">
        <v>25</v>
      </c>
      <c r="B30" s="163" t="s">
        <v>203</v>
      </c>
      <c r="C30" s="273">
        <v>0</v>
      </c>
      <c r="D30" s="69"/>
      <c r="E30" s="115"/>
      <c r="F30" s="115">
        <f t="shared" si="1"/>
        <v>0</v>
      </c>
      <c r="G30" s="115">
        <f t="shared" si="2"/>
        <v>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</row>
    <row r="31" spans="1:50" ht="16.5" hidden="1" thickBot="1" x14ac:dyDescent="0.3">
      <c r="A31" s="162" t="s">
        <v>26</v>
      </c>
      <c r="B31" s="163" t="s">
        <v>204</v>
      </c>
      <c r="C31" s="273">
        <v>0</v>
      </c>
      <c r="D31" s="69"/>
      <c r="E31" s="115"/>
      <c r="F31" s="115">
        <f t="shared" si="1"/>
        <v>0</v>
      </c>
      <c r="G31" s="115">
        <f t="shared" si="2"/>
        <v>0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</row>
    <row r="32" spans="1:50" ht="16.5" hidden="1" thickBot="1" x14ac:dyDescent="0.3">
      <c r="A32" s="162" t="s">
        <v>27</v>
      </c>
      <c r="B32" s="163" t="s">
        <v>205</v>
      </c>
      <c r="C32" s="273">
        <v>0</v>
      </c>
      <c r="D32" s="69"/>
      <c r="E32" s="115"/>
      <c r="F32" s="115">
        <f t="shared" si="1"/>
        <v>0</v>
      </c>
      <c r="G32" s="115">
        <f t="shared" si="2"/>
        <v>0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</row>
    <row r="33" spans="1:50" ht="16.5" hidden="1" thickBot="1" x14ac:dyDescent="0.3">
      <c r="A33" s="162" t="s">
        <v>28</v>
      </c>
      <c r="B33" s="163" t="s">
        <v>206</v>
      </c>
      <c r="C33" s="273">
        <v>0</v>
      </c>
      <c r="D33" s="69"/>
      <c r="E33" s="115"/>
      <c r="F33" s="115">
        <f t="shared" si="1"/>
        <v>0</v>
      </c>
      <c r="G33" s="115">
        <f t="shared" si="2"/>
        <v>0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</row>
    <row r="34" spans="1:50" ht="16.5" hidden="1" thickBot="1" x14ac:dyDescent="0.3">
      <c r="A34" s="162" t="s">
        <v>29</v>
      </c>
      <c r="B34" s="163" t="s">
        <v>207</v>
      </c>
      <c r="C34" s="273">
        <v>0</v>
      </c>
      <c r="D34" s="69"/>
      <c r="E34" s="115"/>
      <c r="F34" s="115">
        <f t="shared" si="1"/>
        <v>0</v>
      </c>
      <c r="G34" s="115">
        <f t="shared" si="2"/>
        <v>0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</row>
    <row r="35" spans="1:50" ht="16.5" hidden="1" thickBot="1" x14ac:dyDescent="0.3">
      <c r="A35" s="162" t="s">
        <v>30</v>
      </c>
      <c r="B35" s="163" t="s">
        <v>208</v>
      </c>
      <c r="C35" s="273">
        <v>0</v>
      </c>
      <c r="D35" s="69"/>
      <c r="E35" s="115"/>
      <c r="F35" s="115">
        <f t="shared" si="1"/>
        <v>0</v>
      </c>
      <c r="G35" s="115">
        <f t="shared" si="2"/>
        <v>0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</row>
    <row r="36" spans="1:50" ht="16.5" hidden="1" thickBot="1" x14ac:dyDescent="0.3">
      <c r="A36" s="162" t="s">
        <v>31</v>
      </c>
      <c r="B36" s="163" t="s">
        <v>209</v>
      </c>
      <c r="C36" s="273">
        <v>0</v>
      </c>
      <c r="D36" s="69"/>
      <c r="E36" s="115"/>
      <c r="F36" s="115">
        <f t="shared" si="1"/>
        <v>0</v>
      </c>
      <c r="G36" s="115">
        <f t="shared" si="2"/>
        <v>0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</row>
    <row r="37" spans="1:50" ht="16.5" hidden="1" thickBot="1" x14ac:dyDescent="0.3">
      <c r="A37" s="162" t="s">
        <v>32</v>
      </c>
      <c r="B37" s="163" t="s">
        <v>210</v>
      </c>
      <c r="C37" s="273">
        <v>0</v>
      </c>
      <c r="D37" s="69"/>
      <c r="E37" s="115"/>
      <c r="F37" s="115">
        <f t="shared" si="1"/>
        <v>0</v>
      </c>
      <c r="G37" s="115">
        <f t="shared" si="2"/>
        <v>0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</row>
    <row r="38" spans="1:50" ht="16.5" hidden="1" thickBot="1" x14ac:dyDescent="0.3">
      <c r="A38" s="162" t="s">
        <v>33</v>
      </c>
      <c r="B38" s="163" t="s">
        <v>211</v>
      </c>
      <c r="C38" s="273">
        <v>0</v>
      </c>
      <c r="D38" s="69"/>
      <c r="E38" s="115"/>
      <c r="F38" s="115">
        <f t="shared" si="1"/>
        <v>0</v>
      </c>
      <c r="G38" s="115">
        <f t="shared" si="2"/>
        <v>0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</row>
    <row r="39" spans="1:50" ht="16.5" hidden="1" thickBot="1" x14ac:dyDescent="0.3">
      <c r="A39" s="162" t="s">
        <v>34</v>
      </c>
      <c r="B39" s="163" t="s">
        <v>212</v>
      </c>
      <c r="C39" s="273">
        <v>0</v>
      </c>
      <c r="D39" s="69"/>
      <c r="E39" s="115"/>
      <c r="F39" s="115">
        <f t="shared" si="1"/>
        <v>0</v>
      </c>
      <c r="G39" s="115">
        <f t="shared" si="2"/>
        <v>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</row>
    <row r="40" spans="1:50" ht="16.5" hidden="1" thickBot="1" x14ac:dyDescent="0.3">
      <c r="A40" s="162" t="s">
        <v>35</v>
      </c>
      <c r="B40" s="163" t="s">
        <v>213</v>
      </c>
      <c r="C40" s="273">
        <v>0</v>
      </c>
      <c r="D40" s="69"/>
      <c r="E40" s="115"/>
      <c r="F40" s="115">
        <f t="shared" si="1"/>
        <v>0</v>
      </c>
      <c r="G40" s="115">
        <f t="shared" si="2"/>
        <v>0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</row>
    <row r="41" spans="1:50" ht="16.5" hidden="1" thickBot="1" x14ac:dyDescent="0.3">
      <c r="A41" s="162" t="s">
        <v>36</v>
      </c>
      <c r="B41" s="163" t="s">
        <v>214</v>
      </c>
      <c r="C41" s="273">
        <v>0</v>
      </c>
      <c r="D41" s="69"/>
      <c r="E41" s="115"/>
      <c r="F41" s="115">
        <f t="shared" si="1"/>
        <v>0</v>
      </c>
      <c r="G41" s="115">
        <f t="shared" si="2"/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</row>
    <row r="42" spans="1:50" ht="16.5" hidden="1" thickBot="1" x14ac:dyDescent="0.3">
      <c r="A42" s="162" t="s">
        <v>37</v>
      </c>
      <c r="B42" s="163" t="s">
        <v>215</v>
      </c>
      <c r="C42" s="273">
        <v>0</v>
      </c>
      <c r="D42" s="69"/>
      <c r="E42" s="115"/>
      <c r="F42" s="115">
        <f t="shared" si="1"/>
        <v>0</v>
      </c>
      <c r="G42" s="115">
        <f t="shared" si="2"/>
        <v>0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</row>
    <row r="43" spans="1:50" ht="16.5" thickBot="1" x14ac:dyDescent="0.3">
      <c r="A43" s="162" t="s">
        <v>38</v>
      </c>
      <c r="B43" s="163" t="s">
        <v>216</v>
      </c>
      <c r="C43" s="273">
        <v>1664</v>
      </c>
      <c r="D43" s="69" t="s">
        <v>381</v>
      </c>
      <c r="E43" s="115">
        <v>1664</v>
      </c>
      <c r="F43" s="115">
        <f t="shared" si="1"/>
        <v>0</v>
      </c>
      <c r="G43" s="115">
        <f t="shared" si="2"/>
        <v>0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</row>
    <row r="44" spans="1:50" ht="16.5" hidden="1" thickBot="1" x14ac:dyDescent="0.3">
      <c r="A44" s="162" t="s">
        <v>39</v>
      </c>
      <c r="B44" s="163" t="s">
        <v>217</v>
      </c>
      <c r="C44" s="273">
        <v>0</v>
      </c>
      <c r="D44" s="69"/>
      <c r="E44" s="115"/>
      <c r="F44" s="115">
        <f t="shared" si="1"/>
        <v>0</v>
      </c>
      <c r="G44" s="115">
        <f t="shared" si="2"/>
        <v>0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ht="16.5" hidden="1" thickBot="1" x14ac:dyDescent="0.3">
      <c r="A45" s="162" t="s">
        <v>40</v>
      </c>
      <c r="B45" s="163" t="s">
        <v>218</v>
      </c>
      <c r="C45" s="273">
        <v>0</v>
      </c>
      <c r="D45" s="69"/>
      <c r="E45" s="115"/>
      <c r="F45" s="115">
        <f t="shared" si="1"/>
        <v>0</v>
      </c>
      <c r="G45" s="115">
        <f t="shared" si="2"/>
        <v>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ht="16.5" hidden="1" thickBot="1" x14ac:dyDescent="0.3">
      <c r="A46" s="162" t="s">
        <v>41</v>
      </c>
      <c r="B46" s="163" t="s">
        <v>219</v>
      </c>
      <c r="C46" s="273">
        <v>0</v>
      </c>
      <c r="D46" s="69"/>
      <c r="E46" s="115"/>
      <c r="F46" s="115">
        <f t="shared" si="1"/>
        <v>0</v>
      </c>
      <c r="G46" s="115">
        <f t="shared" si="2"/>
        <v>0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ht="16.5" hidden="1" thickBot="1" x14ac:dyDescent="0.3">
      <c r="A47" s="162" t="s">
        <v>42</v>
      </c>
      <c r="B47" s="163" t="s">
        <v>220</v>
      </c>
      <c r="C47" s="273">
        <v>0</v>
      </c>
      <c r="D47" s="69"/>
      <c r="E47" s="115"/>
      <c r="F47" s="115">
        <f t="shared" si="1"/>
        <v>0</v>
      </c>
      <c r="G47" s="115">
        <f t="shared" si="2"/>
        <v>0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ht="16.5" hidden="1" thickBot="1" x14ac:dyDescent="0.3">
      <c r="A48" s="162" t="s">
        <v>43</v>
      </c>
      <c r="B48" s="164" t="s">
        <v>221</v>
      </c>
      <c r="C48" s="273">
        <v>0</v>
      </c>
      <c r="D48" s="69"/>
      <c r="E48" s="115"/>
      <c r="F48" s="115">
        <f t="shared" si="1"/>
        <v>0</v>
      </c>
      <c r="G48" s="115">
        <f t="shared" si="2"/>
        <v>0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0" ht="16.5" hidden="1" thickBot="1" x14ac:dyDescent="0.3">
      <c r="A49" s="162" t="s">
        <v>44</v>
      </c>
      <c r="B49" s="163" t="s">
        <v>222</v>
      </c>
      <c r="C49" s="273">
        <v>0</v>
      </c>
      <c r="D49" s="69"/>
      <c r="E49" s="115"/>
      <c r="F49" s="115">
        <f t="shared" si="1"/>
        <v>0</v>
      </c>
      <c r="G49" s="115">
        <f t="shared" si="2"/>
        <v>0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0" ht="16.5" hidden="1" thickBot="1" x14ac:dyDescent="0.3">
      <c r="A50" s="162" t="s">
        <v>45</v>
      </c>
      <c r="B50" s="163" t="s">
        <v>223</v>
      </c>
      <c r="C50" s="273">
        <v>0</v>
      </c>
      <c r="D50" s="69"/>
      <c r="E50" s="115"/>
      <c r="F50" s="115">
        <f t="shared" si="1"/>
        <v>0</v>
      </c>
      <c r="G50" s="115">
        <f t="shared" si="2"/>
        <v>0</v>
      </c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0" ht="16.5" hidden="1" thickBot="1" x14ac:dyDescent="0.3">
      <c r="A51" s="162" t="s">
        <v>46</v>
      </c>
      <c r="B51" s="163" t="s">
        <v>224</v>
      </c>
      <c r="C51" s="273">
        <v>0</v>
      </c>
      <c r="D51" s="69"/>
      <c r="E51" s="115"/>
      <c r="F51" s="115">
        <f t="shared" si="1"/>
        <v>0</v>
      </c>
      <c r="G51" s="115">
        <f t="shared" si="2"/>
        <v>0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0" ht="16.5" hidden="1" thickBot="1" x14ac:dyDescent="0.3">
      <c r="A52" s="162" t="s">
        <v>47</v>
      </c>
      <c r="B52" s="163" t="s">
        <v>225</v>
      </c>
      <c r="C52" s="273">
        <v>0</v>
      </c>
      <c r="D52" s="69"/>
      <c r="E52" s="115"/>
      <c r="F52" s="115">
        <f t="shared" si="1"/>
        <v>0</v>
      </c>
      <c r="G52" s="115">
        <f t="shared" si="2"/>
        <v>0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0" ht="16.5" hidden="1" thickBot="1" x14ac:dyDescent="0.3">
      <c r="A53" s="162" t="s">
        <v>48</v>
      </c>
      <c r="B53" s="163" t="s">
        <v>226</v>
      </c>
      <c r="C53" s="273">
        <v>0</v>
      </c>
      <c r="D53" s="69"/>
      <c r="E53" s="115"/>
      <c r="F53" s="115">
        <f t="shared" si="1"/>
        <v>0</v>
      </c>
      <c r="G53" s="115">
        <f t="shared" si="2"/>
        <v>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0" ht="16.5" hidden="1" thickBot="1" x14ac:dyDescent="0.3">
      <c r="A54" s="162" t="s">
        <v>49</v>
      </c>
      <c r="B54" s="163" t="s">
        <v>227</v>
      </c>
      <c r="C54" s="273">
        <v>0</v>
      </c>
      <c r="D54" s="69"/>
      <c r="E54" s="115"/>
      <c r="F54" s="115">
        <f t="shared" si="1"/>
        <v>0</v>
      </c>
      <c r="G54" s="115">
        <f t="shared" si="2"/>
        <v>0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0" ht="16.5" hidden="1" thickBot="1" x14ac:dyDescent="0.3">
      <c r="A55" s="162" t="s">
        <v>50</v>
      </c>
      <c r="B55" s="163" t="s">
        <v>228</v>
      </c>
      <c r="C55" s="273">
        <v>0</v>
      </c>
      <c r="D55" s="69"/>
      <c r="E55" s="115"/>
      <c r="F55" s="115">
        <f t="shared" si="1"/>
        <v>0</v>
      </c>
      <c r="G55" s="115">
        <f t="shared" si="2"/>
        <v>0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0" ht="16.5" hidden="1" thickBot="1" x14ac:dyDescent="0.3">
      <c r="A56" s="162" t="s">
        <v>51</v>
      </c>
      <c r="B56" s="163" t="s">
        <v>229</v>
      </c>
      <c r="C56" s="273">
        <v>0</v>
      </c>
      <c r="D56" s="69"/>
      <c r="E56" s="115"/>
      <c r="F56" s="115">
        <f t="shared" si="1"/>
        <v>0</v>
      </c>
      <c r="G56" s="115">
        <f t="shared" si="2"/>
        <v>0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0" ht="16.5" hidden="1" thickBot="1" x14ac:dyDescent="0.3">
      <c r="A57" s="162" t="s">
        <v>52</v>
      </c>
      <c r="B57" s="163" t="s">
        <v>230</v>
      </c>
      <c r="C57" s="273">
        <v>0</v>
      </c>
      <c r="D57" s="69"/>
      <c r="E57" s="115"/>
      <c r="F57" s="115">
        <f t="shared" si="1"/>
        <v>0</v>
      </c>
      <c r="G57" s="115">
        <f t="shared" si="2"/>
        <v>0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0" ht="16.5" hidden="1" thickBot="1" x14ac:dyDescent="0.3">
      <c r="A58" s="162" t="s">
        <v>53</v>
      </c>
      <c r="B58" s="163" t="s">
        <v>231</v>
      </c>
      <c r="C58" s="273">
        <v>0</v>
      </c>
      <c r="D58" s="69"/>
      <c r="E58" s="115"/>
      <c r="F58" s="115">
        <f t="shared" si="1"/>
        <v>0</v>
      </c>
      <c r="G58" s="115">
        <f t="shared" si="2"/>
        <v>0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0" ht="16.5" hidden="1" thickBot="1" x14ac:dyDescent="0.3">
      <c r="A59" s="162" t="s">
        <v>54</v>
      </c>
      <c r="B59" s="163" t="s">
        <v>232</v>
      </c>
      <c r="C59" s="273">
        <v>0</v>
      </c>
      <c r="D59" s="69"/>
      <c r="E59" s="115"/>
      <c r="F59" s="115">
        <f t="shared" si="1"/>
        <v>0</v>
      </c>
      <c r="G59" s="115">
        <f t="shared" si="2"/>
        <v>0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0" ht="16.5" hidden="1" thickBot="1" x14ac:dyDescent="0.3">
      <c r="A60" s="162" t="s">
        <v>55</v>
      </c>
      <c r="B60" s="163" t="s">
        <v>233</v>
      </c>
      <c r="C60" s="273">
        <v>0</v>
      </c>
      <c r="D60" s="69"/>
      <c r="E60" s="115"/>
      <c r="F60" s="115">
        <f t="shared" si="1"/>
        <v>0</v>
      </c>
      <c r="G60" s="115">
        <f t="shared" si="2"/>
        <v>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0" ht="16.5" hidden="1" thickBot="1" x14ac:dyDescent="0.3">
      <c r="A61" s="162" t="s">
        <v>56</v>
      </c>
      <c r="B61" s="163" t="s">
        <v>234</v>
      </c>
      <c r="C61" s="273">
        <v>0</v>
      </c>
      <c r="D61" s="69"/>
      <c r="E61" s="115"/>
      <c r="F61" s="115">
        <f t="shared" si="1"/>
        <v>0</v>
      </c>
      <c r="G61" s="115">
        <f t="shared" si="2"/>
        <v>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</row>
    <row r="62" spans="1:50" ht="16.5" hidden="1" thickBot="1" x14ac:dyDescent="0.3">
      <c r="A62" s="162" t="s">
        <v>57</v>
      </c>
      <c r="B62" s="163" t="s">
        <v>235</v>
      </c>
      <c r="C62" s="273">
        <v>0</v>
      </c>
      <c r="D62" s="69"/>
      <c r="E62" s="115"/>
      <c r="F62" s="115">
        <f t="shared" si="1"/>
        <v>0</v>
      </c>
      <c r="G62" s="115">
        <f t="shared" si="2"/>
        <v>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</row>
    <row r="63" spans="1:50" ht="16.5" hidden="1" thickBot="1" x14ac:dyDescent="0.3">
      <c r="A63" s="162" t="s">
        <v>58</v>
      </c>
      <c r="B63" s="163" t="s">
        <v>236</v>
      </c>
      <c r="C63" s="273">
        <v>0</v>
      </c>
      <c r="D63" s="69"/>
      <c r="E63" s="115"/>
      <c r="F63" s="115">
        <f t="shared" si="1"/>
        <v>0</v>
      </c>
      <c r="G63" s="115">
        <f t="shared" si="2"/>
        <v>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</row>
    <row r="64" spans="1:50" ht="16.5" hidden="1" thickBot="1" x14ac:dyDescent="0.3">
      <c r="A64" s="162" t="s">
        <v>59</v>
      </c>
      <c r="B64" s="163" t="s">
        <v>237</v>
      </c>
      <c r="C64" s="273">
        <v>0</v>
      </c>
      <c r="D64" s="69"/>
      <c r="E64" s="115"/>
      <c r="F64" s="115">
        <f t="shared" si="1"/>
        <v>0</v>
      </c>
      <c r="G64" s="115">
        <f t="shared" si="2"/>
        <v>0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</row>
    <row r="65" spans="1:50" ht="16.5" hidden="1" thickBot="1" x14ac:dyDescent="0.3">
      <c r="A65" s="162" t="s">
        <v>60</v>
      </c>
      <c r="B65" s="163" t="s">
        <v>238</v>
      </c>
      <c r="C65" s="273">
        <v>0</v>
      </c>
      <c r="D65" s="69"/>
      <c r="E65" s="115"/>
      <c r="F65" s="115">
        <f t="shared" si="1"/>
        <v>0</v>
      </c>
      <c r="G65" s="115">
        <f t="shared" si="2"/>
        <v>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16.5" hidden="1" thickBot="1" x14ac:dyDescent="0.3">
      <c r="A66" s="162" t="s">
        <v>61</v>
      </c>
      <c r="B66" s="163" t="s">
        <v>239</v>
      </c>
      <c r="C66" s="273">
        <v>0</v>
      </c>
      <c r="D66" s="69"/>
      <c r="E66" s="115"/>
      <c r="F66" s="115">
        <f t="shared" si="1"/>
        <v>0</v>
      </c>
      <c r="G66" s="115">
        <f t="shared" si="2"/>
        <v>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 ht="16.5" hidden="1" thickBot="1" x14ac:dyDescent="0.3">
      <c r="A67" s="162" t="s">
        <v>62</v>
      </c>
      <c r="B67" s="163" t="s">
        <v>240</v>
      </c>
      <c r="C67" s="273">
        <v>0</v>
      </c>
      <c r="D67" s="69"/>
      <c r="E67" s="115"/>
      <c r="F67" s="115">
        <f t="shared" si="1"/>
        <v>0</v>
      </c>
      <c r="G67" s="115">
        <f t="shared" si="2"/>
        <v>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</row>
    <row r="68" spans="1:50" ht="16.5" hidden="1" thickBot="1" x14ac:dyDescent="0.3">
      <c r="A68" s="162" t="s">
        <v>63</v>
      </c>
      <c r="B68" s="163" t="s">
        <v>241</v>
      </c>
      <c r="C68" s="273">
        <v>0</v>
      </c>
      <c r="D68" s="69"/>
      <c r="E68" s="115"/>
      <c r="F68" s="115">
        <f t="shared" si="1"/>
        <v>0</v>
      </c>
      <c r="G68" s="115">
        <f t="shared" si="2"/>
        <v>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</row>
    <row r="69" spans="1:50" ht="16.5" hidden="1" thickBot="1" x14ac:dyDescent="0.3">
      <c r="A69" s="162" t="s">
        <v>64</v>
      </c>
      <c r="B69" s="163" t="s">
        <v>242</v>
      </c>
      <c r="C69" s="273">
        <v>0</v>
      </c>
      <c r="D69" s="69"/>
      <c r="E69" s="115"/>
      <c r="F69" s="115">
        <f t="shared" si="1"/>
        <v>0</v>
      </c>
      <c r="G69" s="115">
        <f t="shared" si="2"/>
        <v>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</row>
    <row r="70" spans="1:50" ht="16.5" hidden="1" thickBot="1" x14ac:dyDescent="0.3">
      <c r="A70" s="162" t="s">
        <v>65</v>
      </c>
      <c r="B70" s="163" t="s">
        <v>243</v>
      </c>
      <c r="C70" s="273">
        <v>0</v>
      </c>
      <c r="D70" s="69"/>
      <c r="E70" s="115"/>
      <c r="F70" s="115">
        <f t="shared" si="1"/>
        <v>0</v>
      </c>
      <c r="G70" s="115">
        <f t="shared" si="2"/>
        <v>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</row>
    <row r="71" spans="1:50" ht="16.5" hidden="1" thickBot="1" x14ac:dyDescent="0.3">
      <c r="A71" s="162" t="s">
        <v>66</v>
      </c>
      <c r="B71" s="163" t="s">
        <v>244</v>
      </c>
      <c r="C71" s="273">
        <v>0</v>
      </c>
      <c r="D71" s="69"/>
      <c r="E71" s="115"/>
      <c r="F71" s="115">
        <f t="shared" si="1"/>
        <v>0</v>
      </c>
      <c r="G71" s="115">
        <f t="shared" si="2"/>
        <v>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</row>
    <row r="72" spans="1:50" ht="16.5" hidden="1" thickBot="1" x14ac:dyDescent="0.3">
      <c r="A72" s="162" t="s">
        <v>67</v>
      </c>
      <c r="B72" s="163" t="s">
        <v>245</v>
      </c>
      <c r="C72" s="273">
        <v>0</v>
      </c>
      <c r="D72" s="69"/>
      <c r="E72" s="115"/>
      <c r="F72" s="115">
        <f t="shared" si="1"/>
        <v>0</v>
      </c>
      <c r="G72" s="115">
        <f t="shared" si="2"/>
        <v>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</row>
    <row r="73" spans="1:50" ht="16.5" thickBot="1" x14ac:dyDescent="0.3">
      <c r="A73" s="162" t="s">
        <v>68</v>
      </c>
      <c r="B73" s="163" t="s">
        <v>246</v>
      </c>
      <c r="C73" s="273">
        <v>19969</v>
      </c>
      <c r="D73" s="69"/>
      <c r="E73" s="115"/>
      <c r="F73" s="115">
        <f t="shared" si="1"/>
        <v>18140</v>
      </c>
      <c r="G73" s="115">
        <f t="shared" si="2"/>
        <v>1829</v>
      </c>
      <c r="H73" s="107"/>
      <c r="I73" s="107"/>
      <c r="J73" s="107"/>
      <c r="K73" s="107"/>
      <c r="L73" s="107"/>
      <c r="M73" s="107"/>
      <c r="N73" s="107">
        <v>1145</v>
      </c>
      <c r="O73" s="107">
        <v>1322</v>
      </c>
      <c r="P73" s="107">
        <v>965</v>
      </c>
      <c r="Q73" s="107">
        <v>549</v>
      </c>
      <c r="R73" s="107">
        <v>1906</v>
      </c>
      <c r="S73" s="107">
        <v>1120</v>
      </c>
      <c r="T73" s="107">
        <v>1598</v>
      </c>
      <c r="U73" s="107">
        <v>1575</v>
      </c>
      <c r="V73" s="107">
        <v>5137</v>
      </c>
      <c r="W73" s="107"/>
      <c r="X73" s="107"/>
      <c r="Y73" s="107"/>
      <c r="Z73" s="107"/>
      <c r="AA73" s="107"/>
      <c r="AB73" s="107">
        <v>590</v>
      </c>
      <c r="AC73" s="107">
        <v>517</v>
      </c>
      <c r="AD73" s="107"/>
      <c r="AE73" s="107">
        <v>1716</v>
      </c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</row>
    <row r="74" spans="1:50" ht="16.5" thickBot="1" x14ac:dyDescent="0.3">
      <c r="A74" s="162" t="s">
        <v>69</v>
      </c>
      <c r="B74" s="163" t="s">
        <v>247</v>
      </c>
      <c r="C74" s="273">
        <v>41602</v>
      </c>
      <c r="D74" s="69"/>
      <c r="E74" s="115"/>
      <c r="F74" s="115">
        <f t="shared" si="1"/>
        <v>41602</v>
      </c>
      <c r="G74" s="115">
        <f t="shared" si="2"/>
        <v>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>
        <v>30421</v>
      </c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>
        <v>6181</v>
      </c>
      <c r="AE74" s="107">
        <v>3981</v>
      </c>
      <c r="AF74" s="107"/>
      <c r="AG74" s="107">
        <v>1019</v>
      </c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</row>
    <row r="75" spans="1:50" ht="16.5" hidden="1" thickBot="1" x14ac:dyDescent="0.3">
      <c r="A75" s="162" t="s">
        <v>70</v>
      </c>
      <c r="B75" s="163" t="s">
        <v>248</v>
      </c>
      <c r="C75" s="273">
        <v>0</v>
      </c>
      <c r="D75" s="69"/>
      <c r="E75" s="115"/>
      <c r="F75" s="115">
        <f t="shared" si="1"/>
        <v>0</v>
      </c>
      <c r="G75" s="115">
        <f t="shared" si="2"/>
        <v>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</row>
    <row r="76" spans="1:50" ht="16.5" thickBot="1" x14ac:dyDescent="0.3">
      <c r="A76" s="162" t="s">
        <v>71</v>
      </c>
      <c r="B76" s="163" t="s">
        <v>249</v>
      </c>
      <c r="C76" s="273">
        <v>1664</v>
      </c>
      <c r="D76" s="69"/>
      <c r="E76" s="115"/>
      <c r="F76" s="115">
        <f t="shared" si="1"/>
        <v>1664</v>
      </c>
      <c r="G76" s="115">
        <f t="shared" si="2"/>
        <v>0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>
        <v>1664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</row>
    <row r="77" spans="1:50" ht="16.5" hidden="1" thickBot="1" x14ac:dyDescent="0.3">
      <c r="A77" s="162" t="s">
        <v>72</v>
      </c>
      <c r="B77" s="163" t="s">
        <v>250</v>
      </c>
      <c r="C77" s="273">
        <v>0</v>
      </c>
      <c r="D77" s="69"/>
      <c r="E77" s="115"/>
      <c r="F77" s="115">
        <f t="shared" si="1"/>
        <v>0</v>
      </c>
      <c r="G77" s="115">
        <f t="shared" si="2"/>
        <v>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</row>
    <row r="78" spans="1:50" ht="16.5" hidden="1" thickBot="1" x14ac:dyDescent="0.3">
      <c r="A78" s="162" t="s">
        <v>73</v>
      </c>
      <c r="B78" s="163" t="s">
        <v>251</v>
      </c>
      <c r="C78" s="273">
        <v>0</v>
      </c>
      <c r="D78" s="69"/>
      <c r="E78" s="115"/>
      <c r="F78" s="115">
        <f t="shared" si="1"/>
        <v>0</v>
      </c>
      <c r="G78" s="115">
        <f t="shared" si="2"/>
        <v>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</row>
    <row r="79" spans="1:50" ht="16.5" hidden="1" thickBot="1" x14ac:dyDescent="0.3">
      <c r="A79" s="162" t="s">
        <v>74</v>
      </c>
      <c r="B79" s="163" t="s">
        <v>252</v>
      </c>
      <c r="C79" s="273">
        <v>0</v>
      </c>
      <c r="D79" s="69"/>
      <c r="E79" s="115"/>
      <c r="F79" s="115">
        <f t="shared" ref="F79:F142" si="3">SUM(H79:AX79)</f>
        <v>0</v>
      </c>
      <c r="G79" s="115">
        <f t="shared" si="2"/>
        <v>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</row>
    <row r="80" spans="1:50" ht="16.5" hidden="1" thickBot="1" x14ac:dyDescent="0.3">
      <c r="A80" s="162" t="s">
        <v>75</v>
      </c>
      <c r="B80" s="163" t="s">
        <v>253</v>
      </c>
      <c r="C80" s="273">
        <v>0</v>
      </c>
      <c r="D80" s="69"/>
      <c r="E80" s="115"/>
      <c r="F80" s="115">
        <f t="shared" si="3"/>
        <v>0</v>
      </c>
      <c r="G80" s="115">
        <f t="shared" si="2"/>
        <v>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</row>
    <row r="81" spans="1:50" ht="16.5" hidden="1" thickBot="1" x14ac:dyDescent="0.3">
      <c r="A81" s="162" t="s">
        <v>76</v>
      </c>
      <c r="B81" s="163" t="s">
        <v>254</v>
      </c>
      <c r="C81" s="273">
        <v>0</v>
      </c>
      <c r="D81" s="69"/>
      <c r="E81" s="115"/>
      <c r="F81" s="115">
        <f t="shared" si="3"/>
        <v>0</v>
      </c>
      <c r="G81" s="115">
        <f t="shared" si="2"/>
        <v>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</row>
    <row r="82" spans="1:50" ht="16.5" hidden="1" thickBot="1" x14ac:dyDescent="0.3">
      <c r="A82" s="162" t="s">
        <v>77</v>
      </c>
      <c r="B82" s="163" t="s">
        <v>255</v>
      </c>
      <c r="C82" s="273">
        <v>0</v>
      </c>
      <c r="D82" s="69"/>
      <c r="E82" s="115"/>
      <c r="F82" s="115">
        <f t="shared" si="3"/>
        <v>0</v>
      </c>
      <c r="G82" s="115">
        <f t="shared" si="2"/>
        <v>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</row>
    <row r="83" spans="1:50" ht="16.5" hidden="1" thickBot="1" x14ac:dyDescent="0.3">
      <c r="A83" s="162" t="s">
        <v>78</v>
      </c>
      <c r="B83" s="163" t="s">
        <v>256</v>
      </c>
      <c r="C83" s="273">
        <v>0</v>
      </c>
      <c r="D83" s="69"/>
      <c r="E83" s="115"/>
      <c r="F83" s="115">
        <f t="shared" si="3"/>
        <v>0</v>
      </c>
      <c r="G83" s="115">
        <f t="shared" si="2"/>
        <v>0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</row>
    <row r="84" spans="1:50" ht="16.5" hidden="1" thickBot="1" x14ac:dyDescent="0.3">
      <c r="A84" s="162" t="s">
        <v>79</v>
      </c>
      <c r="B84" s="163" t="s">
        <v>257</v>
      </c>
      <c r="C84" s="273">
        <v>0</v>
      </c>
      <c r="D84" s="69"/>
      <c r="E84" s="115"/>
      <c r="F84" s="115">
        <f t="shared" si="3"/>
        <v>0</v>
      </c>
      <c r="G84" s="115">
        <f t="shared" si="2"/>
        <v>0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</row>
    <row r="85" spans="1:50" ht="16.5" hidden="1" thickBot="1" x14ac:dyDescent="0.3">
      <c r="A85" s="162" t="s">
        <v>80</v>
      </c>
      <c r="B85" s="163" t="s">
        <v>258</v>
      </c>
      <c r="C85" s="273">
        <v>0</v>
      </c>
      <c r="D85" s="69"/>
      <c r="E85" s="115"/>
      <c r="F85" s="115">
        <f t="shared" si="3"/>
        <v>0</v>
      </c>
      <c r="G85" s="115">
        <f t="shared" si="2"/>
        <v>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</row>
    <row r="86" spans="1:50" ht="16.5" hidden="1" thickBot="1" x14ac:dyDescent="0.3">
      <c r="A86" s="162" t="s">
        <v>81</v>
      </c>
      <c r="B86" s="163" t="s">
        <v>259</v>
      </c>
      <c r="C86" s="273">
        <v>0</v>
      </c>
      <c r="D86" s="69"/>
      <c r="E86" s="115"/>
      <c r="F86" s="115">
        <f t="shared" si="3"/>
        <v>0</v>
      </c>
      <c r="G86" s="115">
        <f t="shared" ref="G86:G149" si="4">IF(ISBLANK(E86),C86-F86,C86-E86)</f>
        <v>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</row>
    <row r="87" spans="1:50" ht="16.5" hidden="1" thickBot="1" x14ac:dyDescent="0.3">
      <c r="A87" s="162" t="s">
        <v>82</v>
      </c>
      <c r="B87" s="163" t="s">
        <v>260</v>
      </c>
      <c r="C87" s="273">
        <v>0</v>
      </c>
      <c r="D87" s="69"/>
      <c r="E87" s="115"/>
      <c r="F87" s="115">
        <f t="shared" si="3"/>
        <v>0</v>
      </c>
      <c r="G87" s="115">
        <f t="shared" si="4"/>
        <v>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</row>
    <row r="88" spans="1:50" ht="16.5" thickBot="1" x14ac:dyDescent="0.3">
      <c r="A88" s="162" t="s">
        <v>83</v>
      </c>
      <c r="B88" s="163" t="s">
        <v>261</v>
      </c>
      <c r="C88" s="273">
        <v>1664</v>
      </c>
      <c r="D88" s="69" t="s">
        <v>430</v>
      </c>
      <c r="E88" s="115">
        <v>1664</v>
      </c>
      <c r="F88" s="115">
        <f t="shared" si="3"/>
        <v>0</v>
      </c>
      <c r="G88" s="115">
        <f t="shared" si="4"/>
        <v>0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</row>
    <row r="89" spans="1:50" ht="16.5" hidden="1" thickBot="1" x14ac:dyDescent="0.3">
      <c r="A89" s="162" t="s">
        <v>84</v>
      </c>
      <c r="B89" s="163" t="s">
        <v>262</v>
      </c>
      <c r="C89" s="273">
        <v>0</v>
      </c>
      <c r="D89" s="69"/>
      <c r="E89" s="115"/>
      <c r="F89" s="115">
        <f t="shared" si="3"/>
        <v>0</v>
      </c>
      <c r="G89" s="115">
        <f t="shared" si="4"/>
        <v>0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</row>
    <row r="90" spans="1:50" ht="16.5" hidden="1" thickBot="1" x14ac:dyDescent="0.3">
      <c r="A90" s="162" t="s">
        <v>85</v>
      </c>
      <c r="B90" s="164" t="s">
        <v>263</v>
      </c>
      <c r="C90" s="273">
        <v>0</v>
      </c>
      <c r="D90" s="69"/>
      <c r="E90" s="115"/>
      <c r="F90" s="115">
        <f t="shared" si="3"/>
        <v>0</v>
      </c>
      <c r="G90" s="115">
        <f t="shared" si="4"/>
        <v>0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ht="16.5" hidden="1" thickBot="1" x14ac:dyDescent="0.3">
      <c r="A91" s="162" t="s">
        <v>86</v>
      </c>
      <c r="B91" s="163" t="s">
        <v>264</v>
      </c>
      <c r="C91" s="273">
        <v>0</v>
      </c>
      <c r="D91" s="69"/>
      <c r="E91" s="115"/>
      <c r="F91" s="115">
        <f t="shared" si="3"/>
        <v>0</v>
      </c>
      <c r="G91" s="115">
        <f t="shared" si="4"/>
        <v>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</row>
    <row r="92" spans="1:50" ht="16.5" thickBot="1" x14ac:dyDescent="0.3">
      <c r="A92" s="162" t="s">
        <v>87</v>
      </c>
      <c r="B92" s="163" t="s">
        <v>265</v>
      </c>
      <c r="C92" s="273">
        <v>1664</v>
      </c>
      <c r="D92" s="69"/>
      <c r="E92" s="115"/>
      <c r="F92" s="115">
        <f t="shared" si="3"/>
        <v>383</v>
      </c>
      <c r="G92" s="115">
        <f t="shared" si="4"/>
        <v>1281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>
        <v>383</v>
      </c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</row>
    <row r="93" spans="1:50" ht="16.5" hidden="1" thickBot="1" x14ac:dyDescent="0.3">
      <c r="A93" s="162" t="s">
        <v>88</v>
      </c>
      <c r="B93" s="163" t="s">
        <v>266</v>
      </c>
      <c r="C93" s="273">
        <v>0</v>
      </c>
      <c r="D93" s="69"/>
      <c r="E93" s="115"/>
      <c r="F93" s="115">
        <f t="shared" si="3"/>
        <v>0</v>
      </c>
      <c r="G93" s="115">
        <f t="shared" si="4"/>
        <v>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</row>
    <row r="94" spans="1:50" ht="16.5" hidden="1" thickBot="1" x14ac:dyDescent="0.3">
      <c r="A94" s="162" t="s">
        <v>89</v>
      </c>
      <c r="B94" s="163" t="s">
        <v>267</v>
      </c>
      <c r="C94" s="273">
        <v>0</v>
      </c>
      <c r="D94" s="69"/>
      <c r="E94" s="115"/>
      <c r="F94" s="115">
        <f t="shared" si="3"/>
        <v>0</v>
      </c>
      <c r="G94" s="115">
        <f t="shared" si="4"/>
        <v>0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</row>
    <row r="95" spans="1:50" ht="16.5" hidden="1" thickBot="1" x14ac:dyDescent="0.3">
      <c r="A95" s="162" t="s">
        <v>90</v>
      </c>
      <c r="B95" s="163" t="s">
        <v>268</v>
      </c>
      <c r="C95" s="273">
        <v>0</v>
      </c>
      <c r="D95" s="69"/>
      <c r="E95" s="115"/>
      <c r="F95" s="115">
        <f t="shared" si="3"/>
        <v>0</v>
      </c>
      <c r="G95" s="115">
        <f t="shared" si="4"/>
        <v>0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</row>
    <row r="96" spans="1:50" ht="16.5" hidden="1" thickBot="1" x14ac:dyDescent="0.3">
      <c r="A96" s="162" t="s">
        <v>91</v>
      </c>
      <c r="B96" s="163" t="s">
        <v>269</v>
      </c>
      <c r="C96" s="273">
        <v>0</v>
      </c>
      <c r="D96" s="69"/>
      <c r="E96" s="115"/>
      <c r="F96" s="115">
        <f t="shared" si="3"/>
        <v>0</v>
      </c>
      <c r="G96" s="115">
        <f t="shared" si="4"/>
        <v>0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</row>
    <row r="97" spans="1:50" ht="16.5" thickBot="1" x14ac:dyDescent="0.3">
      <c r="A97" s="162" t="s">
        <v>92</v>
      </c>
      <c r="B97" s="163" t="s">
        <v>270</v>
      </c>
      <c r="C97" s="273">
        <v>3328</v>
      </c>
      <c r="D97" s="69" t="s">
        <v>381</v>
      </c>
      <c r="E97" s="115">
        <v>3328</v>
      </c>
      <c r="F97" s="115">
        <f t="shared" si="3"/>
        <v>0</v>
      </c>
      <c r="G97" s="115">
        <f t="shared" si="4"/>
        <v>0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</row>
    <row r="98" spans="1:50" ht="16.5" thickBot="1" x14ac:dyDescent="0.3">
      <c r="A98" s="162" t="s">
        <v>93</v>
      </c>
      <c r="B98" s="163" t="s">
        <v>271</v>
      </c>
      <c r="C98" s="273">
        <v>4992</v>
      </c>
      <c r="D98" s="69" t="s">
        <v>381</v>
      </c>
      <c r="E98" s="115">
        <v>4992</v>
      </c>
      <c r="F98" s="115">
        <f t="shared" si="3"/>
        <v>0</v>
      </c>
      <c r="G98" s="115">
        <f t="shared" si="4"/>
        <v>0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</row>
    <row r="99" spans="1:50" ht="16.5" thickBot="1" x14ac:dyDescent="0.3">
      <c r="A99" s="162" t="s">
        <v>94</v>
      </c>
      <c r="B99" s="163" t="s">
        <v>272</v>
      </c>
      <c r="C99" s="273">
        <v>0</v>
      </c>
      <c r="D99" s="69"/>
      <c r="E99" s="115"/>
      <c r="F99" s="115">
        <f t="shared" si="3"/>
        <v>0</v>
      </c>
      <c r="G99" s="115">
        <f t="shared" si="4"/>
        <v>0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</row>
    <row r="100" spans="1:50" ht="16.5" thickBot="1" x14ac:dyDescent="0.3">
      <c r="A100" s="162" t="s">
        <v>95</v>
      </c>
      <c r="B100" s="163" t="s">
        <v>273</v>
      </c>
      <c r="C100" s="273">
        <v>0</v>
      </c>
      <c r="D100" s="69"/>
      <c r="E100" s="115"/>
      <c r="F100" s="115">
        <f t="shared" si="3"/>
        <v>0</v>
      </c>
      <c r="G100" s="115">
        <f t="shared" si="4"/>
        <v>0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</row>
    <row r="101" spans="1:50" ht="16.5" thickBot="1" x14ac:dyDescent="0.3">
      <c r="A101" s="162" t="s">
        <v>96</v>
      </c>
      <c r="B101" s="163" t="s">
        <v>274</v>
      </c>
      <c r="C101" s="273">
        <v>0</v>
      </c>
      <c r="D101" s="69"/>
      <c r="E101" s="115"/>
      <c r="F101" s="115">
        <f t="shared" si="3"/>
        <v>0</v>
      </c>
      <c r="G101" s="115">
        <f t="shared" si="4"/>
        <v>0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</row>
    <row r="102" spans="1:50" ht="16.5" thickBot="1" x14ac:dyDescent="0.3">
      <c r="A102" s="162" t="s">
        <v>97</v>
      </c>
      <c r="B102" s="163" t="s">
        <v>275</v>
      </c>
      <c r="C102" s="273">
        <v>0</v>
      </c>
      <c r="D102" s="69"/>
      <c r="E102" s="115"/>
      <c r="F102" s="115">
        <f t="shared" si="3"/>
        <v>0</v>
      </c>
      <c r="G102" s="115">
        <f t="shared" si="4"/>
        <v>0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</row>
    <row r="103" spans="1:50" ht="16.5" thickBot="1" x14ac:dyDescent="0.3">
      <c r="A103" s="162" t="s">
        <v>98</v>
      </c>
      <c r="B103" s="163" t="s">
        <v>276</v>
      </c>
      <c r="C103" s="273">
        <v>440983</v>
      </c>
      <c r="D103" s="69"/>
      <c r="E103" s="115"/>
      <c r="F103" s="115">
        <f t="shared" si="3"/>
        <v>396892</v>
      </c>
      <c r="G103" s="115">
        <f t="shared" si="4"/>
        <v>44091</v>
      </c>
      <c r="H103" s="107"/>
      <c r="I103" s="107"/>
      <c r="J103" s="107"/>
      <c r="K103" s="107"/>
      <c r="L103" s="107">
        <v>35784</v>
      </c>
      <c r="M103" s="107"/>
      <c r="N103" s="107"/>
      <c r="O103" s="107">
        <v>45038</v>
      </c>
      <c r="P103" s="107"/>
      <c r="Q103" s="107">
        <v>46254</v>
      </c>
      <c r="R103" s="107"/>
      <c r="S103" s="107">
        <v>58954</v>
      </c>
      <c r="T103" s="107"/>
      <c r="U103" s="107">
        <v>54481</v>
      </c>
      <c r="V103" s="107"/>
      <c r="W103" s="107"/>
      <c r="X103" s="107"/>
      <c r="Y103" s="107"/>
      <c r="Z103" s="107">
        <v>42099</v>
      </c>
      <c r="AA103" s="107"/>
      <c r="AB103" s="107">
        <v>22144</v>
      </c>
      <c r="AC103" s="107"/>
      <c r="AD103" s="107">
        <v>26891</v>
      </c>
      <c r="AE103" s="107"/>
      <c r="AF103" s="107">
        <v>28767</v>
      </c>
      <c r="AG103" s="107"/>
      <c r="AH103" s="107"/>
      <c r="AI103" s="107"/>
      <c r="AJ103" s="107">
        <v>24936</v>
      </c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>
        <v>7561</v>
      </c>
      <c r="AW103" s="107"/>
      <c r="AX103" s="107">
        <v>3983</v>
      </c>
    </row>
    <row r="104" spans="1:50" ht="16.5" hidden="1" thickBot="1" x14ac:dyDescent="0.3">
      <c r="A104" s="162" t="s">
        <v>99</v>
      </c>
      <c r="B104" s="163" t="s">
        <v>277</v>
      </c>
      <c r="C104" s="273">
        <v>0</v>
      </c>
      <c r="D104" s="69"/>
      <c r="E104" s="115"/>
      <c r="F104" s="115">
        <f t="shared" si="3"/>
        <v>0</v>
      </c>
      <c r="G104" s="115">
        <f t="shared" si="4"/>
        <v>0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</row>
    <row r="105" spans="1:50" ht="16.5" hidden="1" thickBot="1" x14ac:dyDescent="0.3">
      <c r="A105" s="162" t="s">
        <v>100</v>
      </c>
      <c r="B105" s="163" t="s">
        <v>278</v>
      </c>
      <c r="C105" s="273">
        <v>0</v>
      </c>
      <c r="D105" s="69"/>
      <c r="E105" s="115"/>
      <c r="F105" s="115">
        <f t="shared" si="3"/>
        <v>0</v>
      </c>
      <c r="G105" s="115">
        <f t="shared" si="4"/>
        <v>0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</row>
    <row r="106" spans="1:50" ht="16.5" hidden="1" thickBot="1" x14ac:dyDescent="0.3">
      <c r="A106" s="162" t="s">
        <v>101</v>
      </c>
      <c r="B106" s="163" t="s">
        <v>279</v>
      </c>
      <c r="C106" s="273">
        <v>0</v>
      </c>
      <c r="D106" s="69"/>
      <c r="E106" s="115"/>
      <c r="F106" s="115">
        <f t="shared" si="3"/>
        <v>0</v>
      </c>
      <c r="G106" s="115">
        <f t="shared" si="4"/>
        <v>0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</row>
    <row r="107" spans="1:50" ht="16.5" hidden="1" thickBot="1" x14ac:dyDescent="0.3">
      <c r="A107" s="162" t="s">
        <v>102</v>
      </c>
      <c r="B107" s="163" t="s">
        <v>280</v>
      </c>
      <c r="C107" s="273">
        <v>0</v>
      </c>
      <c r="D107" s="69"/>
      <c r="E107" s="115"/>
      <c r="F107" s="115">
        <f t="shared" si="3"/>
        <v>0</v>
      </c>
      <c r="G107" s="115">
        <f t="shared" si="4"/>
        <v>0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</row>
    <row r="108" spans="1:50" ht="16.5" hidden="1" thickBot="1" x14ac:dyDescent="0.3">
      <c r="A108" s="162" t="s">
        <v>103</v>
      </c>
      <c r="B108" s="163" t="s">
        <v>281</v>
      </c>
      <c r="C108" s="273">
        <v>0</v>
      </c>
      <c r="D108" s="69"/>
      <c r="E108" s="115"/>
      <c r="F108" s="115">
        <f t="shared" si="3"/>
        <v>0</v>
      </c>
      <c r="G108" s="115">
        <f t="shared" si="4"/>
        <v>0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</row>
    <row r="109" spans="1:50" ht="16.5" hidden="1" thickBot="1" x14ac:dyDescent="0.3">
      <c r="A109" s="162" t="s">
        <v>104</v>
      </c>
      <c r="B109" s="163" t="s">
        <v>282</v>
      </c>
      <c r="C109" s="273">
        <v>0</v>
      </c>
      <c r="D109" s="69"/>
      <c r="E109" s="115"/>
      <c r="F109" s="115">
        <f t="shared" si="3"/>
        <v>0</v>
      </c>
      <c r="G109" s="115">
        <f t="shared" si="4"/>
        <v>0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</row>
    <row r="110" spans="1:50" ht="16.5" hidden="1" thickBot="1" x14ac:dyDescent="0.3">
      <c r="A110" s="162" t="s">
        <v>105</v>
      </c>
      <c r="B110" s="163" t="s">
        <v>283</v>
      </c>
      <c r="C110" s="273">
        <v>0</v>
      </c>
      <c r="D110" s="69"/>
      <c r="E110" s="115"/>
      <c r="F110" s="115">
        <f t="shared" si="3"/>
        <v>0</v>
      </c>
      <c r="G110" s="115">
        <f t="shared" si="4"/>
        <v>0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</row>
    <row r="111" spans="1:50" ht="16.5" hidden="1" thickBot="1" x14ac:dyDescent="0.3">
      <c r="A111" s="162" t="s">
        <v>106</v>
      </c>
      <c r="B111" s="163" t="s">
        <v>284</v>
      </c>
      <c r="C111" s="273">
        <v>0</v>
      </c>
      <c r="D111" s="69"/>
      <c r="E111" s="115"/>
      <c r="F111" s="115">
        <f t="shared" si="3"/>
        <v>0</v>
      </c>
      <c r="G111" s="115">
        <f t="shared" si="4"/>
        <v>0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</row>
    <row r="112" spans="1:50" ht="16.5" hidden="1" thickBot="1" x14ac:dyDescent="0.3">
      <c r="A112" s="162" t="s">
        <v>107</v>
      </c>
      <c r="B112" s="163" t="s">
        <v>285</v>
      </c>
      <c r="C112" s="273">
        <v>0</v>
      </c>
      <c r="D112" s="69"/>
      <c r="E112" s="115"/>
      <c r="F112" s="115">
        <f t="shared" si="3"/>
        <v>0</v>
      </c>
      <c r="G112" s="115">
        <f t="shared" si="4"/>
        <v>0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</row>
    <row r="113" spans="1:50" ht="16.5" hidden="1" thickBot="1" x14ac:dyDescent="0.3">
      <c r="A113" s="162" t="s">
        <v>108</v>
      </c>
      <c r="B113" s="163" t="s">
        <v>286</v>
      </c>
      <c r="C113" s="273">
        <v>0</v>
      </c>
      <c r="D113" s="69"/>
      <c r="E113" s="115"/>
      <c r="F113" s="115">
        <f t="shared" si="3"/>
        <v>0</v>
      </c>
      <c r="G113" s="115">
        <f t="shared" si="4"/>
        <v>0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</row>
    <row r="114" spans="1:50" ht="16.5" hidden="1" thickBot="1" x14ac:dyDescent="0.3">
      <c r="A114" s="162" t="s">
        <v>109</v>
      </c>
      <c r="B114" s="163" t="s">
        <v>287</v>
      </c>
      <c r="C114" s="273">
        <v>0</v>
      </c>
      <c r="D114" s="69"/>
      <c r="E114" s="115"/>
      <c r="F114" s="115">
        <f t="shared" si="3"/>
        <v>0</v>
      </c>
      <c r="G114" s="115">
        <f t="shared" si="4"/>
        <v>0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</row>
    <row r="115" spans="1:50" ht="16.5" hidden="1" thickBot="1" x14ac:dyDescent="0.3">
      <c r="A115" s="162" t="s">
        <v>110</v>
      </c>
      <c r="B115" s="163" t="s">
        <v>288</v>
      </c>
      <c r="C115" s="273">
        <v>0</v>
      </c>
      <c r="D115" s="69"/>
      <c r="E115" s="115"/>
      <c r="F115" s="115">
        <f t="shared" si="3"/>
        <v>0</v>
      </c>
      <c r="G115" s="115">
        <f t="shared" si="4"/>
        <v>0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</row>
    <row r="116" spans="1:50" ht="16.5" hidden="1" thickBot="1" x14ac:dyDescent="0.3">
      <c r="A116" s="162" t="s">
        <v>111</v>
      </c>
      <c r="B116" s="163" t="s">
        <v>289</v>
      </c>
      <c r="C116" s="273">
        <v>0</v>
      </c>
      <c r="D116" s="69"/>
      <c r="E116" s="115"/>
      <c r="F116" s="115">
        <f t="shared" si="3"/>
        <v>0</v>
      </c>
      <c r="G116" s="115">
        <f t="shared" si="4"/>
        <v>0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</row>
    <row r="117" spans="1:50" ht="16.5" hidden="1" thickBot="1" x14ac:dyDescent="0.3">
      <c r="A117" s="162" t="s">
        <v>112</v>
      </c>
      <c r="B117" s="163" t="s">
        <v>290</v>
      </c>
      <c r="C117" s="273">
        <v>0</v>
      </c>
      <c r="D117" s="69"/>
      <c r="E117" s="115"/>
      <c r="F117" s="115">
        <f t="shared" si="3"/>
        <v>0</v>
      </c>
      <c r="G117" s="115">
        <f t="shared" si="4"/>
        <v>0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</row>
    <row r="118" spans="1:50" ht="16.5" hidden="1" thickBot="1" x14ac:dyDescent="0.3">
      <c r="A118" s="162" t="s">
        <v>113</v>
      </c>
      <c r="B118" s="163" t="s">
        <v>291</v>
      </c>
      <c r="C118" s="273">
        <v>0</v>
      </c>
      <c r="D118" s="69"/>
      <c r="E118" s="115"/>
      <c r="F118" s="115">
        <f t="shared" si="3"/>
        <v>0</v>
      </c>
      <c r="G118" s="115">
        <f t="shared" si="4"/>
        <v>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</row>
    <row r="119" spans="1:50" ht="16.5" hidden="1" thickBot="1" x14ac:dyDescent="0.3">
      <c r="A119" s="162" t="s">
        <v>114</v>
      </c>
      <c r="B119" s="163" t="s">
        <v>292</v>
      </c>
      <c r="C119" s="273">
        <v>0</v>
      </c>
      <c r="D119" s="69"/>
      <c r="E119" s="115"/>
      <c r="F119" s="115">
        <f t="shared" si="3"/>
        <v>0</v>
      </c>
      <c r="G119" s="115">
        <f t="shared" si="4"/>
        <v>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</row>
    <row r="120" spans="1:50" ht="16.5" hidden="1" thickBot="1" x14ac:dyDescent="0.3">
      <c r="A120" s="162" t="s">
        <v>115</v>
      </c>
      <c r="B120" s="163" t="s">
        <v>293</v>
      </c>
      <c r="C120" s="273">
        <v>0</v>
      </c>
      <c r="D120" s="69"/>
      <c r="E120" s="115"/>
      <c r="F120" s="115">
        <f t="shared" si="3"/>
        <v>0</v>
      </c>
      <c r="G120" s="115">
        <f t="shared" si="4"/>
        <v>0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</row>
    <row r="121" spans="1:50" ht="16.5" hidden="1" thickBot="1" x14ac:dyDescent="0.3">
      <c r="A121" s="162" t="s">
        <v>116</v>
      </c>
      <c r="B121" s="163" t="s">
        <v>294</v>
      </c>
      <c r="C121" s="273">
        <v>0</v>
      </c>
      <c r="D121" s="69"/>
      <c r="E121" s="115"/>
      <c r="F121" s="115">
        <f t="shared" si="3"/>
        <v>0</v>
      </c>
      <c r="G121" s="115">
        <f t="shared" si="4"/>
        <v>0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</row>
    <row r="122" spans="1:50" ht="16.5" hidden="1" thickBot="1" x14ac:dyDescent="0.3">
      <c r="A122" s="162" t="s">
        <v>117</v>
      </c>
      <c r="B122" s="163" t="s">
        <v>295</v>
      </c>
      <c r="C122" s="273">
        <v>0</v>
      </c>
      <c r="D122" s="69"/>
      <c r="E122" s="115"/>
      <c r="F122" s="115">
        <f t="shared" si="3"/>
        <v>0</v>
      </c>
      <c r="G122" s="115">
        <f t="shared" si="4"/>
        <v>0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</row>
    <row r="123" spans="1:50" ht="16.5" hidden="1" thickBot="1" x14ac:dyDescent="0.3">
      <c r="A123" s="162" t="s">
        <v>118</v>
      </c>
      <c r="B123" s="163" t="s">
        <v>296</v>
      </c>
      <c r="C123" s="273">
        <v>0</v>
      </c>
      <c r="D123" s="69"/>
      <c r="E123" s="115"/>
      <c r="F123" s="115">
        <f t="shared" si="3"/>
        <v>0</v>
      </c>
      <c r="G123" s="115">
        <f t="shared" si="4"/>
        <v>0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</row>
    <row r="124" spans="1:50" ht="16.5" hidden="1" thickBot="1" x14ac:dyDescent="0.3">
      <c r="A124" s="162" t="s">
        <v>119</v>
      </c>
      <c r="B124" s="163" t="s">
        <v>297</v>
      </c>
      <c r="C124" s="273">
        <v>0</v>
      </c>
      <c r="D124" s="69"/>
      <c r="E124" s="115"/>
      <c r="F124" s="115">
        <f t="shared" si="3"/>
        <v>0</v>
      </c>
      <c r="G124" s="115">
        <f t="shared" si="4"/>
        <v>0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</row>
    <row r="125" spans="1:50" ht="16.5" hidden="1" thickBot="1" x14ac:dyDescent="0.3">
      <c r="A125" s="162" t="s">
        <v>120</v>
      </c>
      <c r="B125" s="163" t="s">
        <v>298</v>
      </c>
      <c r="C125" s="273">
        <v>0</v>
      </c>
      <c r="D125" s="69"/>
      <c r="E125" s="115"/>
      <c r="F125" s="115">
        <f t="shared" si="3"/>
        <v>0</v>
      </c>
      <c r="G125" s="115">
        <f t="shared" si="4"/>
        <v>0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</row>
    <row r="126" spans="1:50" ht="16.5" hidden="1" thickBot="1" x14ac:dyDescent="0.3">
      <c r="A126" s="162" t="s">
        <v>121</v>
      </c>
      <c r="B126" s="163" t="s">
        <v>299</v>
      </c>
      <c r="C126" s="273">
        <v>0</v>
      </c>
      <c r="D126" s="69"/>
      <c r="E126" s="115"/>
      <c r="F126" s="115">
        <f t="shared" si="3"/>
        <v>0</v>
      </c>
      <c r="G126" s="115">
        <f t="shared" si="4"/>
        <v>0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</row>
    <row r="127" spans="1:50" ht="16.5" hidden="1" thickBot="1" x14ac:dyDescent="0.3">
      <c r="A127" s="162" t="s">
        <v>122</v>
      </c>
      <c r="B127" s="163" t="s">
        <v>300</v>
      </c>
      <c r="C127" s="273">
        <v>0</v>
      </c>
      <c r="D127" s="69"/>
      <c r="E127" s="115"/>
      <c r="F127" s="115">
        <f t="shared" si="3"/>
        <v>0</v>
      </c>
      <c r="G127" s="115">
        <f t="shared" si="4"/>
        <v>0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</row>
    <row r="128" spans="1:50" ht="16.5" hidden="1" thickBot="1" x14ac:dyDescent="0.3">
      <c r="A128" s="162" t="s">
        <v>123</v>
      </c>
      <c r="B128" s="163" t="s">
        <v>301</v>
      </c>
      <c r="C128" s="273">
        <v>0</v>
      </c>
      <c r="D128" s="69"/>
      <c r="E128" s="115"/>
      <c r="F128" s="115">
        <f t="shared" si="3"/>
        <v>0</v>
      </c>
      <c r="G128" s="115">
        <f t="shared" si="4"/>
        <v>0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</row>
    <row r="129" spans="1:50" ht="16.5" hidden="1" thickBot="1" x14ac:dyDescent="0.3">
      <c r="A129" s="162" t="s">
        <v>124</v>
      </c>
      <c r="B129" s="163" t="s">
        <v>302</v>
      </c>
      <c r="C129" s="273">
        <v>0</v>
      </c>
      <c r="D129" s="69"/>
      <c r="E129" s="115"/>
      <c r="F129" s="115">
        <f t="shared" si="3"/>
        <v>0</v>
      </c>
      <c r="G129" s="115">
        <f t="shared" si="4"/>
        <v>0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</row>
    <row r="130" spans="1:50" ht="16.5" hidden="1" thickBot="1" x14ac:dyDescent="0.3">
      <c r="A130" s="162" t="s">
        <v>125</v>
      </c>
      <c r="B130" s="163" t="s">
        <v>303</v>
      </c>
      <c r="C130" s="273">
        <v>0</v>
      </c>
      <c r="D130" s="69"/>
      <c r="E130" s="115"/>
      <c r="F130" s="115">
        <f t="shared" si="3"/>
        <v>0</v>
      </c>
      <c r="G130" s="115">
        <f t="shared" si="4"/>
        <v>0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</row>
    <row r="131" spans="1:50" ht="16.5" hidden="1" thickBot="1" x14ac:dyDescent="0.3">
      <c r="A131" s="162" t="s">
        <v>126</v>
      </c>
      <c r="B131" s="163" t="s">
        <v>304</v>
      </c>
      <c r="C131" s="273">
        <v>0</v>
      </c>
      <c r="D131" s="69"/>
      <c r="E131" s="115"/>
      <c r="F131" s="115">
        <f t="shared" si="3"/>
        <v>0</v>
      </c>
      <c r="G131" s="115">
        <f t="shared" si="4"/>
        <v>0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</row>
    <row r="132" spans="1:50" ht="16.5" hidden="1" thickBot="1" x14ac:dyDescent="0.3">
      <c r="A132" s="162" t="s">
        <v>127</v>
      </c>
      <c r="B132" s="163" t="s">
        <v>305</v>
      </c>
      <c r="C132" s="273">
        <v>0</v>
      </c>
      <c r="D132" s="69"/>
      <c r="E132" s="115"/>
      <c r="F132" s="115">
        <f t="shared" si="3"/>
        <v>0</v>
      </c>
      <c r="G132" s="115">
        <f t="shared" si="4"/>
        <v>0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</row>
    <row r="133" spans="1:50" ht="16.5" thickBot="1" x14ac:dyDescent="0.3">
      <c r="A133" s="162" t="s">
        <v>128</v>
      </c>
      <c r="B133" s="163" t="s">
        <v>306</v>
      </c>
      <c r="C133" s="273">
        <v>36610</v>
      </c>
      <c r="D133" s="69" t="s">
        <v>431</v>
      </c>
      <c r="E133" s="115">
        <v>36610</v>
      </c>
      <c r="F133" s="115">
        <f t="shared" si="3"/>
        <v>0</v>
      </c>
      <c r="G133" s="115">
        <f t="shared" si="4"/>
        <v>0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</row>
    <row r="134" spans="1:50" ht="16.5" thickBot="1" x14ac:dyDescent="0.3">
      <c r="A134" s="162" t="s">
        <v>129</v>
      </c>
      <c r="B134" s="163" t="s">
        <v>307</v>
      </c>
      <c r="C134" s="273">
        <v>1664</v>
      </c>
      <c r="D134" s="69"/>
      <c r="E134" s="115"/>
      <c r="F134" s="115">
        <f t="shared" si="3"/>
        <v>0</v>
      </c>
      <c r="G134" s="115">
        <f t="shared" si="4"/>
        <v>1664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</row>
    <row r="135" spans="1:50" ht="16.5" hidden="1" thickBot="1" x14ac:dyDescent="0.3">
      <c r="A135" s="162" t="s">
        <v>130</v>
      </c>
      <c r="B135" s="163" t="s">
        <v>308</v>
      </c>
      <c r="C135" s="273">
        <v>0</v>
      </c>
      <c r="D135" s="69"/>
      <c r="E135" s="115"/>
      <c r="F135" s="115">
        <f t="shared" si="3"/>
        <v>0</v>
      </c>
      <c r="G135" s="115">
        <f t="shared" si="4"/>
        <v>0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</row>
    <row r="136" spans="1:50" ht="16.5" hidden="1" thickBot="1" x14ac:dyDescent="0.3">
      <c r="A136" s="162" t="s">
        <v>131</v>
      </c>
      <c r="B136" s="163" t="s">
        <v>309</v>
      </c>
      <c r="C136" s="273">
        <v>0</v>
      </c>
      <c r="D136" s="69"/>
      <c r="E136" s="115"/>
      <c r="F136" s="115">
        <f t="shared" si="3"/>
        <v>0</v>
      </c>
      <c r="G136" s="115">
        <f t="shared" si="4"/>
        <v>0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</row>
    <row r="137" spans="1:50" ht="16.5" hidden="1" thickBot="1" x14ac:dyDescent="0.3">
      <c r="A137" s="162" t="s">
        <v>132</v>
      </c>
      <c r="B137" s="163" t="s">
        <v>310</v>
      </c>
      <c r="C137" s="273">
        <v>0</v>
      </c>
      <c r="D137" s="69"/>
      <c r="E137" s="115"/>
      <c r="F137" s="115">
        <f t="shared" si="3"/>
        <v>0</v>
      </c>
      <c r="G137" s="115">
        <f t="shared" si="4"/>
        <v>0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</row>
    <row r="138" spans="1:50" ht="16.5" hidden="1" thickBot="1" x14ac:dyDescent="0.3">
      <c r="A138" s="162" t="s">
        <v>133</v>
      </c>
      <c r="B138" s="163" t="s">
        <v>311</v>
      </c>
      <c r="C138" s="273">
        <v>0</v>
      </c>
      <c r="D138" s="69"/>
      <c r="E138" s="115"/>
      <c r="F138" s="115">
        <f t="shared" si="3"/>
        <v>0</v>
      </c>
      <c r="G138" s="115">
        <f t="shared" si="4"/>
        <v>0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</row>
    <row r="139" spans="1:50" ht="16.5" hidden="1" thickBot="1" x14ac:dyDescent="0.3">
      <c r="A139" s="162" t="s">
        <v>134</v>
      </c>
      <c r="B139" s="163" t="s">
        <v>312</v>
      </c>
      <c r="C139" s="273">
        <v>0</v>
      </c>
      <c r="D139" s="69"/>
      <c r="E139" s="115"/>
      <c r="F139" s="115">
        <f t="shared" si="3"/>
        <v>0</v>
      </c>
      <c r="G139" s="115">
        <f t="shared" si="4"/>
        <v>0</v>
      </c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</row>
    <row r="140" spans="1:50" ht="16.5" hidden="1" thickBot="1" x14ac:dyDescent="0.3">
      <c r="A140" s="162" t="s">
        <v>135</v>
      </c>
      <c r="B140" s="163" t="s">
        <v>313</v>
      </c>
      <c r="C140" s="273">
        <v>0</v>
      </c>
      <c r="D140" s="69"/>
      <c r="E140" s="115"/>
      <c r="F140" s="115">
        <f t="shared" si="3"/>
        <v>0</v>
      </c>
      <c r="G140" s="115">
        <f t="shared" si="4"/>
        <v>0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</row>
    <row r="141" spans="1:50" ht="16.5" hidden="1" thickBot="1" x14ac:dyDescent="0.3">
      <c r="A141" s="162" t="s">
        <v>136</v>
      </c>
      <c r="B141" s="163" t="s">
        <v>314</v>
      </c>
      <c r="C141" s="273">
        <v>0</v>
      </c>
      <c r="D141" s="69"/>
      <c r="E141" s="115"/>
      <c r="F141" s="115">
        <f t="shared" si="3"/>
        <v>0</v>
      </c>
      <c r="G141" s="115">
        <f t="shared" si="4"/>
        <v>0</v>
      </c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</row>
    <row r="142" spans="1:50" ht="16.5" hidden="1" thickBot="1" x14ac:dyDescent="0.3">
      <c r="A142" s="162" t="s">
        <v>137</v>
      </c>
      <c r="B142" s="163" t="s">
        <v>315</v>
      </c>
      <c r="C142" s="273">
        <v>0</v>
      </c>
      <c r="D142" s="69"/>
      <c r="E142" s="115"/>
      <c r="F142" s="115">
        <f t="shared" si="3"/>
        <v>0</v>
      </c>
      <c r="G142" s="115">
        <f t="shared" si="4"/>
        <v>0</v>
      </c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</row>
    <row r="143" spans="1:50" ht="16.5" hidden="1" thickBot="1" x14ac:dyDescent="0.3">
      <c r="A143" s="162" t="s">
        <v>138</v>
      </c>
      <c r="B143" s="163" t="s">
        <v>316</v>
      </c>
      <c r="C143" s="273">
        <v>0</v>
      </c>
      <c r="D143" s="69"/>
      <c r="E143" s="115"/>
      <c r="F143" s="115">
        <f t="shared" ref="F143:F202" si="5">SUM(H143:AX143)</f>
        <v>0</v>
      </c>
      <c r="G143" s="115">
        <f t="shared" si="4"/>
        <v>0</v>
      </c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</row>
    <row r="144" spans="1:50" ht="16.5" hidden="1" thickBot="1" x14ac:dyDescent="0.3">
      <c r="A144" s="162" t="s">
        <v>139</v>
      </c>
      <c r="B144" s="163" t="s">
        <v>317</v>
      </c>
      <c r="C144" s="273">
        <v>0</v>
      </c>
      <c r="D144" s="69"/>
      <c r="E144" s="115"/>
      <c r="F144" s="115">
        <f t="shared" si="5"/>
        <v>0</v>
      </c>
      <c r="G144" s="115">
        <f t="shared" si="4"/>
        <v>0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</row>
    <row r="145" spans="1:50" ht="16.5" hidden="1" thickBot="1" x14ac:dyDescent="0.3">
      <c r="A145" s="162" t="s">
        <v>140</v>
      </c>
      <c r="B145" s="163" t="s">
        <v>318</v>
      </c>
      <c r="C145" s="273">
        <v>0</v>
      </c>
      <c r="D145" s="69"/>
      <c r="E145" s="115"/>
      <c r="F145" s="115">
        <f t="shared" si="5"/>
        <v>0</v>
      </c>
      <c r="G145" s="115">
        <f t="shared" si="4"/>
        <v>0</v>
      </c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</row>
    <row r="146" spans="1:50" ht="16.5" hidden="1" thickBot="1" x14ac:dyDescent="0.3">
      <c r="A146" s="162" t="s">
        <v>141</v>
      </c>
      <c r="B146" s="163" t="s">
        <v>319</v>
      </c>
      <c r="C146" s="273">
        <v>0</v>
      </c>
      <c r="D146" s="69"/>
      <c r="E146" s="115"/>
      <c r="F146" s="115">
        <f t="shared" si="5"/>
        <v>0</v>
      </c>
      <c r="G146" s="115">
        <f t="shared" si="4"/>
        <v>0</v>
      </c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</row>
    <row r="147" spans="1:50" ht="16.5" hidden="1" thickBot="1" x14ac:dyDescent="0.3">
      <c r="A147" s="162" t="s">
        <v>142</v>
      </c>
      <c r="B147" s="163" t="s">
        <v>320</v>
      </c>
      <c r="C147" s="273">
        <v>0</v>
      </c>
      <c r="D147" s="69"/>
      <c r="E147" s="115"/>
      <c r="F147" s="115">
        <f t="shared" si="5"/>
        <v>0</v>
      </c>
      <c r="G147" s="115">
        <f t="shared" si="4"/>
        <v>0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</row>
    <row r="148" spans="1:50" ht="16.5" hidden="1" thickBot="1" x14ac:dyDescent="0.3">
      <c r="A148" s="162" t="s">
        <v>143</v>
      </c>
      <c r="B148" s="163" t="s">
        <v>321</v>
      </c>
      <c r="C148" s="273">
        <v>0</v>
      </c>
      <c r="D148" s="69"/>
      <c r="E148" s="115"/>
      <c r="F148" s="115">
        <f t="shared" si="5"/>
        <v>0</v>
      </c>
      <c r="G148" s="115">
        <f t="shared" si="4"/>
        <v>0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</row>
    <row r="149" spans="1:50" ht="16.5" hidden="1" thickBot="1" x14ac:dyDescent="0.3">
      <c r="A149" s="162" t="s">
        <v>144</v>
      </c>
      <c r="B149" s="163" t="s">
        <v>322</v>
      </c>
      <c r="C149" s="273">
        <v>0</v>
      </c>
      <c r="D149" s="69"/>
      <c r="E149" s="115"/>
      <c r="F149" s="115">
        <f t="shared" si="5"/>
        <v>0</v>
      </c>
      <c r="G149" s="115">
        <f t="shared" si="4"/>
        <v>0</v>
      </c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</row>
    <row r="150" spans="1:50" ht="16.5" hidden="1" thickBot="1" x14ac:dyDescent="0.3">
      <c r="A150" s="162" t="s">
        <v>145</v>
      </c>
      <c r="B150" s="163" t="s">
        <v>323</v>
      </c>
      <c r="C150" s="273">
        <v>0</v>
      </c>
      <c r="D150" s="69"/>
      <c r="E150" s="115"/>
      <c r="F150" s="115">
        <f t="shared" si="5"/>
        <v>0</v>
      </c>
      <c r="G150" s="115">
        <f t="shared" ref="G150:G202" si="6">IF(ISBLANK(E150),C150-F150,C150-E150)</f>
        <v>0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</row>
    <row r="151" spans="1:50" ht="16.5" hidden="1" thickBot="1" x14ac:dyDescent="0.3">
      <c r="A151" s="162" t="s">
        <v>146</v>
      </c>
      <c r="B151" s="163" t="s">
        <v>324</v>
      </c>
      <c r="C151" s="273">
        <v>0</v>
      </c>
      <c r="D151" s="69"/>
      <c r="E151" s="115"/>
      <c r="F151" s="115">
        <f t="shared" si="5"/>
        <v>0</v>
      </c>
      <c r="G151" s="115">
        <f t="shared" si="6"/>
        <v>0</v>
      </c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</row>
    <row r="152" spans="1:50" ht="16.5" hidden="1" thickBot="1" x14ac:dyDescent="0.3">
      <c r="A152" s="162" t="s">
        <v>147</v>
      </c>
      <c r="B152" s="163" t="s">
        <v>325</v>
      </c>
      <c r="C152" s="273">
        <v>0</v>
      </c>
      <c r="D152" s="69"/>
      <c r="E152" s="115"/>
      <c r="F152" s="115">
        <f t="shared" si="5"/>
        <v>0</v>
      </c>
      <c r="G152" s="115">
        <f t="shared" si="6"/>
        <v>0</v>
      </c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</row>
    <row r="153" spans="1:50" ht="16.5" hidden="1" thickBot="1" x14ac:dyDescent="0.3">
      <c r="A153" s="162" t="s">
        <v>148</v>
      </c>
      <c r="B153" s="163" t="s">
        <v>326</v>
      </c>
      <c r="C153" s="273">
        <v>0</v>
      </c>
      <c r="D153" s="69"/>
      <c r="E153" s="115"/>
      <c r="F153" s="115">
        <f t="shared" si="5"/>
        <v>0</v>
      </c>
      <c r="G153" s="115">
        <f t="shared" si="6"/>
        <v>0</v>
      </c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</row>
    <row r="154" spans="1:50" ht="16.5" hidden="1" thickBot="1" x14ac:dyDescent="0.3">
      <c r="A154" s="162" t="s">
        <v>149</v>
      </c>
      <c r="B154" s="163" t="s">
        <v>327</v>
      </c>
      <c r="C154" s="273">
        <v>0</v>
      </c>
      <c r="D154" s="69"/>
      <c r="E154" s="115"/>
      <c r="F154" s="115">
        <f t="shared" si="5"/>
        <v>0</v>
      </c>
      <c r="G154" s="115">
        <f t="shared" si="6"/>
        <v>0</v>
      </c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</row>
    <row r="155" spans="1:50" ht="16.5" hidden="1" thickBot="1" x14ac:dyDescent="0.3">
      <c r="A155" s="162" t="s">
        <v>150</v>
      </c>
      <c r="B155" s="163" t="s">
        <v>328</v>
      </c>
      <c r="C155" s="273">
        <v>0</v>
      </c>
      <c r="D155" s="69"/>
      <c r="E155" s="115"/>
      <c r="F155" s="115">
        <f t="shared" si="5"/>
        <v>0</v>
      </c>
      <c r="G155" s="115">
        <f t="shared" si="6"/>
        <v>0</v>
      </c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</row>
    <row r="156" spans="1:50" ht="16.5" hidden="1" thickBot="1" x14ac:dyDescent="0.3">
      <c r="A156" s="162" t="s">
        <v>151</v>
      </c>
      <c r="B156" s="163" t="s">
        <v>329</v>
      </c>
      <c r="C156" s="273">
        <v>0</v>
      </c>
      <c r="D156" s="69"/>
      <c r="E156" s="115"/>
      <c r="F156" s="115">
        <f t="shared" si="5"/>
        <v>0</v>
      </c>
      <c r="G156" s="115">
        <f t="shared" si="6"/>
        <v>0</v>
      </c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</row>
    <row r="157" spans="1:50" ht="16.5" thickBot="1" x14ac:dyDescent="0.3">
      <c r="A157" s="162" t="s">
        <v>152</v>
      </c>
      <c r="B157" s="163" t="s">
        <v>330</v>
      </c>
      <c r="C157" s="273">
        <v>1664</v>
      </c>
      <c r="D157" s="69" t="s">
        <v>384</v>
      </c>
      <c r="E157" s="115">
        <v>1664</v>
      </c>
      <c r="F157" s="115">
        <f t="shared" si="5"/>
        <v>0</v>
      </c>
      <c r="G157" s="115">
        <f t="shared" si="6"/>
        <v>0</v>
      </c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</row>
    <row r="158" spans="1:50" ht="16.5" thickBot="1" x14ac:dyDescent="0.3">
      <c r="A158" s="162" t="s">
        <v>153</v>
      </c>
      <c r="B158" s="163" t="s">
        <v>331</v>
      </c>
      <c r="C158" s="273">
        <v>6656</v>
      </c>
      <c r="D158" s="69"/>
      <c r="E158" s="115"/>
      <c r="F158" s="115">
        <f t="shared" si="5"/>
        <v>6656</v>
      </c>
      <c r="G158" s="115">
        <f t="shared" si="6"/>
        <v>0</v>
      </c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>
        <v>6656</v>
      </c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</row>
    <row r="159" spans="1:50" ht="16.5" hidden="1" thickBot="1" x14ac:dyDescent="0.3">
      <c r="A159" s="162" t="s">
        <v>154</v>
      </c>
      <c r="B159" s="163" t="s">
        <v>332</v>
      </c>
      <c r="C159" s="273">
        <v>0</v>
      </c>
      <c r="D159" s="69"/>
      <c r="E159" s="115"/>
      <c r="F159" s="115">
        <f t="shared" si="5"/>
        <v>0</v>
      </c>
      <c r="G159" s="115">
        <f t="shared" si="6"/>
        <v>0</v>
      </c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</row>
    <row r="160" spans="1:50" ht="16.5" hidden="1" thickBot="1" x14ac:dyDescent="0.3">
      <c r="A160" s="162" t="s">
        <v>155</v>
      </c>
      <c r="B160" s="163" t="s">
        <v>333</v>
      </c>
      <c r="C160" s="273">
        <v>0</v>
      </c>
      <c r="D160" s="69"/>
      <c r="E160" s="115"/>
      <c r="F160" s="115">
        <f t="shared" si="5"/>
        <v>0</v>
      </c>
      <c r="G160" s="115">
        <f t="shared" si="6"/>
        <v>0</v>
      </c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</row>
    <row r="161" spans="1:50" ht="16.5" hidden="1" thickBot="1" x14ac:dyDescent="0.3">
      <c r="A161" s="162" t="s">
        <v>156</v>
      </c>
      <c r="B161" s="163" t="s">
        <v>334</v>
      </c>
      <c r="C161" s="273">
        <v>0</v>
      </c>
      <c r="D161" s="69"/>
      <c r="E161" s="115"/>
      <c r="F161" s="115">
        <f t="shared" si="5"/>
        <v>0</v>
      </c>
      <c r="G161" s="115">
        <f t="shared" si="6"/>
        <v>0</v>
      </c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</row>
    <row r="162" spans="1:50" ht="16.5" thickBot="1" x14ac:dyDescent="0.3">
      <c r="A162" s="162" t="s">
        <v>157</v>
      </c>
      <c r="B162" s="163" t="s">
        <v>335</v>
      </c>
      <c r="C162" s="273">
        <v>4992</v>
      </c>
      <c r="D162" s="69"/>
      <c r="E162" s="115"/>
      <c r="F162" s="115">
        <f t="shared" si="5"/>
        <v>4992</v>
      </c>
      <c r="G162" s="115">
        <f t="shared" si="6"/>
        <v>0</v>
      </c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>
        <v>4992</v>
      </c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</row>
    <row r="163" spans="1:50" ht="16.5" thickBot="1" x14ac:dyDescent="0.3">
      <c r="A163" s="162" t="s">
        <v>158</v>
      </c>
      <c r="B163" s="163" t="s">
        <v>336</v>
      </c>
      <c r="C163" s="273">
        <v>8320</v>
      </c>
      <c r="D163" s="69"/>
      <c r="E163" s="115"/>
      <c r="F163" s="115">
        <f t="shared" si="5"/>
        <v>8262</v>
      </c>
      <c r="G163" s="115">
        <f t="shared" si="6"/>
        <v>58</v>
      </c>
      <c r="H163" s="107"/>
      <c r="I163" s="107"/>
      <c r="J163" s="107"/>
      <c r="K163" s="107"/>
      <c r="L163" s="107"/>
      <c r="M163" s="107"/>
      <c r="N163" s="107">
        <v>8262</v>
      </c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</row>
    <row r="164" spans="1:50" ht="16.5" hidden="1" thickBot="1" x14ac:dyDescent="0.3">
      <c r="A164" s="162" t="s">
        <v>159</v>
      </c>
      <c r="B164" s="163" t="s">
        <v>337</v>
      </c>
      <c r="C164" s="273">
        <v>0</v>
      </c>
      <c r="D164" s="69"/>
      <c r="E164" s="115"/>
      <c r="F164" s="115">
        <f t="shared" si="5"/>
        <v>0</v>
      </c>
      <c r="G164" s="115">
        <f t="shared" si="6"/>
        <v>0</v>
      </c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</row>
    <row r="165" spans="1:50" ht="16.5" hidden="1" thickBot="1" x14ac:dyDescent="0.3">
      <c r="A165" s="162" t="s">
        <v>160</v>
      </c>
      <c r="B165" s="163" t="s">
        <v>338</v>
      </c>
      <c r="C165" s="273">
        <v>0</v>
      </c>
      <c r="D165" s="69"/>
      <c r="E165" s="115"/>
      <c r="F165" s="115">
        <f t="shared" si="5"/>
        <v>0</v>
      </c>
      <c r="G165" s="115">
        <f t="shared" si="6"/>
        <v>0</v>
      </c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</row>
    <row r="166" spans="1:50" ht="16.5" hidden="1" thickBot="1" x14ac:dyDescent="0.3">
      <c r="A166" s="162" t="s">
        <v>161</v>
      </c>
      <c r="B166" s="163" t="s">
        <v>425</v>
      </c>
      <c r="C166" s="273">
        <v>0</v>
      </c>
      <c r="D166" s="69"/>
      <c r="E166" s="115"/>
      <c r="F166" s="115">
        <f t="shared" si="5"/>
        <v>0</v>
      </c>
      <c r="G166" s="115">
        <f t="shared" si="6"/>
        <v>0</v>
      </c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</row>
    <row r="167" spans="1:50" ht="16.5" hidden="1" thickBot="1" x14ac:dyDescent="0.3">
      <c r="A167" s="162" t="s">
        <v>162</v>
      </c>
      <c r="B167" s="163" t="s">
        <v>340</v>
      </c>
      <c r="C167" s="273">
        <v>0</v>
      </c>
      <c r="D167" s="69"/>
      <c r="E167" s="115"/>
      <c r="F167" s="115">
        <f t="shared" si="5"/>
        <v>0</v>
      </c>
      <c r="G167" s="115">
        <f t="shared" si="6"/>
        <v>0</v>
      </c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</row>
    <row r="168" spans="1:50" ht="16.5" hidden="1" thickBot="1" x14ac:dyDescent="0.3">
      <c r="A168" s="162" t="s">
        <v>163</v>
      </c>
      <c r="B168" s="163" t="s">
        <v>341</v>
      </c>
      <c r="C168" s="273">
        <v>0</v>
      </c>
      <c r="D168" s="69"/>
      <c r="E168" s="115"/>
      <c r="F168" s="115">
        <f t="shared" si="5"/>
        <v>0</v>
      </c>
      <c r="G168" s="115">
        <f t="shared" si="6"/>
        <v>0</v>
      </c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</row>
    <row r="169" spans="1:50" ht="16.5" hidden="1" thickBot="1" x14ac:dyDescent="0.3">
      <c r="A169" s="162" t="s">
        <v>164</v>
      </c>
      <c r="B169" s="163" t="s">
        <v>342</v>
      </c>
      <c r="C169" s="273">
        <v>0</v>
      </c>
      <c r="D169" s="69"/>
      <c r="E169" s="115"/>
      <c r="F169" s="115">
        <f t="shared" si="5"/>
        <v>0</v>
      </c>
      <c r="G169" s="115">
        <f t="shared" si="6"/>
        <v>0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</row>
    <row r="170" spans="1:50" ht="16.5" hidden="1" thickBot="1" x14ac:dyDescent="0.3">
      <c r="A170" s="162" t="s">
        <v>165</v>
      </c>
      <c r="B170" s="163" t="s">
        <v>343</v>
      </c>
      <c r="C170" s="273">
        <v>0</v>
      </c>
      <c r="D170" s="69"/>
      <c r="E170" s="115"/>
      <c r="F170" s="115">
        <f t="shared" si="5"/>
        <v>0</v>
      </c>
      <c r="G170" s="115">
        <f t="shared" si="6"/>
        <v>0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</row>
    <row r="171" spans="1:50" ht="16.5" hidden="1" thickBot="1" x14ac:dyDescent="0.3">
      <c r="A171" s="162" t="s">
        <v>166</v>
      </c>
      <c r="B171" s="163" t="s">
        <v>344</v>
      </c>
      <c r="C171" s="273">
        <v>0</v>
      </c>
      <c r="D171" s="69"/>
      <c r="E171" s="115"/>
      <c r="F171" s="115">
        <f t="shared" si="5"/>
        <v>0</v>
      </c>
      <c r="G171" s="115">
        <f t="shared" si="6"/>
        <v>0</v>
      </c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</row>
    <row r="172" spans="1:50" ht="16.5" hidden="1" thickBot="1" x14ac:dyDescent="0.3">
      <c r="A172" s="162" t="s">
        <v>167</v>
      </c>
      <c r="B172" s="163" t="s">
        <v>345</v>
      </c>
      <c r="C172" s="273">
        <v>0</v>
      </c>
      <c r="D172" s="69"/>
      <c r="E172" s="115"/>
      <c r="F172" s="115">
        <f t="shared" si="5"/>
        <v>0</v>
      </c>
      <c r="G172" s="115">
        <f t="shared" si="6"/>
        <v>0</v>
      </c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</row>
    <row r="173" spans="1:50" ht="16.5" hidden="1" thickBot="1" x14ac:dyDescent="0.3">
      <c r="A173" s="162" t="s">
        <v>168</v>
      </c>
      <c r="B173" s="163" t="s">
        <v>346</v>
      </c>
      <c r="C173" s="273">
        <v>0</v>
      </c>
      <c r="D173" s="69"/>
      <c r="E173" s="115"/>
      <c r="F173" s="115">
        <f t="shared" si="5"/>
        <v>0</v>
      </c>
      <c r="G173" s="115">
        <f t="shared" si="6"/>
        <v>0</v>
      </c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</row>
    <row r="174" spans="1:50" ht="16.5" hidden="1" thickBot="1" x14ac:dyDescent="0.3">
      <c r="A174" s="162" t="s">
        <v>169</v>
      </c>
      <c r="B174" s="163" t="s">
        <v>347</v>
      </c>
      <c r="C174" s="273">
        <v>0</v>
      </c>
      <c r="D174" s="69"/>
      <c r="E174" s="115"/>
      <c r="F174" s="115">
        <f t="shared" si="5"/>
        <v>0</v>
      </c>
      <c r="G174" s="115">
        <f t="shared" si="6"/>
        <v>0</v>
      </c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</row>
    <row r="175" spans="1:50" ht="16.5" hidden="1" thickBot="1" x14ac:dyDescent="0.3">
      <c r="A175" s="162" t="s">
        <v>170</v>
      </c>
      <c r="B175" s="163" t="s">
        <v>348</v>
      </c>
      <c r="C175" s="273">
        <v>0</v>
      </c>
      <c r="D175" s="69"/>
      <c r="E175" s="115"/>
      <c r="F175" s="115">
        <f t="shared" si="5"/>
        <v>0</v>
      </c>
      <c r="G175" s="115">
        <f t="shared" si="6"/>
        <v>0</v>
      </c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</row>
    <row r="176" spans="1:50" ht="16.5" hidden="1" thickBot="1" x14ac:dyDescent="0.3">
      <c r="A176" s="162" t="s">
        <v>171</v>
      </c>
      <c r="B176" s="163" t="s">
        <v>349</v>
      </c>
      <c r="C176" s="273">
        <v>0</v>
      </c>
      <c r="D176" s="69"/>
      <c r="E176" s="115"/>
      <c r="F176" s="115">
        <f t="shared" si="5"/>
        <v>0</v>
      </c>
      <c r="G176" s="115">
        <f t="shared" si="6"/>
        <v>0</v>
      </c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</row>
    <row r="177" spans="1:50" ht="16.5" hidden="1" thickBot="1" x14ac:dyDescent="0.3">
      <c r="A177" s="162" t="s">
        <v>172</v>
      </c>
      <c r="B177" s="163" t="s">
        <v>350</v>
      </c>
      <c r="C177" s="273">
        <v>0</v>
      </c>
      <c r="D177" s="69"/>
      <c r="E177" s="115"/>
      <c r="F177" s="115">
        <f t="shared" si="5"/>
        <v>0</v>
      </c>
      <c r="G177" s="115">
        <f t="shared" si="6"/>
        <v>0</v>
      </c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</row>
    <row r="178" spans="1:50" ht="16.5" hidden="1" thickBot="1" x14ac:dyDescent="0.3">
      <c r="A178" s="162" t="s">
        <v>173</v>
      </c>
      <c r="B178" s="163" t="s">
        <v>351</v>
      </c>
      <c r="C178" s="273">
        <v>0</v>
      </c>
      <c r="D178" s="69"/>
      <c r="E178" s="115"/>
      <c r="F178" s="115">
        <f t="shared" si="5"/>
        <v>0</v>
      </c>
      <c r="G178" s="115">
        <f t="shared" si="6"/>
        <v>0</v>
      </c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</row>
    <row r="179" spans="1:50" ht="16.5" hidden="1" thickBot="1" x14ac:dyDescent="0.3">
      <c r="A179" s="162" t="s">
        <v>174</v>
      </c>
      <c r="B179" s="163" t="s">
        <v>352</v>
      </c>
      <c r="C179" s="273">
        <v>0</v>
      </c>
      <c r="D179" s="69"/>
      <c r="E179" s="115"/>
      <c r="F179" s="115">
        <f t="shared" si="5"/>
        <v>0</v>
      </c>
      <c r="G179" s="115">
        <f t="shared" si="6"/>
        <v>0</v>
      </c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</row>
    <row r="180" spans="1:50" ht="16.5" hidden="1" thickBot="1" x14ac:dyDescent="0.3">
      <c r="A180" s="162" t="s">
        <v>175</v>
      </c>
      <c r="B180" s="163" t="s">
        <v>353</v>
      </c>
      <c r="C180" s="273">
        <v>0</v>
      </c>
      <c r="D180" s="69"/>
      <c r="E180" s="115"/>
      <c r="F180" s="115">
        <f t="shared" si="5"/>
        <v>0</v>
      </c>
      <c r="G180" s="115">
        <f t="shared" si="6"/>
        <v>0</v>
      </c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</row>
    <row r="181" spans="1:50" ht="16.5" hidden="1" thickBot="1" x14ac:dyDescent="0.3">
      <c r="A181" s="162" t="s">
        <v>176</v>
      </c>
      <c r="B181" s="163" t="s">
        <v>354</v>
      </c>
      <c r="C181" s="273">
        <v>0</v>
      </c>
      <c r="D181" s="69"/>
      <c r="E181" s="115"/>
      <c r="F181" s="115">
        <f t="shared" si="5"/>
        <v>0</v>
      </c>
      <c r="G181" s="115">
        <f t="shared" si="6"/>
        <v>0</v>
      </c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</row>
    <row r="182" spans="1:50" ht="16.5" hidden="1" thickBot="1" x14ac:dyDescent="0.3">
      <c r="A182" s="162" t="s">
        <v>177</v>
      </c>
      <c r="B182" s="163" t="s">
        <v>355</v>
      </c>
      <c r="C182" s="273">
        <v>0</v>
      </c>
      <c r="D182" s="69"/>
      <c r="E182" s="115"/>
      <c r="F182" s="115">
        <f t="shared" si="5"/>
        <v>0</v>
      </c>
      <c r="G182" s="115">
        <f t="shared" si="6"/>
        <v>0</v>
      </c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</row>
    <row r="183" spans="1:50" ht="16.5" hidden="1" thickBot="1" x14ac:dyDescent="0.3">
      <c r="A183" s="162" t="s">
        <v>178</v>
      </c>
      <c r="B183" s="163" t="s">
        <v>356</v>
      </c>
      <c r="C183" s="273">
        <v>0</v>
      </c>
      <c r="D183" s="69"/>
      <c r="E183" s="115"/>
      <c r="F183" s="115">
        <f t="shared" si="5"/>
        <v>0</v>
      </c>
      <c r="G183" s="115">
        <f t="shared" si="6"/>
        <v>0</v>
      </c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</row>
    <row r="184" spans="1:50" ht="16.5" thickBot="1" x14ac:dyDescent="0.3">
      <c r="A184" s="162" t="s">
        <v>179</v>
      </c>
      <c r="B184" s="163" t="s">
        <v>357</v>
      </c>
      <c r="C184" s="273">
        <v>11649</v>
      </c>
      <c r="D184" s="69"/>
      <c r="E184" s="115"/>
      <c r="F184" s="115">
        <f t="shared" si="5"/>
        <v>11649</v>
      </c>
      <c r="G184" s="115">
        <f t="shared" si="6"/>
        <v>0</v>
      </c>
      <c r="H184" s="107"/>
      <c r="I184" s="107"/>
      <c r="J184" s="107"/>
      <c r="K184" s="107"/>
      <c r="L184" s="107"/>
      <c r="M184" s="107"/>
      <c r="N184" s="107"/>
      <c r="O184" s="107">
        <v>2246</v>
      </c>
      <c r="P184" s="107"/>
      <c r="Q184" s="107"/>
      <c r="R184" s="107">
        <v>2025</v>
      </c>
      <c r="S184" s="107">
        <v>5692</v>
      </c>
      <c r="T184" s="107">
        <v>366</v>
      </c>
      <c r="U184" s="107"/>
      <c r="V184" s="107"/>
      <c r="W184" s="107"/>
      <c r="X184" s="107"/>
      <c r="Y184" s="107">
        <v>167</v>
      </c>
      <c r="Z184" s="107"/>
      <c r="AA184" s="107"/>
      <c r="AB184" s="107">
        <v>569</v>
      </c>
      <c r="AC184" s="107"/>
      <c r="AD184" s="107"/>
      <c r="AE184" s="107"/>
      <c r="AF184" s="107">
        <v>584</v>
      </c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</row>
    <row r="185" spans="1:50" ht="16.5" hidden="1" thickBot="1" x14ac:dyDescent="0.3">
      <c r="A185" s="162" t="s">
        <v>180</v>
      </c>
      <c r="B185" s="163" t="s">
        <v>358</v>
      </c>
      <c r="C185" s="273">
        <v>0</v>
      </c>
      <c r="D185" s="69"/>
      <c r="E185" s="115"/>
      <c r="F185" s="115">
        <f t="shared" si="5"/>
        <v>0</v>
      </c>
      <c r="G185" s="115">
        <f t="shared" si="6"/>
        <v>0</v>
      </c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</row>
    <row r="186" spans="1:50" ht="16.5" hidden="1" thickBot="1" x14ac:dyDescent="0.3">
      <c r="A186" s="162" t="s">
        <v>181</v>
      </c>
      <c r="B186" s="163" t="s">
        <v>359</v>
      </c>
      <c r="C186" s="273">
        <v>0</v>
      </c>
      <c r="D186" s="69"/>
      <c r="E186" s="115"/>
      <c r="F186" s="115">
        <f t="shared" si="5"/>
        <v>0</v>
      </c>
      <c r="G186" s="115">
        <f t="shared" si="6"/>
        <v>0</v>
      </c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</row>
    <row r="187" spans="1:50" ht="16.5" hidden="1" thickBot="1" x14ac:dyDescent="0.3">
      <c r="A187" s="162" t="s">
        <v>182</v>
      </c>
      <c r="B187" s="163" t="s">
        <v>360</v>
      </c>
      <c r="C187" s="273">
        <v>0</v>
      </c>
      <c r="D187" s="69"/>
      <c r="E187" s="115"/>
      <c r="F187" s="115">
        <f t="shared" si="5"/>
        <v>0</v>
      </c>
      <c r="G187" s="115">
        <f t="shared" si="6"/>
        <v>0</v>
      </c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</row>
    <row r="188" spans="1:50" ht="16.5" hidden="1" thickBot="1" x14ac:dyDescent="0.3">
      <c r="A188" s="162" t="s">
        <v>183</v>
      </c>
      <c r="B188" s="163" t="s">
        <v>361</v>
      </c>
      <c r="C188" s="273">
        <v>0</v>
      </c>
      <c r="D188" s="69"/>
      <c r="E188" s="115"/>
      <c r="F188" s="115">
        <f t="shared" si="5"/>
        <v>0</v>
      </c>
      <c r="G188" s="115">
        <f t="shared" si="6"/>
        <v>0</v>
      </c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</row>
    <row r="189" spans="1:50" ht="16.5" hidden="1" thickBot="1" x14ac:dyDescent="0.3">
      <c r="A189" s="162" t="s">
        <v>184</v>
      </c>
      <c r="B189" s="163" t="s">
        <v>362</v>
      </c>
      <c r="C189" s="273">
        <v>0</v>
      </c>
      <c r="D189" s="69"/>
      <c r="E189" s="115"/>
      <c r="F189" s="115">
        <f t="shared" si="5"/>
        <v>0</v>
      </c>
      <c r="G189" s="115">
        <f t="shared" si="6"/>
        <v>0</v>
      </c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</row>
    <row r="190" spans="1:50" ht="16.5" thickBot="1" x14ac:dyDescent="0.3">
      <c r="A190" s="162" t="s">
        <v>185</v>
      </c>
      <c r="B190" s="163" t="s">
        <v>363</v>
      </c>
      <c r="C190" s="273">
        <v>3328</v>
      </c>
      <c r="D190" s="69" t="s">
        <v>381</v>
      </c>
      <c r="E190" s="115">
        <v>3328</v>
      </c>
      <c r="F190" s="115">
        <f t="shared" si="5"/>
        <v>0</v>
      </c>
      <c r="G190" s="115">
        <f t="shared" si="6"/>
        <v>0</v>
      </c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</row>
    <row r="191" spans="1:50" ht="18.75" thickBot="1" x14ac:dyDescent="0.3">
      <c r="A191" s="162" t="s">
        <v>186</v>
      </c>
      <c r="B191" s="163" t="s">
        <v>364</v>
      </c>
      <c r="C191" s="273"/>
      <c r="D191" s="165"/>
      <c r="E191" s="115"/>
      <c r="F191" s="115">
        <f t="shared" si="5"/>
        <v>0</v>
      </c>
      <c r="G191" s="115">
        <f t="shared" si="6"/>
        <v>0</v>
      </c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</row>
    <row r="192" spans="1:50" ht="18.75" thickBot="1" x14ac:dyDescent="0.3">
      <c r="A192" s="166">
        <v>8001</v>
      </c>
      <c r="B192" s="163" t="s">
        <v>366</v>
      </c>
      <c r="C192" s="270">
        <v>6656</v>
      </c>
      <c r="D192" s="165"/>
      <c r="E192" s="115"/>
      <c r="F192" s="115">
        <f t="shared" si="5"/>
        <v>6656</v>
      </c>
      <c r="G192" s="115">
        <f t="shared" si="6"/>
        <v>0</v>
      </c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>
        <v>5185</v>
      </c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>
        <v>1471</v>
      </c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</row>
    <row r="193" spans="1:50" ht="18.75" thickBot="1" x14ac:dyDescent="0.3">
      <c r="A193" s="162" t="s">
        <v>368</v>
      </c>
      <c r="B193" s="163" t="s">
        <v>367</v>
      </c>
      <c r="C193" s="270"/>
      <c r="D193" s="165"/>
      <c r="E193" s="115"/>
      <c r="F193" s="115">
        <f t="shared" si="5"/>
        <v>0</v>
      </c>
      <c r="G193" s="115">
        <f>IF(ISBLANK(E193),C193-F193,C193-E193)</f>
        <v>0</v>
      </c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</row>
    <row r="194" spans="1:50" s="20" customFormat="1" ht="18.75" thickBot="1" x14ac:dyDescent="0.3">
      <c r="A194" s="170" t="s">
        <v>376</v>
      </c>
      <c r="B194" s="167" t="s">
        <v>381</v>
      </c>
      <c r="C194" s="270">
        <f ca="1">SUMIF($D$14:$E$205,"East Central BOCES",$E$14:$E$205)</f>
        <v>13312</v>
      </c>
      <c r="D194" s="165"/>
      <c r="E194" s="115"/>
      <c r="F194" s="115">
        <f t="shared" si="5"/>
        <v>13312</v>
      </c>
      <c r="G194" s="115">
        <f t="shared" ca="1" si="6"/>
        <v>0</v>
      </c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>
        <v>8627</v>
      </c>
      <c r="U194" s="107"/>
      <c r="V194" s="107"/>
      <c r="W194" s="107"/>
      <c r="X194" s="107"/>
      <c r="Y194" s="107"/>
      <c r="Z194" s="107"/>
      <c r="AA194" s="107">
        <v>1314</v>
      </c>
      <c r="AB194" s="107"/>
      <c r="AC194" s="107">
        <v>1791</v>
      </c>
      <c r="AD194" s="107"/>
      <c r="AE194" s="107"/>
      <c r="AF194" s="107">
        <v>1580</v>
      </c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</row>
    <row r="195" spans="1:50" s="20" customFormat="1" ht="18.75" thickBot="1" x14ac:dyDescent="0.3">
      <c r="A195" s="170" t="s">
        <v>377</v>
      </c>
      <c r="B195" s="167" t="s">
        <v>382</v>
      </c>
      <c r="C195" s="270">
        <f ca="1">SUMIF($D$14:$E$205,"CBOCES",$E$14:$E$205)</f>
        <v>0</v>
      </c>
      <c r="D195" s="165"/>
      <c r="E195" s="115"/>
      <c r="F195" s="115">
        <f t="shared" si="5"/>
        <v>0</v>
      </c>
      <c r="G195" s="115">
        <f t="shared" ca="1" si="6"/>
        <v>0</v>
      </c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</row>
    <row r="196" spans="1:50" s="20" customFormat="1" ht="18.75" thickBot="1" x14ac:dyDescent="0.3">
      <c r="A196" s="170">
        <v>9040</v>
      </c>
      <c r="B196" s="66" t="s">
        <v>383</v>
      </c>
      <c r="C196" s="270">
        <f ca="1">SUMIF($D$14:$E$204,"Northeast BOCES",$E$14:$E$204)</f>
        <v>0</v>
      </c>
      <c r="D196" s="165"/>
      <c r="E196" s="115"/>
      <c r="F196" s="115">
        <f t="shared" si="5"/>
        <v>0</v>
      </c>
      <c r="G196" s="115">
        <f t="shared" ref="G196" ca="1" si="7">IF(ISBLANK(E196),C196-F196,C196-E196)</f>
        <v>0</v>
      </c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</row>
    <row r="197" spans="1:50" s="20" customFormat="1" ht="18.75" thickBot="1" x14ac:dyDescent="0.3">
      <c r="A197" s="64">
        <v>9050</v>
      </c>
      <c r="B197" s="66" t="s">
        <v>428</v>
      </c>
      <c r="C197" s="270">
        <f ca="1">SUMIF($D$14:$E$202,"CONSORTIUM-SJBOCES",$E$14:$E$202)</f>
        <v>0</v>
      </c>
      <c r="D197" s="165"/>
      <c r="E197" s="115"/>
      <c r="F197" s="115">
        <f t="shared" si="5"/>
        <v>0</v>
      </c>
      <c r="G197" s="115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</row>
    <row r="198" spans="1:50" s="20" customFormat="1" ht="18.75" thickBot="1" x14ac:dyDescent="0.3">
      <c r="A198" s="64">
        <v>9055</v>
      </c>
      <c r="B198" s="66" t="s">
        <v>429</v>
      </c>
      <c r="C198" s="270">
        <f ca="1">SUMIF($D$14:$E$202,"San Luis Valley BOCES",$E$14:$E$202)</f>
        <v>0</v>
      </c>
      <c r="D198" s="165"/>
      <c r="E198" s="115"/>
      <c r="F198" s="115">
        <f t="shared" si="5"/>
        <v>0</v>
      </c>
      <c r="G198" s="115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</row>
    <row r="199" spans="1:50" s="20" customFormat="1" ht="18.75" thickBot="1" x14ac:dyDescent="0.3">
      <c r="A199" s="170">
        <v>9060</v>
      </c>
      <c r="B199" s="168" t="s">
        <v>430</v>
      </c>
      <c r="C199" s="270">
        <f ca="1">SUMIF($D$14:$E$202,"South Central BOCES",$E$14:$E$202)</f>
        <v>1664</v>
      </c>
      <c r="D199" s="165"/>
      <c r="E199" s="115"/>
      <c r="F199" s="115">
        <f t="shared" si="5"/>
        <v>1664</v>
      </c>
      <c r="G199" s="115">
        <f t="shared" ca="1" si="6"/>
        <v>0</v>
      </c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>
        <v>1664</v>
      </c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</row>
    <row r="200" spans="1:50" s="20" customFormat="1" ht="18.75" thickBot="1" x14ac:dyDescent="0.3">
      <c r="A200" s="170">
        <v>9075</v>
      </c>
      <c r="B200" s="65" t="s">
        <v>432</v>
      </c>
      <c r="C200" s="270">
        <f ca="1">SUMIF($D$14:$E$201,"CONSORTIUM-SEBOCES",$E$14:$E$201)</f>
        <v>36610</v>
      </c>
      <c r="D200" s="165"/>
      <c r="E200" s="115"/>
      <c r="F200" s="115">
        <f t="shared" si="5"/>
        <v>36610</v>
      </c>
      <c r="G200" s="115">
        <f t="shared" ref="G200" ca="1" si="8">IF(ISBLANK(E200),C200-F200,C200-E200)</f>
        <v>0</v>
      </c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>
        <v>21190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>
        <v>4979</v>
      </c>
      <c r="AC200" s="107"/>
      <c r="AD200" s="107"/>
      <c r="AE200" s="107">
        <v>10441</v>
      </c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</row>
    <row r="201" spans="1:50" s="20" customFormat="1" ht="18.75" thickBot="1" x14ac:dyDescent="0.3">
      <c r="A201" s="170" t="s">
        <v>379</v>
      </c>
      <c r="B201" s="167" t="s">
        <v>384</v>
      </c>
      <c r="C201" s="270">
        <f ca="1">SUMIF($D$14:$E$202,"Northwest BOCES",$E$14:$E$202)</f>
        <v>1664</v>
      </c>
      <c r="D201" s="165"/>
      <c r="E201" s="115"/>
      <c r="F201" s="115">
        <f t="shared" si="5"/>
        <v>1664</v>
      </c>
      <c r="G201" s="115">
        <f t="shared" ca="1" si="6"/>
        <v>0</v>
      </c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>
        <v>1664</v>
      </c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</row>
    <row r="202" spans="1:50" s="20" customFormat="1" ht="18.75" thickBot="1" x14ac:dyDescent="0.3">
      <c r="A202" s="170" t="s">
        <v>380</v>
      </c>
      <c r="B202" s="169" t="s">
        <v>385</v>
      </c>
      <c r="C202" s="270">
        <f ca="1">SUMIF($D$14:$E$202,"Rio Blanco BOCES",$E$14:$E$202)</f>
        <v>0</v>
      </c>
      <c r="D202" s="165"/>
      <c r="E202" s="115"/>
      <c r="F202" s="115">
        <f t="shared" si="5"/>
        <v>0</v>
      </c>
      <c r="G202" s="115">
        <f t="shared" ca="1" si="6"/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s="20" customFormat="1" ht="18.75" thickBot="1" x14ac:dyDescent="0.3">
      <c r="A203" s="170"/>
      <c r="B203" s="169"/>
      <c r="C203" s="270"/>
      <c r="D203" s="165"/>
      <c r="E203" s="115"/>
      <c r="F203" s="115">
        <f t="shared" ref="F203" si="9">SUM(H203:AV203)</f>
        <v>0</v>
      </c>
      <c r="G203" s="20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s="207" customFormat="1" ht="16.5" thickBot="1" x14ac:dyDescent="0.3">
      <c r="A204" s="205"/>
      <c r="B204" s="205"/>
      <c r="C204" s="271">
        <f ca="1">SUM(C14:C202)-E204</f>
        <v>990130</v>
      </c>
      <c r="D204" s="190"/>
      <c r="E204" s="189">
        <f t="shared" ref="E204:K204" si="10">SUM(E14:E202)</f>
        <v>53250</v>
      </c>
      <c r="F204" s="189">
        <f t="shared" si="10"/>
        <v>905850</v>
      </c>
      <c r="G204" s="189">
        <f t="shared" ca="1" si="10"/>
        <v>84280</v>
      </c>
      <c r="H204" s="206">
        <f t="shared" si="10"/>
        <v>0</v>
      </c>
      <c r="I204" s="202">
        <f t="shared" si="10"/>
        <v>0</v>
      </c>
      <c r="J204" s="202">
        <f t="shared" si="10"/>
        <v>0</v>
      </c>
      <c r="K204" s="202">
        <f t="shared" si="10"/>
        <v>0</v>
      </c>
      <c r="L204" s="202">
        <f t="shared" ref="L204:AH204" si="11">SUM(L14:L202)</f>
        <v>35784</v>
      </c>
      <c r="M204" s="202">
        <f t="shared" si="11"/>
        <v>10578</v>
      </c>
      <c r="N204" s="202">
        <f t="shared" si="11"/>
        <v>17435</v>
      </c>
      <c r="O204" s="202">
        <f t="shared" si="11"/>
        <v>63273</v>
      </c>
      <c r="P204" s="202">
        <f t="shared" si="11"/>
        <v>10611</v>
      </c>
      <c r="Q204" s="202">
        <f t="shared" si="11"/>
        <v>85601</v>
      </c>
      <c r="R204" s="202">
        <f t="shared" si="11"/>
        <v>46354</v>
      </c>
      <c r="S204" s="202">
        <f t="shared" si="11"/>
        <v>97445</v>
      </c>
      <c r="T204" s="202">
        <f t="shared" si="11"/>
        <v>20602</v>
      </c>
      <c r="U204" s="202">
        <f t="shared" si="11"/>
        <v>88966</v>
      </c>
      <c r="V204" s="202">
        <f t="shared" si="11"/>
        <v>20484</v>
      </c>
      <c r="W204" s="202">
        <f t="shared" si="11"/>
        <v>692</v>
      </c>
      <c r="X204" s="202">
        <f t="shared" si="11"/>
        <v>29457</v>
      </c>
      <c r="Y204" s="202">
        <f t="shared" si="11"/>
        <v>466</v>
      </c>
      <c r="Z204" s="202">
        <f t="shared" si="11"/>
        <v>42099</v>
      </c>
      <c r="AA204" s="202">
        <f t="shared" si="11"/>
        <v>15864</v>
      </c>
      <c r="AB204" s="202">
        <f t="shared" si="11"/>
        <v>36561</v>
      </c>
      <c r="AC204" s="202">
        <f t="shared" si="11"/>
        <v>126960</v>
      </c>
      <c r="AD204" s="202">
        <f t="shared" si="11"/>
        <v>38302</v>
      </c>
      <c r="AE204" s="202">
        <f t="shared" si="11"/>
        <v>35985</v>
      </c>
      <c r="AF204" s="202">
        <f t="shared" si="11"/>
        <v>32402</v>
      </c>
      <c r="AG204" s="202">
        <f t="shared" si="11"/>
        <v>5901</v>
      </c>
      <c r="AH204" s="202">
        <f t="shared" si="11"/>
        <v>7548</v>
      </c>
      <c r="AI204" s="202">
        <f t="shared" ref="AI204:AJ204" si="12">SUM(AI14:AI202)</f>
        <v>0</v>
      </c>
      <c r="AJ204" s="202">
        <f t="shared" si="12"/>
        <v>24936</v>
      </c>
      <c r="AK204" s="202">
        <f t="shared" ref="AK204:AV204" si="13">SUM(AK14:AK202)</f>
        <v>0</v>
      </c>
      <c r="AL204" s="202">
        <f t="shared" si="13"/>
        <v>0</v>
      </c>
      <c r="AM204" s="202">
        <f t="shared" si="13"/>
        <v>0</v>
      </c>
      <c r="AN204" s="202">
        <f t="shared" si="13"/>
        <v>0</v>
      </c>
      <c r="AO204" s="202">
        <f t="shared" si="13"/>
        <v>0</v>
      </c>
      <c r="AP204" s="202">
        <f t="shared" si="13"/>
        <v>0</v>
      </c>
      <c r="AQ204" s="202">
        <f t="shared" si="13"/>
        <v>0</v>
      </c>
      <c r="AR204" s="202">
        <f t="shared" si="13"/>
        <v>0</v>
      </c>
      <c r="AS204" s="202">
        <f t="shared" si="13"/>
        <v>0</v>
      </c>
      <c r="AT204" s="202">
        <f t="shared" si="13"/>
        <v>0</v>
      </c>
      <c r="AU204" s="202">
        <f t="shared" si="13"/>
        <v>0</v>
      </c>
      <c r="AV204" s="202">
        <f t="shared" si="13"/>
        <v>7561</v>
      </c>
      <c r="AW204" s="202">
        <f t="shared" ref="AW204:AX204" si="14">SUM(AW14:AW202)</f>
        <v>0</v>
      </c>
      <c r="AX204" s="202">
        <f t="shared" si="14"/>
        <v>3983</v>
      </c>
    </row>
    <row r="205" spans="1:50" s="21" customFormat="1" ht="15.75" x14ac:dyDescent="0.25">
      <c r="A205" s="157"/>
      <c r="B205" s="158"/>
      <c r="C205" s="158"/>
      <c r="D205" s="159"/>
      <c r="E205" s="159"/>
      <c r="F205" s="160"/>
      <c r="G205" s="161"/>
    </row>
    <row r="206" spans="1:50" x14ac:dyDescent="0.25">
      <c r="V206" s="289"/>
      <c r="W206" s="289">
        <f>W204-692</f>
        <v>0</v>
      </c>
      <c r="AB206" s="289"/>
      <c r="AN206" s="289"/>
    </row>
  </sheetData>
  <sheetProtection password="EF32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OF FORMULA GRANT</vt:lpstr>
      <vt:lpstr>NCLB Title I-A Formula</vt:lpstr>
      <vt:lpstr>NCLB Title I-C Migrant</vt:lpstr>
      <vt:lpstr>NCLB Title I-C Migrant Summer</vt:lpstr>
      <vt:lpstr>NCLB Title I-Delinquent</vt:lpstr>
      <vt:lpstr>StateAgenciesTitle I-Delinquent</vt:lpstr>
      <vt:lpstr>NCLB Title II-A Formula</vt:lpstr>
      <vt:lpstr>NCLB Title III-A</vt:lpstr>
      <vt:lpstr>NCLB Title III SAI</vt:lpstr>
      <vt:lpstr>TITLE VI RURAL LI</vt:lpstr>
      <vt:lpstr>Sheet1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Tim Kahle</cp:lastModifiedBy>
  <cp:lastPrinted>2013-03-06T16:17:50Z</cp:lastPrinted>
  <dcterms:created xsi:type="dcterms:W3CDTF">2011-11-14T17:06:02Z</dcterms:created>
  <dcterms:modified xsi:type="dcterms:W3CDTF">2016-09-29T20:39:19Z</dcterms:modified>
</cp:coreProperties>
</file>