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AYMENT PROCESSING\Distribution Worksheets\IDEA Distributions\"/>
    </mc:Choice>
  </mc:AlternateContent>
  <bookViews>
    <workbookView xWindow="120" yWindow="150" windowWidth="23895" windowHeight="11760"/>
  </bookViews>
  <sheets>
    <sheet name="IDEA PART B FY15-16" sheetId="1" r:id="rId1"/>
    <sheet name="Recon" sheetId="2" r:id="rId2"/>
  </sheets>
  <calcPr calcId="152511"/>
</workbook>
</file>

<file path=xl/calcChain.xml><?xml version="1.0" encoding="utf-8"?>
<calcChain xmlns="http://schemas.openxmlformats.org/spreadsheetml/2006/main">
  <c r="AE65" i="1" l="1"/>
  <c r="AF65" i="1"/>
  <c r="AG65" i="1"/>
  <c r="AH65" i="1"/>
  <c r="AI65" i="1"/>
  <c r="D33" i="1" l="1"/>
  <c r="H33" i="1"/>
  <c r="D64" i="2" l="1"/>
  <c r="AB62" i="1"/>
  <c r="P9" i="1"/>
  <c r="AD65" i="1" l="1"/>
  <c r="AC65" i="1" l="1"/>
  <c r="AB65" i="1" l="1"/>
  <c r="AA62" i="1" l="1"/>
  <c r="Z65" i="1" l="1"/>
  <c r="AA65" i="1"/>
  <c r="Y65" i="1" l="1"/>
  <c r="D3" i="1" l="1"/>
  <c r="E3" i="2" s="1"/>
  <c r="F3" i="2" s="1"/>
  <c r="D9" i="1"/>
  <c r="E9" i="2" s="1"/>
  <c r="D14" i="1"/>
  <c r="E14" i="2" s="1"/>
  <c r="F14" i="2" s="1"/>
  <c r="D17" i="1"/>
  <c r="E17" i="2" s="1"/>
  <c r="F17" i="2" s="1"/>
  <c r="D18" i="1"/>
  <c r="E18" i="2" s="1"/>
  <c r="F18" i="2" s="1"/>
  <c r="D21" i="1"/>
  <c r="E21" i="2" s="1"/>
  <c r="F21" i="2" s="1"/>
  <c r="D27" i="1"/>
  <c r="E27" i="2" s="1"/>
  <c r="F27" i="2" s="1"/>
  <c r="D29" i="1"/>
  <c r="E29" i="2" s="1"/>
  <c r="F29" i="2" s="1"/>
  <c r="E33" i="2"/>
  <c r="D37" i="1"/>
  <c r="E37" i="2" s="1"/>
  <c r="F37" i="2" s="1"/>
  <c r="D42" i="1"/>
  <c r="E42" i="2" s="1"/>
  <c r="F42" i="2" s="1"/>
  <c r="D43" i="1"/>
  <c r="E43" i="2" s="1"/>
  <c r="F43" i="2" s="1"/>
  <c r="D45" i="1"/>
  <c r="E45" i="2" s="1"/>
  <c r="F45" i="2" s="1"/>
  <c r="D46" i="1"/>
  <c r="E46" i="2" s="1"/>
  <c r="F46" i="2" s="1"/>
  <c r="D53" i="1"/>
  <c r="E53" i="2" s="1"/>
  <c r="F53" i="2" s="1"/>
  <c r="D57" i="1"/>
  <c r="E57" i="2" s="1"/>
  <c r="F57" i="2" s="1"/>
  <c r="D58" i="1"/>
  <c r="E58" i="2" s="1"/>
  <c r="F58" i="2" s="1"/>
  <c r="D59" i="1"/>
  <c r="E59" i="2" s="1"/>
  <c r="F59" i="2" s="1"/>
  <c r="D61" i="1"/>
  <c r="E61" i="2" s="1"/>
  <c r="F61" i="2" s="1"/>
  <c r="D62" i="1"/>
  <c r="E62" i="2" s="1"/>
  <c r="F62" i="2" s="1"/>
  <c r="D2" i="1"/>
  <c r="E2" i="2" s="1"/>
  <c r="F2" i="2" s="1"/>
  <c r="D4" i="1"/>
  <c r="E4" i="2" s="1"/>
  <c r="F4" i="2" s="1"/>
  <c r="D7" i="1"/>
  <c r="E7" i="2" s="1"/>
  <c r="F7" i="2" s="1"/>
  <c r="D8" i="1"/>
  <c r="E8" i="2" s="1"/>
  <c r="F8" i="2" s="1"/>
  <c r="D12" i="1"/>
  <c r="E12" i="2" s="1"/>
  <c r="F12" i="2" s="1"/>
  <c r="D20" i="1"/>
  <c r="E20" i="2" s="1"/>
  <c r="F20" i="2" s="1"/>
  <c r="D23" i="1"/>
  <c r="E23" i="2" s="1"/>
  <c r="F23" i="2" s="1"/>
  <c r="D24" i="1"/>
  <c r="E24" i="2" s="1"/>
  <c r="F24" i="2" s="1"/>
  <c r="D28" i="1"/>
  <c r="E28" i="2" s="1"/>
  <c r="F28" i="2" s="1"/>
  <c r="D32" i="1"/>
  <c r="E32" i="2" s="1"/>
  <c r="F32" i="2" s="1"/>
  <c r="D36" i="1"/>
  <c r="E36" i="2" s="1"/>
  <c r="F36" i="2" s="1"/>
  <c r="D39" i="1"/>
  <c r="E39" i="2" s="1"/>
  <c r="F39" i="2" s="1"/>
  <c r="D40" i="1"/>
  <c r="E40" i="2" s="1"/>
  <c r="F40" i="2" s="1"/>
  <c r="D44" i="1"/>
  <c r="E44" i="2" s="1"/>
  <c r="F44" i="2" s="1"/>
  <c r="D47" i="1"/>
  <c r="E47" i="2" s="1"/>
  <c r="F47" i="2" s="1"/>
  <c r="D52" i="1"/>
  <c r="E52" i="2" s="1"/>
  <c r="F52" i="2" s="1"/>
  <c r="D55" i="1"/>
  <c r="E55" i="2" s="1"/>
  <c r="F55" i="2" s="1"/>
  <c r="D60" i="1"/>
  <c r="E60" i="2" s="1"/>
  <c r="F60" i="2" s="1"/>
  <c r="F9" i="2" l="1"/>
  <c r="F33" i="2"/>
  <c r="X65" i="1"/>
  <c r="W65" i="1"/>
  <c r="V65" i="1" l="1"/>
  <c r="U54" i="1" l="1"/>
  <c r="D54" i="1" s="1"/>
  <c r="E54" i="2" s="1"/>
  <c r="F54" i="2" s="1"/>
  <c r="U31" i="1"/>
  <c r="D31" i="1" s="1"/>
  <c r="E31" i="2" s="1"/>
  <c r="F31" i="2" s="1"/>
  <c r="U48" i="1"/>
  <c r="D48" i="1" s="1"/>
  <c r="E48" i="2" s="1"/>
  <c r="F48" i="2" s="1"/>
  <c r="U38" i="1"/>
  <c r="D38" i="1" s="1"/>
  <c r="E38" i="2" s="1"/>
  <c r="F38" i="2" s="1"/>
  <c r="U35" i="1"/>
  <c r="D35" i="1" s="1"/>
  <c r="E35" i="2" s="1"/>
  <c r="F35" i="2" s="1"/>
  <c r="U19" i="1"/>
  <c r="D19" i="1" s="1"/>
  <c r="E19" i="2" s="1"/>
  <c r="F19" i="2" s="1"/>
  <c r="U16" i="1"/>
  <c r="D16" i="1" s="1"/>
  <c r="E16" i="2" s="1"/>
  <c r="F16" i="2" s="1"/>
  <c r="U5" i="1"/>
  <c r="D5" i="1" s="1"/>
  <c r="E5" i="2" s="1"/>
  <c r="F5" i="2" s="1"/>
  <c r="U65" i="1" l="1"/>
  <c r="M10" i="1" l="1"/>
  <c r="D10" i="1" s="1"/>
  <c r="E10" i="2" l="1"/>
  <c r="T30" i="1"/>
  <c r="T11" i="1"/>
  <c r="D11" i="1" s="1"/>
  <c r="E11" i="2" s="1"/>
  <c r="F11" i="2" s="1"/>
  <c r="F10" i="2" l="1"/>
  <c r="T56" i="1"/>
  <c r="D56" i="1" s="1"/>
  <c r="E56" i="2" s="1"/>
  <c r="F56" i="2" s="1"/>
  <c r="T51" i="1"/>
  <c r="T50" i="1"/>
  <c r="D50" i="1" s="1"/>
  <c r="E50" i="2" s="1"/>
  <c r="F50" i="2" s="1"/>
  <c r="T22" i="1"/>
  <c r="D22" i="1" s="1"/>
  <c r="E22" i="2" s="1"/>
  <c r="F22" i="2" s="1"/>
  <c r="T13" i="1"/>
  <c r="D13" i="1" s="1"/>
  <c r="E13" i="2" s="1"/>
  <c r="F13" i="2" s="1"/>
  <c r="T6" i="1"/>
  <c r="D6" i="1" s="1"/>
  <c r="E6" i="2" s="1"/>
  <c r="F6" i="2" s="1"/>
  <c r="S51" i="1" l="1"/>
  <c r="D51" i="1" s="1"/>
  <c r="E51" i="2" s="1"/>
  <c r="F51" i="2" s="1"/>
  <c r="R41" i="1" l="1"/>
  <c r="D41" i="1" s="1"/>
  <c r="E41" i="2" s="1"/>
  <c r="F41" i="2" s="1"/>
  <c r="R26" i="1" l="1"/>
  <c r="D26" i="1" s="1"/>
  <c r="E26" i="2" s="1"/>
  <c r="F26" i="2" s="1"/>
  <c r="Q34" i="1" l="1"/>
  <c r="D34" i="1" s="1"/>
  <c r="E34" i="2" s="1"/>
  <c r="F34" i="2" s="1"/>
  <c r="Q15" i="1"/>
  <c r="D15" i="1" s="1"/>
  <c r="E15" i="2" s="1"/>
  <c r="F15" i="2" l="1"/>
  <c r="Q63" i="1"/>
  <c r="D63" i="1" s="1"/>
  <c r="E63" i="2" s="1"/>
  <c r="F63" i="2" s="1"/>
  <c r="Q25" i="1" l="1"/>
  <c r="D25" i="1" s="1"/>
  <c r="E25" i="2" s="1"/>
  <c r="F25" i="2" l="1"/>
  <c r="P49" i="1"/>
  <c r="P30" i="1"/>
  <c r="E42" i="1"/>
  <c r="E31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2" i="1"/>
  <c r="E33" i="1"/>
  <c r="E34" i="1"/>
  <c r="E35" i="1"/>
  <c r="E36" i="1"/>
  <c r="E37" i="1"/>
  <c r="E38" i="1"/>
  <c r="E39" i="1"/>
  <c r="E40" i="1"/>
  <c r="E41" i="1"/>
  <c r="E43" i="1"/>
  <c r="E44" i="1"/>
  <c r="E45" i="1"/>
  <c r="E46" i="1"/>
  <c r="E47" i="1"/>
  <c r="E48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2" i="1"/>
  <c r="D30" i="1" l="1"/>
  <c r="D49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C65" i="1"/>
  <c r="D65" i="1" l="1"/>
  <c r="E49" i="2"/>
  <c r="F49" i="2" s="1"/>
  <c r="E30" i="1"/>
  <c r="E65" i="1" s="1"/>
  <c r="E30" i="2"/>
  <c r="E49" i="1"/>
  <c r="F30" i="2" l="1"/>
  <c r="E64" i="2"/>
  <c r="F64" i="2" s="1"/>
</calcChain>
</file>

<file path=xl/comments1.xml><?xml version="1.0" encoding="utf-8"?>
<comments xmlns="http://schemas.openxmlformats.org/spreadsheetml/2006/main">
  <authors>
    <author>Shields, Joseph</author>
    <author>Tim Kahle</author>
  </authors>
  <commentList>
    <comment ref="P9" authorId="0" shapeId="0">
      <text>
        <r>
          <rPr>
            <b/>
            <sz val="9"/>
            <color indexed="81"/>
            <rFont val="Tahoma"/>
            <charset val="1"/>
          </rPr>
          <t>Shields, Joseph:</t>
        </r>
        <r>
          <rPr>
            <sz val="9"/>
            <color indexed="81"/>
            <rFont val="Tahoma"/>
            <charset val="1"/>
          </rPr>
          <t xml:space="preserve">
Partial 30,599 moved from 1415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</rPr>
          <t>Expenditures moved to utilize carryover from FY14-15. TK</t>
        </r>
      </text>
    </comment>
    <comment ref="H33" authorId="0" shapeId="0">
      <text>
        <r>
          <rPr>
            <b/>
            <sz val="9"/>
            <color indexed="81"/>
            <rFont val="Tahoma"/>
            <charset val="1"/>
          </rPr>
          <t>Shields, Joseph:</t>
        </r>
        <r>
          <rPr>
            <sz val="9"/>
            <color indexed="81"/>
            <rFont val="Tahoma"/>
            <charset val="1"/>
          </rPr>
          <t xml:space="preserve">
Payment was processed in 1415.</t>
        </r>
      </text>
    </comment>
  </commentList>
</comments>
</file>

<file path=xl/sharedStrings.xml><?xml version="1.0" encoding="utf-8"?>
<sst xmlns="http://schemas.openxmlformats.org/spreadsheetml/2006/main" count="405" uniqueCount="161">
  <si>
    <t>AU #</t>
  </si>
  <si>
    <t>AU Name</t>
  </si>
  <si>
    <t>Allocation</t>
  </si>
  <si>
    <t>Payments to Date</t>
  </si>
  <si>
    <t>Balance of Allocation</t>
  </si>
  <si>
    <t>Jul-15</t>
  </si>
  <si>
    <t>Aug-15</t>
  </si>
  <si>
    <t>Sep-15</t>
  </si>
  <si>
    <t>Oct-15</t>
  </si>
  <si>
    <t>Nov-15</t>
  </si>
  <si>
    <t>Dec-15</t>
  </si>
  <si>
    <t>Jan-16</t>
  </si>
  <si>
    <t>Feb-16</t>
  </si>
  <si>
    <t>Mar-16</t>
  </si>
  <si>
    <t>Apr-16</t>
  </si>
  <si>
    <t>May-16</t>
  </si>
  <si>
    <t>Jun-16</t>
  </si>
  <si>
    <t>Jul-16</t>
  </si>
  <si>
    <t>Aug-16</t>
  </si>
  <si>
    <t>Sep-16</t>
  </si>
  <si>
    <t>01010</t>
  </si>
  <si>
    <t>Adams 1, Mapleton</t>
  </si>
  <si>
    <t>01020</t>
  </si>
  <si>
    <t>Adams 12 Five Star Schools</t>
  </si>
  <si>
    <t>01030</t>
  </si>
  <si>
    <t>Adams 14, Commerce City</t>
  </si>
  <si>
    <t>01040</t>
  </si>
  <si>
    <t>Adams 27J, Brighton</t>
  </si>
  <si>
    <t>01070</t>
  </si>
  <si>
    <t>Adams 50, Westminster</t>
  </si>
  <si>
    <t>03010</t>
  </si>
  <si>
    <t>Arapahoe 1, Englewood</t>
  </si>
  <si>
    <t>03020</t>
  </si>
  <si>
    <t>Arapahoe 2, Sheridan</t>
  </si>
  <si>
    <t>03030</t>
  </si>
  <si>
    <t>Arapahoe 5, Cherry Creek</t>
  </si>
  <si>
    <t>03040</t>
  </si>
  <si>
    <t>Arapahoe 6, Littleton</t>
  </si>
  <si>
    <t>03060</t>
  </si>
  <si>
    <t>Adams/Arapahoe 28J, Aurora</t>
  </si>
  <si>
    <t>07010</t>
  </si>
  <si>
    <t>Boulder RE-1J</t>
  </si>
  <si>
    <t>07020</t>
  </si>
  <si>
    <t>Boulder RE-2, Boulder</t>
  </si>
  <si>
    <t>15010</t>
  </si>
  <si>
    <t>Delta 50J, Delta</t>
  </si>
  <si>
    <t>16010</t>
  </si>
  <si>
    <t>Denver 1, Denver</t>
  </si>
  <si>
    <t>18010</t>
  </si>
  <si>
    <t>Douglas RE-1, Castle Rock</t>
  </si>
  <si>
    <t>19010</t>
  </si>
  <si>
    <t>Eagle 50</t>
  </si>
  <si>
    <t>19205</t>
  </si>
  <si>
    <t>Elbert C-1, Elizabeth</t>
  </si>
  <si>
    <t>21020</t>
  </si>
  <si>
    <t>El Paso 2, Harrison</t>
  </si>
  <si>
    <t>21030</t>
  </si>
  <si>
    <t>El Paso 3, Widefield</t>
  </si>
  <si>
    <t>21040</t>
  </si>
  <si>
    <t>El Paso 8, Fountain</t>
  </si>
  <si>
    <t>21050</t>
  </si>
  <si>
    <t>El Paso 11, Colorado Springs</t>
  </si>
  <si>
    <t>21060</t>
  </si>
  <si>
    <t>El Paso 12, Cheyenne Mountain</t>
  </si>
  <si>
    <t>21080</t>
  </si>
  <si>
    <t>El Paso 20, Academy</t>
  </si>
  <si>
    <t>21085</t>
  </si>
  <si>
    <t>El Paso 38, Lewis-Palmer</t>
  </si>
  <si>
    <t>21090</t>
  </si>
  <si>
    <t>El Paso 49, Falcon</t>
  </si>
  <si>
    <t>21490</t>
  </si>
  <si>
    <t>Fort Lupton/Keenesburg, Fort Lupton</t>
  </si>
  <si>
    <t>22010</t>
  </si>
  <si>
    <t>Fremont RE-1, Canon City</t>
  </si>
  <si>
    <t>26011</t>
  </si>
  <si>
    <t>Gunnison RE-1J, Gunnison</t>
  </si>
  <si>
    <t>30011</t>
  </si>
  <si>
    <t>Jefferson District R-1, Golden</t>
  </si>
  <si>
    <t>35010</t>
  </si>
  <si>
    <t>Larimer R-1, Fort Collins</t>
  </si>
  <si>
    <t>35020</t>
  </si>
  <si>
    <t>Larimer R-2J, Loveland</t>
  </si>
  <si>
    <t>35030</t>
  </si>
  <si>
    <t>Larimer R-3, Estes Park</t>
  </si>
  <si>
    <t>38010</t>
  </si>
  <si>
    <t>Logan RE-1, Sterling</t>
  </si>
  <si>
    <t>39031</t>
  </si>
  <si>
    <t>Mesa 51, Grand Junction</t>
  </si>
  <si>
    <t>41010</t>
  </si>
  <si>
    <t>Moffat RE-1, Craig</t>
  </si>
  <si>
    <t>43010</t>
  </si>
  <si>
    <t>Montrose RE-1J, Montrose</t>
  </si>
  <si>
    <t>44020</t>
  </si>
  <si>
    <t>Morgan Re-3, Fort Morgan</t>
  </si>
  <si>
    <t>51010</t>
  </si>
  <si>
    <t>Pueblo 60, Urban</t>
  </si>
  <si>
    <t>51020</t>
  </si>
  <si>
    <t>Pueblo 70, Rural</t>
  </si>
  <si>
    <t>62040</t>
  </si>
  <si>
    <t>Weld RE-4, Windsor</t>
  </si>
  <si>
    <t>62050</t>
  </si>
  <si>
    <t>Johnstown-Milliken Re5J</t>
  </si>
  <si>
    <t>62060</t>
  </si>
  <si>
    <t>Weld 6, Greeley</t>
  </si>
  <si>
    <t>64043</t>
  </si>
  <si>
    <t>East Central BOCES, Limon</t>
  </si>
  <si>
    <t>64053</t>
  </si>
  <si>
    <t>Mount Evans BOCS, Idaho Springs</t>
  </si>
  <si>
    <t>64093</t>
  </si>
  <si>
    <t>Mountain BOCES, Leadville</t>
  </si>
  <si>
    <t>64103</t>
  </si>
  <si>
    <t>Northeast BOCES</t>
  </si>
  <si>
    <t>64123</t>
  </si>
  <si>
    <t>Northwest BOCES, Steamboat Springs</t>
  </si>
  <si>
    <t>64133</t>
  </si>
  <si>
    <t>Pikes Peak BOCS, Colorado Springs</t>
  </si>
  <si>
    <t>64143</t>
  </si>
  <si>
    <t>San Juan BOCS</t>
  </si>
  <si>
    <t>64153</t>
  </si>
  <si>
    <t>San Luis Valley BOCS</t>
  </si>
  <si>
    <t>64160</t>
  </si>
  <si>
    <t>Santa Fe Trail BOCES</t>
  </si>
  <si>
    <t>64163</t>
  </si>
  <si>
    <t>South Central BOCS, Pueblo</t>
  </si>
  <si>
    <t>64193</t>
  </si>
  <si>
    <t>Southeastern BOCES, Lamar</t>
  </si>
  <si>
    <t>64200</t>
  </si>
  <si>
    <t>Uncompahgre BOCS</t>
  </si>
  <si>
    <t>64203</t>
  </si>
  <si>
    <t>Centennial BOCES</t>
  </si>
  <si>
    <t>64205</t>
  </si>
  <si>
    <t>Ute Pass BOCES</t>
  </si>
  <si>
    <t>64213</t>
  </si>
  <si>
    <t>Rio Blanco BOCES, Rangely</t>
  </si>
  <si>
    <t>66050</t>
  </si>
  <si>
    <t>Colorado School for the Deaf and the Blind</t>
  </si>
  <si>
    <t>66060</t>
  </si>
  <si>
    <t>CO Mental Health Institute at Pueblo</t>
  </si>
  <si>
    <t>66070</t>
  </si>
  <si>
    <t>Department of Corrections</t>
  </si>
  <si>
    <t>66080</t>
  </si>
  <si>
    <t>Division of Youth Corrections</t>
  </si>
  <si>
    <t>80010</t>
  </si>
  <si>
    <t>Charter School Institute</t>
  </si>
  <si>
    <t>Totals</t>
  </si>
  <si>
    <t>.</t>
  </si>
  <si>
    <t>Oct-16</t>
  </si>
  <si>
    <t>Nov-16</t>
  </si>
  <si>
    <t>Dec-16</t>
  </si>
  <si>
    <t>Jan-17</t>
  </si>
  <si>
    <t/>
  </si>
  <si>
    <t>Feb-17</t>
  </si>
  <si>
    <t>Mar-17</t>
  </si>
  <si>
    <t>Apr-17</t>
  </si>
  <si>
    <t>May-17</t>
  </si>
  <si>
    <t>FY</t>
  </si>
  <si>
    <t>DistNo</t>
  </si>
  <si>
    <t>SumOfPayment</t>
  </si>
  <si>
    <t>FY1516</t>
  </si>
  <si>
    <t>GBL</t>
  </si>
  <si>
    <t>536A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</si>
</sst>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\$#,##0.00;\(\$#,##0.00\)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6" tint="0.39997558519241921"/>
        <bgColor rgb="FFC0C0C0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22"/>
        <bgColor indexed="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D0D7E5"/>
      </left>
      <right style="thin">
        <color rgb="FFD0D7E5"/>
      </right>
      <top/>
      <bottom/>
      <diagonal/>
    </border>
    <border>
      <left style="thin">
        <color rgb="FFD0D7E5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8" fillId="3" borderId="0"/>
  </cellStyleXfs>
  <cellXfs count="28">
    <xf numFmtId="0" fontId="0" fillId="0" borderId="0" xfId="0"/>
    <xf numFmtId="0" fontId="2" fillId="2" borderId="2" xfId="0" applyFont="1" applyFill="1" applyBorder="1" applyAlignment="1" applyProtection="1">
      <alignment vertical="center" wrapText="1"/>
    </xf>
    <xf numFmtId="164" fontId="3" fillId="3" borderId="3" xfId="0" applyNumberFormat="1" applyFont="1" applyFill="1" applyBorder="1" applyAlignment="1" applyProtection="1">
      <alignment horizontal="right" vertical="center" wrapText="1"/>
    </xf>
    <xf numFmtId="0" fontId="1" fillId="4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4" xfId="0" applyFont="1" applyFill="1" applyBorder="1"/>
    <xf numFmtId="164" fontId="4" fillId="5" borderId="4" xfId="0" applyNumberFormat="1" applyFont="1" applyFill="1" applyBorder="1"/>
    <xf numFmtId="164" fontId="2" fillId="3" borderId="5" xfId="0" applyNumberFormat="1" applyFont="1" applyFill="1" applyBorder="1" applyAlignment="1" applyProtection="1">
      <alignment horizontal="right" vertical="center" wrapText="1"/>
    </xf>
    <xf numFmtId="164" fontId="2" fillId="3" borderId="6" xfId="0" applyNumberFormat="1" applyFont="1" applyFill="1" applyBorder="1" applyAlignment="1" applyProtection="1">
      <alignment horizontal="right" vertical="center" wrapText="1"/>
    </xf>
    <xf numFmtId="164" fontId="0" fillId="0" borderId="0" xfId="0" applyNumberFormat="1"/>
    <xf numFmtId="164" fontId="2" fillId="3" borderId="0" xfId="0" applyNumberFormat="1" applyFont="1" applyFill="1" applyBorder="1" applyAlignment="1" applyProtection="1">
      <alignment horizontal="right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vertical="center" wrapText="1"/>
    </xf>
    <xf numFmtId="164" fontId="3" fillId="0" borderId="3" xfId="0" applyNumberFormat="1" applyFont="1" applyFill="1" applyBorder="1" applyAlignment="1" applyProtection="1">
      <alignment horizontal="right" vertical="center" wrapText="1"/>
    </xf>
    <xf numFmtId="0" fontId="0" fillId="0" borderId="0" xfId="0" applyFill="1"/>
    <xf numFmtId="164" fontId="2" fillId="0" borderId="5" xfId="0" applyNumberFormat="1" applyFont="1" applyFill="1" applyBorder="1" applyAlignment="1" applyProtection="1">
      <alignment horizontal="right" vertical="center" wrapText="1"/>
    </xf>
    <xf numFmtId="16" fontId="1" fillId="4" borderId="1" xfId="0" quotePrefix="1" applyNumberFormat="1" applyFont="1" applyFill="1" applyBorder="1" applyAlignment="1" applyProtection="1">
      <alignment horizontal="center" vertical="center"/>
    </xf>
    <xf numFmtId="39" fontId="0" fillId="0" borderId="0" xfId="0" applyNumberFormat="1"/>
    <xf numFmtId="16" fontId="1" fillId="4" borderId="7" xfId="0" quotePrefix="1" applyNumberFormat="1" applyFont="1" applyFill="1" applyBorder="1" applyAlignment="1" applyProtection="1">
      <alignment horizontal="center" vertical="center"/>
    </xf>
    <xf numFmtId="0" fontId="7" fillId="6" borderId="8" xfId="2" applyFont="1" applyFill="1" applyBorder="1" applyAlignment="1">
      <alignment horizontal="center"/>
    </xf>
    <xf numFmtId="0" fontId="7" fillId="3" borderId="9" xfId="2" applyFont="1" applyFill="1" applyBorder="1" applyAlignment="1">
      <alignment wrapText="1"/>
    </xf>
    <xf numFmtId="0" fontId="7" fillId="3" borderId="9" xfId="2" applyFont="1" applyFill="1" applyBorder="1" applyAlignment="1">
      <alignment horizontal="right" wrapText="1"/>
    </xf>
    <xf numFmtId="43" fontId="0" fillId="0" borderId="0" xfId="1" applyFont="1"/>
    <xf numFmtId="43" fontId="0" fillId="0" borderId="0" xfId="0" applyNumberFormat="1"/>
    <xf numFmtId="165" fontId="7" fillId="3" borderId="9" xfId="1" applyNumberFormat="1" applyFont="1" applyFill="1" applyBorder="1" applyAlignment="1">
      <alignment horizontal="right" wrapText="1"/>
    </xf>
    <xf numFmtId="165" fontId="0" fillId="0" borderId="0" xfId="1" applyNumberFormat="1" applyFont="1"/>
  </cellXfs>
  <cellStyles count="3">
    <cellStyle name="Comma" xfId="1" builtinId="3"/>
    <cellStyle name="Normal" xfId="0" builtinId="0"/>
    <cellStyle name="Normal_Recon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J69"/>
  <sheetViews>
    <sheetView tabSelected="1" workbookViewId="0">
      <pane xSplit="5" ySplit="1" topLeftCell="W9" activePane="bottomRight" state="frozen"/>
      <selection pane="topRight" activeCell="F1" sqref="F1"/>
      <selection pane="bottomLeft" activeCell="A2" sqref="A2"/>
      <selection pane="bottomRight" activeCell="AA61" sqref="AA61"/>
    </sheetView>
  </sheetViews>
  <sheetFormatPr defaultRowHeight="15" x14ac:dyDescent="0.25"/>
  <cols>
    <col min="1" max="1" width="14.140625" style="5" customWidth="1"/>
    <col min="2" max="2" width="24.28515625" customWidth="1"/>
    <col min="3" max="3" width="23.28515625" customWidth="1"/>
    <col min="4" max="4" width="19.42578125" customWidth="1"/>
    <col min="5" max="5" width="18.85546875" bestFit="1" customWidth="1"/>
    <col min="6" max="22" width="14.140625" customWidth="1"/>
    <col min="23" max="23" width="12.7109375" style="12" customWidth="1"/>
    <col min="24" max="24" width="11.5703125" customWidth="1"/>
    <col min="25" max="25" width="13.28515625" customWidth="1"/>
    <col min="26" max="26" width="11.28515625" customWidth="1"/>
    <col min="27" max="28" width="12.7109375" customWidth="1"/>
    <col min="29" max="29" width="13" customWidth="1"/>
    <col min="33" max="33" width="12.28515625" customWidth="1"/>
  </cols>
  <sheetData>
    <row r="1" spans="1:3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18" t="s">
        <v>146</v>
      </c>
      <c r="V1" s="18" t="s">
        <v>147</v>
      </c>
      <c r="W1" s="18" t="s">
        <v>148</v>
      </c>
      <c r="X1" s="20" t="s">
        <v>149</v>
      </c>
      <c r="Y1" s="20" t="s">
        <v>151</v>
      </c>
      <c r="Z1" s="20" t="s">
        <v>152</v>
      </c>
      <c r="AA1" s="20" t="s">
        <v>153</v>
      </c>
      <c r="AB1" s="20" t="s">
        <v>154</v>
      </c>
      <c r="AC1" s="20">
        <v>42903</v>
      </c>
      <c r="AD1" s="20">
        <v>42933</v>
      </c>
      <c r="AE1" s="20">
        <v>42964</v>
      </c>
      <c r="AF1" s="20">
        <v>42995</v>
      </c>
      <c r="AG1" s="20">
        <v>43025</v>
      </c>
      <c r="AH1" s="20">
        <v>43056</v>
      </c>
      <c r="AI1" s="20">
        <v>43086</v>
      </c>
    </row>
    <row r="2" spans="1:35" ht="14.45" x14ac:dyDescent="0.3">
      <c r="A2" s="4" t="s">
        <v>20</v>
      </c>
      <c r="B2" s="1" t="s">
        <v>21</v>
      </c>
      <c r="C2" s="2">
        <v>1290262</v>
      </c>
      <c r="D2" s="2">
        <f>SUM(F2:AZ2)</f>
        <v>1290262</v>
      </c>
      <c r="E2" s="2">
        <f>C2-D2</f>
        <v>0</v>
      </c>
      <c r="K2" s="2">
        <v>158363</v>
      </c>
      <c r="L2" s="2">
        <v>110844</v>
      </c>
      <c r="N2" s="2">
        <v>257741</v>
      </c>
      <c r="O2" s="2">
        <v>100315</v>
      </c>
      <c r="P2" s="9">
        <v>156277</v>
      </c>
      <c r="R2" s="10">
        <v>115196</v>
      </c>
      <c r="T2" s="12">
        <v>350412</v>
      </c>
      <c r="U2" s="12">
        <v>41114</v>
      </c>
      <c r="V2" s="12"/>
      <c r="X2" s="12" t="s">
        <v>150</v>
      </c>
    </row>
    <row r="3" spans="1:35" ht="14.45" x14ac:dyDescent="0.3">
      <c r="A3" s="4" t="s">
        <v>22</v>
      </c>
      <c r="B3" s="1" t="s">
        <v>23</v>
      </c>
      <c r="C3" s="2">
        <v>5782990</v>
      </c>
      <c r="D3" s="2">
        <f t="shared" ref="D3:D63" si="0">SUM(F3:AZ3)</f>
        <v>5782990</v>
      </c>
      <c r="E3" s="2">
        <f t="shared" ref="E3:E63" si="1">C3-D3</f>
        <v>0</v>
      </c>
      <c r="K3" s="2">
        <v>1079922</v>
      </c>
      <c r="M3" s="2">
        <v>478803</v>
      </c>
      <c r="N3" s="2">
        <v>305157</v>
      </c>
      <c r="O3" s="2">
        <v>596789</v>
      </c>
      <c r="P3" s="9">
        <v>522500</v>
      </c>
      <c r="Q3" s="9">
        <v>1049293</v>
      </c>
      <c r="T3" s="12">
        <v>1570598</v>
      </c>
      <c r="U3" s="12"/>
      <c r="V3" s="12">
        <v>179928</v>
      </c>
      <c r="X3" s="12" t="s">
        <v>150</v>
      </c>
    </row>
    <row r="4" spans="1:35" ht="14.45" x14ac:dyDescent="0.3">
      <c r="A4" s="4" t="s">
        <v>24</v>
      </c>
      <c r="B4" s="1" t="s">
        <v>25</v>
      </c>
      <c r="C4" s="2">
        <v>1286193</v>
      </c>
      <c r="D4" s="2">
        <f t="shared" si="0"/>
        <v>1286193</v>
      </c>
      <c r="E4" s="2">
        <f t="shared" si="1"/>
        <v>0</v>
      </c>
      <c r="J4" s="2">
        <v>216993</v>
      </c>
      <c r="M4" s="2">
        <v>363224</v>
      </c>
      <c r="O4" s="2">
        <v>305487</v>
      </c>
      <c r="P4" s="9">
        <v>100005</v>
      </c>
      <c r="Q4" s="9"/>
      <c r="R4" s="9">
        <v>244198</v>
      </c>
      <c r="S4" s="9"/>
      <c r="T4" s="9">
        <v>36207</v>
      </c>
      <c r="U4" s="9"/>
      <c r="V4" s="9"/>
      <c r="W4" s="12">
        <v>20079</v>
      </c>
      <c r="X4" s="12" t="s">
        <v>150</v>
      </c>
    </row>
    <row r="5" spans="1:35" ht="14.45" x14ac:dyDescent="0.3">
      <c r="A5" s="4" t="s">
        <v>26</v>
      </c>
      <c r="B5" s="1" t="s">
        <v>27</v>
      </c>
      <c r="C5" s="2">
        <v>2079889</v>
      </c>
      <c r="D5" s="2">
        <f t="shared" si="0"/>
        <v>2079889</v>
      </c>
      <c r="E5" s="2">
        <f t="shared" si="1"/>
        <v>0</v>
      </c>
      <c r="M5" s="2">
        <v>480502</v>
      </c>
      <c r="O5" s="2">
        <v>203745</v>
      </c>
      <c r="P5" s="9"/>
      <c r="Q5" s="9">
        <v>303891</v>
      </c>
      <c r="R5" s="9"/>
      <c r="S5" s="9"/>
      <c r="T5" s="9"/>
      <c r="U5" s="9">
        <f>171436+141095</f>
        <v>312531</v>
      </c>
      <c r="V5" s="9"/>
      <c r="X5" s="12" t="s">
        <v>150</v>
      </c>
      <c r="Y5" s="12">
        <v>779220</v>
      </c>
    </row>
    <row r="6" spans="1:35" ht="14.45" x14ac:dyDescent="0.3">
      <c r="A6" s="4" t="s">
        <v>28</v>
      </c>
      <c r="B6" s="1" t="s">
        <v>29</v>
      </c>
      <c r="C6" s="2">
        <v>1921911</v>
      </c>
      <c r="D6" s="2">
        <f t="shared" si="0"/>
        <v>1921911</v>
      </c>
      <c r="E6" s="2">
        <f t="shared" si="1"/>
        <v>0</v>
      </c>
      <c r="I6" s="2">
        <v>93052</v>
      </c>
      <c r="J6" s="2">
        <v>228944</v>
      </c>
      <c r="L6" s="2">
        <v>293946</v>
      </c>
      <c r="M6" s="2">
        <v>208751</v>
      </c>
      <c r="N6" s="2">
        <v>105366</v>
      </c>
      <c r="O6" s="2">
        <v>138244</v>
      </c>
      <c r="P6" s="9">
        <v>180975</v>
      </c>
      <c r="Q6" s="9">
        <v>133466</v>
      </c>
      <c r="R6" s="9">
        <v>185997</v>
      </c>
      <c r="S6" s="9"/>
      <c r="T6" s="9">
        <f>133531+185109</f>
        <v>318640</v>
      </c>
      <c r="U6" s="9">
        <v>34530</v>
      </c>
      <c r="V6" s="9"/>
      <c r="X6" s="12" t="s">
        <v>150</v>
      </c>
    </row>
    <row r="7" spans="1:35" ht="14.45" x14ac:dyDescent="0.3">
      <c r="A7" s="4" t="s">
        <v>30</v>
      </c>
      <c r="B7" s="1" t="s">
        <v>31</v>
      </c>
      <c r="C7" s="2">
        <v>680074</v>
      </c>
      <c r="D7" s="2">
        <f t="shared" si="0"/>
        <v>680074</v>
      </c>
      <c r="E7" s="2">
        <f t="shared" si="1"/>
        <v>0</v>
      </c>
      <c r="I7" s="2">
        <v>47896</v>
      </c>
      <c r="J7" s="2">
        <v>49215</v>
      </c>
      <c r="K7" s="2">
        <v>46710</v>
      </c>
      <c r="L7" s="2">
        <v>82024</v>
      </c>
      <c r="M7" s="2">
        <v>49890</v>
      </c>
      <c r="N7" s="2">
        <v>36574</v>
      </c>
      <c r="O7" s="2">
        <v>52766</v>
      </c>
      <c r="P7" s="9">
        <v>58286</v>
      </c>
      <c r="Q7" s="9">
        <v>52811</v>
      </c>
      <c r="R7" s="9">
        <v>49784</v>
      </c>
      <c r="S7" s="9">
        <v>74684</v>
      </c>
      <c r="T7" s="9">
        <v>61129</v>
      </c>
      <c r="U7" s="9">
        <v>18305</v>
      </c>
      <c r="V7" s="9"/>
      <c r="X7" s="12" t="s">
        <v>150</v>
      </c>
    </row>
    <row r="8" spans="1:35" ht="14.45" x14ac:dyDescent="0.3">
      <c r="A8" s="4" t="s">
        <v>32</v>
      </c>
      <c r="B8" s="1" t="s">
        <v>33</v>
      </c>
      <c r="C8" s="2">
        <v>325901</v>
      </c>
      <c r="D8" s="2">
        <f t="shared" si="0"/>
        <v>325901</v>
      </c>
      <c r="E8" s="2">
        <f t="shared" si="1"/>
        <v>0</v>
      </c>
      <c r="K8" s="2">
        <v>61768</v>
      </c>
      <c r="L8" s="2">
        <v>56191</v>
      </c>
      <c r="N8" s="2">
        <v>39607</v>
      </c>
      <c r="O8" s="2">
        <v>30418</v>
      </c>
      <c r="P8" s="9"/>
      <c r="Q8" s="9"/>
      <c r="R8" s="9">
        <v>73076</v>
      </c>
      <c r="S8" s="9"/>
      <c r="T8" s="9">
        <v>29218</v>
      </c>
      <c r="U8" s="9"/>
      <c r="V8" s="9">
        <v>35623</v>
      </c>
      <c r="X8" s="12" t="s">
        <v>150</v>
      </c>
    </row>
    <row r="9" spans="1:35" ht="14.45" x14ac:dyDescent="0.3">
      <c r="A9" s="4" t="s">
        <v>34</v>
      </c>
      <c r="B9" s="1" t="s">
        <v>35</v>
      </c>
      <c r="C9" s="2">
        <v>8348327</v>
      </c>
      <c r="D9" s="2">
        <f t="shared" si="0"/>
        <v>8378926</v>
      </c>
      <c r="E9" s="2">
        <f t="shared" si="1"/>
        <v>-30599</v>
      </c>
      <c r="I9" s="2">
        <v>507033</v>
      </c>
      <c r="J9" s="2">
        <v>683929</v>
      </c>
      <c r="K9" s="2">
        <v>720576</v>
      </c>
      <c r="L9" s="2">
        <v>711188</v>
      </c>
      <c r="M9" s="2">
        <v>717116</v>
      </c>
      <c r="N9" s="2">
        <v>576436</v>
      </c>
      <c r="O9" s="2">
        <v>680618</v>
      </c>
      <c r="P9" s="9">
        <f>1224049+30599</f>
        <v>1254648</v>
      </c>
      <c r="Q9" s="9">
        <v>716125</v>
      </c>
      <c r="R9" s="9"/>
      <c r="S9" s="9">
        <v>1226471</v>
      </c>
      <c r="T9" s="9"/>
      <c r="U9" s="9"/>
      <c r="V9" s="9">
        <v>584786</v>
      </c>
      <c r="X9" s="12" t="s">
        <v>150</v>
      </c>
    </row>
    <row r="10" spans="1:35" x14ac:dyDescent="0.25">
      <c r="A10" s="4" t="s">
        <v>36</v>
      </c>
      <c r="B10" s="1" t="s">
        <v>37</v>
      </c>
      <c r="C10" s="2">
        <v>2422390</v>
      </c>
      <c r="D10" s="2">
        <f>SUM(F10:AZ10)</f>
        <v>2422390</v>
      </c>
      <c r="E10" s="2">
        <f t="shared" si="1"/>
        <v>0</v>
      </c>
      <c r="K10" s="2">
        <v>1027369</v>
      </c>
      <c r="M10" s="2">
        <f>475852-65134</f>
        <v>410718</v>
      </c>
      <c r="P10" s="9"/>
      <c r="Q10" s="9"/>
      <c r="R10" s="9"/>
      <c r="S10" s="9">
        <v>823444</v>
      </c>
      <c r="T10" s="9">
        <v>95725</v>
      </c>
      <c r="U10" s="9">
        <v>65134</v>
      </c>
      <c r="V10" s="9"/>
      <c r="X10" s="12" t="s">
        <v>150</v>
      </c>
    </row>
    <row r="11" spans="1:35" s="16" customFormat="1" ht="28.9" x14ac:dyDescent="0.3">
      <c r="A11" s="13" t="s">
        <v>38</v>
      </c>
      <c r="B11" s="14" t="s">
        <v>39</v>
      </c>
      <c r="C11" s="15">
        <v>6843233</v>
      </c>
      <c r="D11" s="2">
        <f t="shared" si="0"/>
        <v>6843233</v>
      </c>
      <c r="E11" s="15">
        <f t="shared" si="1"/>
        <v>0</v>
      </c>
      <c r="K11" s="15">
        <v>667493</v>
      </c>
      <c r="L11" s="15">
        <v>312232</v>
      </c>
      <c r="M11" s="15">
        <v>621807</v>
      </c>
      <c r="N11" s="15">
        <v>404904</v>
      </c>
      <c r="O11" s="15">
        <v>1366295</v>
      </c>
      <c r="P11" s="17">
        <v>601424</v>
      </c>
      <c r="Q11" s="17">
        <v>600712</v>
      </c>
      <c r="R11" s="17">
        <v>1264894</v>
      </c>
      <c r="S11" s="17"/>
      <c r="T11" s="17">
        <f>695183+308289</f>
        <v>1003472</v>
      </c>
      <c r="U11" s="17"/>
      <c r="V11" s="17"/>
      <c r="W11" s="12"/>
      <c r="X11" s="12" t="s">
        <v>150</v>
      </c>
    </row>
    <row r="12" spans="1:35" ht="14.45" x14ac:dyDescent="0.3">
      <c r="A12" s="4" t="s">
        <v>40</v>
      </c>
      <c r="B12" s="1" t="s">
        <v>41</v>
      </c>
      <c r="C12" s="2">
        <v>4039274</v>
      </c>
      <c r="D12" s="2">
        <f t="shared" si="0"/>
        <v>4039274</v>
      </c>
      <c r="E12" s="2">
        <f t="shared" si="1"/>
        <v>0</v>
      </c>
      <c r="N12" s="2">
        <v>567451</v>
      </c>
      <c r="P12" s="9"/>
      <c r="Q12" s="9">
        <v>1074477</v>
      </c>
      <c r="R12" s="9"/>
      <c r="S12" s="9"/>
      <c r="T12" s="9"/>
      <c r="U12" s="9">
        <v>1456501</v>
      </c>
      <c r="V12" s="9">
        <v>911968</v>
      </c>
      <c r="X12" s="12" t="s">
        <v>150</v>
      </c>
      <c r="AB12" s="12">
        <v>28877</v>
      </c>
    </row>
    <row r="13" spans="1:35" ht="14.45" x14ac:dyDescent="0.3">
      <c r="A13" s="4" t="s">
        <v>42</v>
      </c>
      <c r="B13" s="1" t="s">
        <v>43</v>
      </c>
      <c r="C13" s="2">
        <v>4924547</v>
      </c>
      <c r="D13" s="2">
        <f t="shared" si="0"/>
        <v>4924547</v>
      </c>
      <c r="E13" s="2">
        <f t="shared" si="1"/>
        <v>0</v>
      </c>
      <c r="I13" s="2">
        <v>185620</v>
      </c>
      <c r="J13" s="2">
        <v>515553</v>
      </c>
      <c r="K13" s="2">
        <v>435331</v>
      </c>
      <c r="L13" s="2">
        <v>515269</v>
      </c>
      <c r="M13" s="2">
        <v>475079</v>
      </c>
      <c r="N13" s="2">
        <v>356913</v>
      </c>
      <c r="O13" s="2">
        <v>471128</v>
      </c>
      <c r="P13" s="9">
        <v>548485</v>
      </c>
      <c r="Q13" s="9">
        <v>502215</v>
      </c>
      <c r="R13" s="9">
        <v>148756</v>
      </c>
      <c r="S13" s="9"/>
      <c r="T13" s="9">
        <f>54110+352391</f>
        <v>406501</v>
      </c>
      <c r="U13" s="9">
        <v>363697</v>
      </c>
      <c r="V13" s="9"/>
      <c r="X13" s="12" t="s">
        <v>150</v>
      </c>
      <c r="Y13" s="9"/>
    </row>
    <row r="14" spans="1:35" ht="14.45" x14ac:dyDescent="0.3">
      <c r="A14" s="4" t="s">
        <v>44</v>
      </c>
      <c r="B14" s="1" t="s">
        <v>45</v>
      </c>
      <c r="C14" s="2">
        <v>857297</v>
      </c>
      <c r="D14" s="2">
        <f t="shared" si="0"/>
        <v>857297</v>
      </c>
      <c r="E14" s="2">
        <f t="shared" si="1"/>
        <v>0</v>
      </c>
      <c r="M14" s="2">
        <v>109688</v>
      </c>
      <c r="N14" s="2">
        <v>50028</v>
      </c>
      <c r="O14" s="2">
        <v>44649</v>
      </c>
      <c r="P14" s="9">
        <v>66256</v>
      </c>
      <c r="Q14" s="9"/>
      <c r="R14" s="9"/>
      <c r="S14" s="9"/>
      <c r="T14" s="9"/>
      <c r="U14" s="9">
        <v>263162</v>
      </c>
      <c r="V14" s="9">
        <v>154155</v>
      </c>
      <c r="X14" s="12" t="s">
        <v>150</v>
      </c>
      <c r="Y14" s="12">
        <v>169359</v>
      </c>
    </row>
    <row r="15" spans="1:35" ht="14.45" x14ac:dyDescent="0.3">
      <c r="A15" s="4" t="s">
        <v>46</v>
      </c>
      <c r="B15" s="1" t="s">
        <v>47</v>
      </c>
      <c r="C15" s="2">
        <v>15269928</v>
      </c>
      <c r="D15" s="2">
        <f t="shared" si="0"/>
        <v>15269928</v>
      </c>
      <c r="E15" s="2">
        <f t="shared" si="1"/>
        <v>0</v>
      </c>
      <c r="K15" s="2">
        <v>2760606</v>
      </c>
      <c r="M15" s="2">
        <v>118915</v>
      </c>
      <c r="N15" s="2">
        <v>4258055</v>
      </c>
      <c r="P15" s="9">
        <v>1659153</v>
      </c>
      <c r="Q15" s="9">
        <f>1324325+1976122</f>
        <v>3300447</v>
      </c>
      <c r="R15" s="9">
        <v>782919</v>
      </c>
      <c r="S15" s="9"/>
      <c r="T15" s="9"/>
      <c r="U15" s="9"/>
      <c r="V15" s="9">
        <v>2389833</v>
      </c>
      <c r="X15" s="12" t="s">
        <v>150</v>
      </c>
      <c r="Y15" s="12"/>
    </row>
    <row r="16" spans="1:35" ht="14.45" x14ac:dyDescent="0.3">
      <c r="A16" s="4" t="s">
        <v>48</v>
      </c>
      <c r="B16" s="1" t="s">
        <v>49</v>
      </c>
      <c r="C16" s="2">
        <v>8000430</v>
      </c>
      <c r="D16" s="2">
        <f t="shared" si="0"/>
        <v>8000430</v>
      </c>
      <c r="E16" s="2">
        <f t="shared" si="1"/>
        <v>0</v>
      </c>
      <c r="K16" s="2">
        <v>2408407</v>
      </c>
      <c r="L16" s="2">
        <v>630480</v>
      </c>
      <c r="M16" s="2">
        <v>702903</v>
      </c>
      <c r="N16" s="2">
        <v>846778</v>
      </c>
      <c r="O16" s="2">
        <v>703814</v>
      </c>
      <c r="P16" s="9">
        <v>571087</v>
      </c>
      <c r="Q16" s="9">
        <v>842842</v>
      </c>
      <c r="R16" s="9"/>
      <c r="S16" s="9"/>
      <c r="T16" s="9">
        <v>1227414</v>
      </c>
      <c r="U16" s="9">
        <f>61129+5576</f>
        <v>66705</v>
      </c>
      <c r="V16" s="9"/>
      <c r="X16" s="12" t="s">
        <v>150</v>
      </c>
    </row>
    <row r="17" spans="1:36" ht="14.45" x14ac:dyDescent="0.3">
      <c r="A17" s="4" t="s">
        <v>50</v>
      </c>
      <c r="B17" s="1" t="s">
        <v>51</v>
      </c>
      <c r="C17" s="2">
        <v>1008752</v>
      </c>
      <c r="D17" s="2">
        <f t="shared" si="0"/>
        <v>1008752</v>
      </c>
      <c r="E17" s="2">
        <f t="shared" si="1"/>
        <v>0</v>
      </c>
      <c r="P17" s="9"/>
      <c r="Q17" s="9">
        <v>919914</v>
      </c>
      <c r="R17" s="9"/>
      <c r="S17" s="9"/>
      <c r="T17" s="9"/>
      <c r="U17" s="9">
        <v>88838</v>
      </c>
      <c r="V17" s="9"/>
      <c r="X17" s="12" t="s">
        <v>150</v>
      </c>
    </row>
    <row r="18" spans="1:36" ht="14.45" x14ac:dyDescent="0.3">
      <c r="A18" s="4" t="s">
        <v>52</v>
      </c>
      <c r="B18" s="1" t="s">
        <v>53</v>
      </c>
      <c r="C18" s="2">
        <v>394045</v>
      </c>
      <c r="D18" s="2">
        <f t="shared" si="0"/>
        <v>394045</v>
      </c>
      <c r="E18" s="2">
        <f t="shared" si="1"/>
        <v>0</v>
      </c>
      <c r="M18" s="2">
        <v>140015</v>
      </c>
      <c r="O18" s="2">
        <v>99600</v>
      </c>
      <c r="P18" s="9">
        <v>77068</v>
      </c>
      <c r="Q18" s="9">
        <v>73730</v>
      </c>
      <c r="R18" s="9"/>
      <c r="S18" s="9"/>
      <c r="T18" s="9"/>
      <c r="U18" s="9"/>
      <c r="V18" s="9"/>
      <c r="X18" s="12">
        <v>3632</v>
      </c>
    </row>
    <row r="19" spans="1:36" ht="14.45" x14ac:dyDescent="0.3">
      <c r="A19" s="4" t="s">
        <v>54</v>
      </c>
      <c r="B19" s="1" t="s">
        <v>55</v>
      </c>
      <c r="C19" s="2">
        <v>2062631</v>
      </c>
      <c r="D19" s="2">
        <f t="shared" si="0"/>
        <v>2062631</v>
      </c>
      <c r="E19" s="2">
        <f t="shared" si="1"/>
        <v>0</v>
      </c>
      <c r="J19" s="2">
        <v>258605</v>
      </c>
      <c r="K19" s="2">
        <v>180131</v>
      </c>
      <c r="L19" s="2">
        <v>166244</v>
      </c>
      <c r="M19" s="2">
        <v>170530</v>
      </c>
      <c r="N19" s="2">
        <v>106705</v>
      </c>
      <c r="O19" s="2">
        <v>158594</v>
      </c>
      <c r="P19" s="9">
        <v>197457</v>
      </c>
      <c r="Q19" s="9">
        <v>53160</v>
      </c>
      <c r="R19" s="9">
        <v>145945</v>
      </c>
      <c r="S19" s="9"/>
      <c r="T19" s="9"/>
      <c r="U19" s="9">
        <f>170282+355392</f>
        <v>525674</v>
      </c>
      <c r="V19" s="9">
        <v>99586</v>
      </c>
      <c r="X19" s="12" t="s">
        <v>150</v>
      </c>
    </row>
    <row r="20" spans="1:36" ht="14.45" x14ac:dyDescent="0.3">
      <c r="A20" s="4" t="s">
        <v>56</v>
      </c>
      <c r="B20" s="1" t="s">
        <v>57</v>
      </c>
      <c r="C20" s="2">
        <v>1567537</v>
      </c>
      <c r="D20" s="2">
        <f t="shared" si="0"/>
        <v>1567537</v>
      </c>
      <c r="E20" s="2">
        <f t="shared" si="1"/>
        <v>0</v>
      </c>
      <c r="L20" s="2">
        <v>114728</v>
      </c>
      <c r="M20" s="2">
        <v>133510</v>
      </c>
      <c r="N20" s="2">
        <v>87267</v>
      </c>
      <c r="O20" s="2">
        <v>134285</v>
      </c>
      <c r="P20" s="9">
        <v>124152</v>
      </c>
      <c r="Q20" s="9">
        <v>137096</v>
      </c>
      <c r="R20" s="9"/>
      <c r="S20" s="9">
        <v>448684</v>
      </c>
      <c r="T20" s="9"/>
      <c r="U20" s="9"/>
      <c r="V20" s="9">
        <v>262210</v>
      </c>
      <c r="W20" s="12">
        <v>125605</v>
      </c>
      <c r="X20" s="12" t="s">
        <v>150</v>
      </c>
    </row>
    <row r="21" spans="1:36" ht="14.45" x14ac:dyDescent="0.3">
      <c r="A21" s="4" t="s">
        <v>58</v>
      </c>
      <c r="B21" s="1" t="s">
        <v>59</v>
      </c>
      <c r="C21" s="2">
        <v>1141365</v>
      </c>
      <c r="D21" s="2">
        <f t="shared" si="0"/>
        <v>1141365</v>
      </c>
      <c r="E21" s="2">
        <f t="shared" si="1"/>
        <v>0</v>
      </c>
      <c r="I21" s="2">
        <v>276145</v>
      </c>
      <c r="J21" s="2">
        <v>116039</v>
      </c>
      <c r="K21" s="2">
        <v>217026</v>
      </c>
      <c r="L21" s="2">
        <v>374144</v>
      </c>
      <c r="P21" s="9" t="s">
        <v>145</v>
      </c>
      <c r="Q21" s="9">
        <v>158011</v>
      </c>
      <c r="R21" s="9"/>
      <c r="S21" s="9"/>
      <c r="T21" s="9"/>
      <c r="U21" s="9"/>
      <c r="V21" s="9"/>
      <c r="X21" s="12" t="s">
        <v>150</v>
      </c>
    </row>
    <row r="22" spans="1:36" ht="14.45" x14ac:dyDescent="0.3">
      <c r="A22" s="4" t="s">
        <v>60</v>
      </c>
      <c r="B22" s="1" t="s">
        <v>61</v>
      </c>
      <c r="C22" s="2">
        <v>5067196</v>
      </c>
      <c r="D22" s="2">
        <f t="shared" si="0"/>
        <v>5067196</v>
      </c>
      <c r="E22" s="2">
        <f t="shared" si="1"/>
        <v>0</v>
      </c>
      <c r="I22" s="2">
        <v>34575</v>
      </c>
      <c r="J22" s="2">
        <v>729261</v>
      </c>
      <c r="K22" s="2">
        <v>1166778</v>
      </c>
      <c r="N22" s="2">
        <v>314386</v>
      </c>
      <c r="O22" s="2">
        <v>443577</v>
      </c>
      <c r="P22" s="9">
        <v>414487</v>
      </c>
      <c r="Q22" s="9">
        <v>545422</v>
      </c>
      <c r="R22" s="9">
        <v>161943</v>
      </c>
      <c r="S22" s="9"/>
      <c r="T22" s="9">
        <f>290399+501946</f>
        <v>792345</v>
      </c>
      <c r="U22" s="9"/>
      <c r="V22" s="9">
        <v>464422</v>
      </c>
      <c r="X22" s="12" t="s">
        <v>150</v>
      </c>
    </row>
    <row r="23" spans="1:36" ht="30" x14ac:dyDescent="0.25">
      <c r="A23" s="4" t="s">
        <v>62</v>
      </c>
      <c r="B23" s="1" t="s">
        <v>63</v>
      </c>
      <c r="C23" s="2">
        <v>639151</v>
      </c>
      <c r="D23" s="2">
        <f t="shared" si="0"/>
        <v>639151</v>
      </c>
      <c r="E23" s="2">
        <f t="shared" si="1"/>
        <v>0</v>
      </c>
      <c r="P23" s="9"/>
      <c r="Q23" s="9">
        <v>473668</v>
      </c>
      <c r="R23" s="9"/>
      <c r="S23" s="9"/>
      <c r="T23" s="9"/>
      <c r="U23" s="9"/>
      <c r="V23" s="9"/>
      <c r="X23" s="12" t="s">
        <v>150</v>
      </c>
      <c r="AC23" s="12">
        <v>165483</v>
      </c>
      <c r="AD23" s="12"/>
      <c r="AE23" s="12"/>
      <c r="AF23" s="12"/>
      <c r="AG23" s="12"/>
      <c r="AH23" s="12"/>
      <c r="AI23" s="12"/>
      <c r="AJ23" s="12"/>
    </row>
    <row r="24" spans="1:36" x14ac:dyDescent="0.25">
      <c r="A24" s="4" t="s">
        <v>64</v>
      </c>
      <c r="B24" s="1" t="s">
        <v>65</v>
      </c>
      <c r="C24" s="2">
        <v>2969721</v>
      </c>
      <c r="D24" s="2">
        <f t="shared" si="0"/>
        <v>2969721</v>
      </c>
      <c r="E24" s="2">
        <f t="shared" si="1"/>
        <v>0</v>
      </c>
      <c r="J24" s="2">
        <v>73156</v>
      </c>
      <c r="K24" s="2">
        <v>286741</v>
      </c>
      <c r="L24" s="2">
        <v>244746</v>
      </c>
      <c r="M24" s="2">
        <v>247624</v>
      </c>
      <c r="N24" s="2">
        <v>158977</v>
      </c>
      <c r="O24" s="2">
        <v>251337</v>
      </c>
      <c r="P24" s="9">
        <v>254755</v>
      </c>
      <c r="Q24" s="9">
        <v>295319</v>
      </c>
      <c r="R24" s="9">
        <v>310258</v>
      </c>
      <c r="S24" s="9">
        <v>207122</v>
      </c>
      <c r="T24" s="9">
        <v>203152</v>
      </c>
      <c r="U24" s="9">
        <v>389761</v>
      </c>
      <c r="V24" s="9">
        <v>46773</v>
      </c>
      <c r="X24" s="12" t="s">
        <v>150</v>
      </c>
      <c r="AC24" s="12"/>
      <c r="AD24" s="12"/>
      <c r="AE24" s="12"/>
      <c r="AF24" s="12"/>
      <c r="AG24" s="12"/>
      <c r="AH24" s="12"/>
      <c r="AI24" s="12"/>
      <c r="AJ24" s="12"/>
    </row>
    <row r="25" spans="1:36" x14ac:dyDescent="0.25">
      <c r="A25" s="4" t="s">
        <v>66</v>
      </c>
      <c r="B25" s="1" t="s">
        <v>67</v>
      </c>
      <c r="C25" s="2">
        <v>821691</v>
      </c>
      <c r="D25" s="2">
        <f t="shared" si="0"/>
        <v>821691</v>
      </c>
      <c r="E25" s="2">
        <f t="shared" si="1"/>
        <v>0</v>
      </c>
      <c r="K25" s="2">
        <v>51050</v>
      </c>
      <c r="M25" s="2">
        <v>139410</v>
      </c>
      <c r="N25" s="2">
        <v>46861</v>
      </c>
      <c r="O25" s="2">
        <v>68843</v>
      </c>
      <c r="P25" s="9"/>
      <c r="Q25" s="9">
        <f>68829+68481</f>
        <v>137310</v>
      </c>
      <c r="R25" s="9">
        <v>69048</v>
      </c>
      <c r="S25" s="9"/>
      <c r="T25" s="9">
        <v>133447</v>
      </c>
      <c r="U25" s="9"/>
      <c r="V25" s="9"/>
      <c r="W25" s="12">
        <v>175722</v>
      </c>
      <c r="X25" s="12" t="s">
        <v>150</v>
      </c>
      <c r="AC25" s="12"/>
      <c r="AD25" s="12"/>
      <c r="AE25" s="12"/>
      <c r="AF25" s="12"/>
      <c r="AG25" s="12"/>
      <c r="AH25" s="12"/>
      <c r="AI25" s="12"/>
      <c r="AJ25" s="12"/>
    </row>
    <row r="26" spans="1:36" x14ac:dyDescent="0.25">
      <c r="A26" s="4" t="s">
        <v>68</v>
      </c>
      <c r="B26" s="1" t="s">
        <v>69</v>
      </c>
      <c r="C26" s="2">
        <v>2521941</v>
      </c>
      <c r="D26" s="2">
        <f t="shared" si="0"/>
        <v>2521941</v>
      </c>
      <c r="E26" s="2">
        <f t="shared" si="1"/>
        <v>0</v>
      </c>
      <c r="J26" s="2">
        <v>403733</v>
      </c>
      <c r="K26" s="2">
        <v>268249</v>
      </c>
      <c r="L26" s="2">
        <v>201045</v>
      </c>
      <c r="M26" s="2">
        <v>182974</v>
      </c>
      <c r="N26" s="2">
        <v>207614</v>
      </c>
      <c r="P26" s="9">
        <v>298831</v>
      </c>
      <c r="Q26" s="9">
        <v>285932</v>
      </c>
      <c r="R26" s="9">
        <f>228778+232150</f>
        <v>460928</v>
      </c>
      <c r="S26" s="9"/>
      <c r="T26" s="9"/>
      <c r="U26" s="9">
        <v>182849</v>
      </c>
      <c r="V26" s="9">
        <v>29786</v>
      </c>
      <c r="X26" s="12" t="s">
        <v>150</v>
      </c>
      <c r="AC26" s="12"/>
      <c r="AD26" s="12"/>
      <c r="AE26" s="12"/>
      <c r="AF26" s="12"/>
      <c r="AG26" s="12"/>
      <c r="AH26" s="12"/>
      <c r="AI26" s="12"/>
      <c r="AJ26" s="12"/>
    </row>
    <row r="27" spans="1:36" ht="30" x14ac:dyDescent="0.25">
      <c r="A27" s="4" t="s">
        <v>70</v>
      </c>
      <c r="B27" s="1" t="s">
        <v>71</v>
      </c>
      <c r="C27" s="2">
        <v>777725</v>
      </c>
      <c r="D27" s="2">
        <f t="shared" si="0"/>
        <v>777725</v>
      </c>
      <c r="E27" s="2">
        <f t="shared" si="1"/>
        <v>0</v>
      </c>
      <c r="N27" s="2">
        <v>41986</v>
      </c>
      <c r="O27" s="2">
        <v>208036</v>
      </c>
      <c r="P27" s="9"/>
      <c r="Q27" s="9">
        <v>263522</v>
      </c>
      <c r="R27" s="9"/>
      <c r="S27" s="9"/>
      <c r="T27" s="9"/>
      <c r="U27" s="9"/>
      <c r="V27" s="9">
        <v>264181</v>
      </c>
      <c r="X27" s="12" t="s">
        <v>150</v>
      </c>
      <c r="AC27" s="12"/>
      <c r="AD27" s="12"/>
      <c r="AE27" s="12"/>
      <c r="AF27" s="12"/>
      <c r="AG27" s="12"/>
      <c r="AH27" s="12"/>
      <c r="AI27" s="12"/>
      <c r="AJ27" s="12"/>
    </row>
    <row r="28" spans="1:36" x14ac:dyDescent="0.25">
      <c r="A28" s="4" t="s">
        <v>72</v>
      </c>
      <c r="B28" s="1" t="s">
        <v>73</v>
      </c>
      <c r="C28" s="2">
        <v>687618</v>
      </c>
      <c r="D28" s="2">
        <f t="shared" si="0"/>
        <v>687618</v>
      </c>
      <c r="E28" s="2">
        <f t="shared" si="1"/>
        <v>0</v>
      </c>
      <c r="L28" s="2">
        <v>387094</v>
      </c>
      <c r="M28" s="2">
        <v>77522</v>
      </c>
      <c r="P28" s="9"/>
      <c r="Q28" s="9">
        <v>159205</v>
      </c>
      <c r="R28" s="9">
        <v>50948</v>
      </c>
      <c r="S28" s="9"/>
      <c r="T28" s="9"/>
      <c r="U28" s="9"/>
      <c r="V28" s="9"/>
      <c r="W28" s="12">
        <v>12849</v>
      </c>
      <c r="X28" s="12" t="s">
        <v>150</v>
      </c>
      <c r="AC28" s="12"/>
      <c r="AD28" s="12"/>
      <c r="AE28" s="12"/>
      <c r="AF28" s="12"/>
      <c r="AG28" s="12"/>
      <c r="AH28" s="12"/>
      <c r="AI28" s="12"/>
      <c r="AJ28" s="12"/>
    </row>
    <row r="29" spans="1:36" x14ac:dyDescent="0.25">
      <c r="A29" s="4" t="s">
        <v>74</v>
      </c>
      <c r="B29" s="1" t="s">
        <v>75</v>
      </c>
      <c r="C29" s="2">
        <v>283028</v>
      </c>
      <c r="D29" s="2">
        <f t="shared" si="0"/>
        <v>283028</v>
      </c>
      <c r="E29" s="2">
        <f t="shared" si="1"/>
        <v>0</v>
      </c>
      <c r="L29" s="2">
        <v>94426</v>
      </c>
      <c r="P29" s="9">
        <v>86540</v>
      </c>
      <c r="Q29" s="9">
        <v>23734</v>
      </c>
      <c r="R29" s="9"/>
      <c r="S29" s="9">
        <v>78328</v>
      </c>
      <c r="T29" s="9"/>
      <c r="U29" s="9"/>
      <c r="V29" s="9"/>
      <c r="X29" s="12" t="s">
        <v>150</v>
      </c>
      <c r="AC29" s="12"/>
      <c r="AD29" s="12"/>
      <c r="AE29" s="12"/>
      <c r="AF29" s="12"/>
      <c r="AG29" s="12"/>
      <c r="AH29" s="12"/>
      <c r="AI29" s="12"/>
      <c r="AJ29" s="12"/>
    </row>
    <row r="30" spans="1:36" s="16" customFormat="1" ht="30" x14ac:dyDescent="0.25">
      <c r="A30" s="13" t="s">
        <v>76</v>
      </c>
      <c r="B30" s="14" t="s">
        <v>77</v>
      </c>
      <c r="C30" s="15">
        <v>13460190</v>
      </c>
      <c r="D30" s="2">
        <f t="shared" si="0"/>
        <v>13460190</v>
      </c>
      <c r="E30" s="15">
        <f t="shared" si="1"/>
        <v>0</v>
      </c>
      <c r="J30" s="15">
        <v>1267216</v>
      </c>
      <c r="K30" s="15">
        <v>1248631</v>
      </c>
      <c r="L30" s="15">
        <v>1179792</v>
      </c>
      <c r="M30" s="15">
        <v>1220447</v>
      </c>
      <c r="O30" s="15">
        <v>940275</v>
      </c>
      <c r="P30" s="17">
        <f>1224220+1178990</f>
        <v>2403210</v>
      </c>
      <c r="Q30" s="17">
        <v>1256695</v>
      </c>
      <c r="R30" s="17"/>
      <c r="S30" s="17"/>
      <c r="T30" s="17">
        <f>3795612+148312</f>
        <v>3943924</v>
      </c>
      <c r="U30" s="17"/>
      <c r="V30" s="17"/>
      <c r="W30" s="12"/>
      <c r="X30" s="12" t="s">
        <v>150</v>
      </c>
      <c r="AC30" s="12"/>
      <c r="AD30" s="12"/>
      <c r="AE30" s="12"/>
      <c r="AF30" s="12"/>
      <c r="AG30" s="12"/>
      <c r="AH30" s="12"/>
      <c r="AI30" s="12"/>
      <c r="AJ30" s="12"/>
    </row>
    <row r="31" spans="1:36" x14ac:dyDescent="0.25">
      <c r="A31" s="4" t="s">
        <v>78</v>
      </c>
      <c r="B31" s="1" t="s">
        <v>79</v>
      </c>
      <c r="C31" s="2">
        <v>4267567</v>
      </c>
      <c r="D31" s="2">
        <f t="shared" si="0"/>
        <v>4267567</v>
      </c>
      <c r="E31" s="2">
        <f t="shared" si="1"/>
        <v>0</v>
      </c>
      <c r="M31" s="2">
        <v>1239420</v>
      </c>
      <c r="O31" s="2">
        <v>1011436</v>
      </c>
      <c r="P31" s="9"/>
      <c r="Q31" s="9"/>
      <c r="R31" s="9">
        <v>1015118</v>
      </c>
      <c r="S31" s="9"/>
      <c r="T31" s="9"/>
      <c r="U31" s="9">
        <f>520648+480945</f>
        <v>1001593</v>
      </c>
      <c r="V31" s="9"/>
      <c r="X31" s="12" t="s">
        <v>150</v>
      </c>
      <c r="AC31" s="12"/>
      <c r="AD31" s="12"/>
      <c r="AE31" s="12"/>
      <c r="AF31" s="12"/>
      <c r="AG31" s="12"/>
      <c r="AH31" s="12"/>
      <c r="AI31" s="12"/>
      <c r="AJ31" s="12"/>
    </row>
    <row r="32" spans="1:36" x14ac:dyDescent="0.25">
      <c r="A32" s="4" t="s">
        <v>80</v>
      </c>
      <c r="B32" s="1" t="s">
        <v>81</v>
      </c>
      <c r="C32" s="2">
        <v>2700649</v>
      </c>
      <c r="D32" s="2">
        <f t="shared" si="0"/>
        <v>2700649</v>
      </c>
      <c r="E32" s="2">
        <f t="shared" si="1"/>
        <v>0</v>
      </c>
      <c r="J32" s="2">
        <v>105997</v>
      </c>
      <c r="K32" s="2">
        <v>206485</v>
      </c>
      <c r="L32" s="2">
        <v>203174</v>
      </c>
      <c r="M32" s="2">
        <v>214745</v>
      </c>
      <c r="N32" s="2">
        <v>136890</v>
      </c>
      <c r="O32" s="2">
        <v>227087</v>
      </c>
      <c r="P32" s="9">
        <v>243620</v>
      </c>
      <c r="Q32" s="9">
        <v>205045</v>
      </c>
      <c r="R32" s="9">
        <v>207782</v>
      </c>
      <c r="S32" s="9">
        <v>219076</v>
      </c>
      <c r="T32" s="9">
        <v>164441</v>
      </c>
      <c r="U32" s="9">
        <v>207956</v>
      </c>
      <c r="V32" s="9">
        <v>346286</v>
      </c>
      <c r="W32" s="12">
        <v>12065</v>
      </c>
      <c r="X32" s="12" t="s">
        <v>150</v>
      </c>
      <c r="AC32" s="12"/>
      <c r="AD32" s="12"/>
      <c r="AE32" s="12"/>
      <c r="AF32" s="12"/>
      <c r="AG32" s="12"/>
      <c r="AH32" s="12"/>
      <c r="AI32" s="12"/>
      <c r="AJ32" s="12"/>
    </row>
    <row r="33" spans="1:36" x14ac:dyDescent="0.25">
      <c r="A33" s="4" t="s">
        <v>82</v>
      </c>
      <c r="B33" s="1" t="s">
        <v>83</v>
      </c>
      <c r="C33" s="2">
        <v>219780</v>
      </c>
      <c r="D33" s="2">
        <f>SUM(F33:AZ33)</f>
        <v>219780</v>
      </c>
      <c r="E33" s="2">
        <f t="shared" si="1"/>
        <v>0</v>
      </c>
      <c r="H33">
        <f>1426-1426</f>
        <v>0</v>
      </c>
      <c r="P33" s="9"/>
      <c r="Q33" s="9"/>
      <c r="R33" s="9"/>
      <c r="S33" s="9"/>
      <c r="T33" s="9"/>
      <c r="U33" s="9"/>
      <c r="V33" s="9"/>
      <c r="X33" s="12" t="s">
        <v>150</v>
      </c>
      <c r="Y33" s="12">
        <v>91819</v>
      </c>
      <c r="AA33" s="12">
        <v>127961</v>
      </c>
      <c r="AB33" s="12"/>
      <c r="AC33" s="12"/>
      <c r="AD33" s="12"/>
      <c r="AE33" s="12"/>
      <c r="AF33" s="12"/>
      <c r="AG33" s="12"/>
      <c r="AH33" s="12"/>
      <c r="AI33" s="12"/>
      <c r="AJ33" s="12"/>
    </row>
    <row r="34" spans="1:36" x14ac:dyDescent="0.25">
      <c r="A34" s="4" t="s">
        <v>84</v>
      </c>
      <c r="B34" s="1" t="s">
        <v>85</v>
      </c>
      <c r="C34" s="2">
        <v>483370</v>
      </c>
      <c r="D34" s="2">
        <f t="shared" si="0"/>
        <v>483370</v>
      </c>
      <c r="E34" s="2">
        <f t="shared" si="1"/>
        <v>0</v>
      </c>
      <c r="H34" s="2">
        <v>4505</v>
      </c>
      <c r="I34" s="2">
        <v>3985</v>
      </c>
      <c r="J34" s="2">
        <v>17925</v>
      </c>
      <c r="K34" s="2">
        <v>35627</v>
      </c>
      <c r="L34" s="2">
        <v>30571</v>
      </c>
      <c r="M34" s="2">
        <v>30688</v>
      </c>
      <c r="N34" s="2">
        <v>32766</v>
      </c>
      <c r="O34" s="2">
        <v>60247</v>
      </c>
      <c r="P34" s="9">
        <v>40599</v>
      </c>
      <c r="Q34" s="9">
        <f>49083+52706</f>
        <v>101789</v>
      </c>
      <c r="R34" s="9"/>
      <c r="S34" s="9"/>
      <c r="T34" s="9">
        <v>121642</v>
      </c>
      <c r="U34" s="9">
        <v>3026</v>
      </c>
      <c r="V34" s="9"/>
      <c r="X34" s="12" t="s">
        <v>150</v>
      </c>
      <c r="AC34" s="12"/>
      <c r="AD34" s="12"/>
      <c r="AE34" s="12"/>
      <c r="AF34" s="12"/>
      <c r="AG34" s="12"/>
      <c r="AH34" s="12"/>
      <c r="AI34" s="12"/>
      <c r="AJ34" s="12"/>
    </row>
    <row r="35" spans="1:36" x14ac:dyDescent="0.25">
      <c r="A35" s="4" t="s">
        <v>86</v>
      </c>
      <c r="B35" s="1" t="s">
        <v>87</v>
      </c>
      <c r="C35" s="2">
        <v>3793893</v>
      </c>
      <c r="D35" s="2">
        <f t="shared" si="0"/>
        <v>3793893</v>
      </c>
      <c r="E35" s="2">
        <f t="shared" si="1"/>
        <v>0</v>
      </c>
      <c r="K35" s="2">
        <v>576370</v>
      </c>
      <c r="M35" s="2">
        <v>553754</v>
      </c>
      <c r="N35" s="2">
        <v>450655</v>
      </c>
      <c r="O35" s="2">
        <v>275095</v>
      </c>
      <c r="P35" s="9">
        <v>272421</v>
      </c>
      <c r="Q35" s="9">
        <v>271690</v>
      </c>
      <c r="R35" s="9"/>
      <c r="S35" s="9"/>
      <c r="T35" s="9">
        <v>893095</v>
      </c>
      <c r="U35" s="9">
        <f>231034+269779</f>
        <v>500813</v>
      </c>
      <c r="V35" s="9"/>
      <c r="X35" s="12" t="s">
        <v>150</v>
      </c>
      <c r="AC35" s="12"/>
      <c r="AD35" s="12"/>
      <c r="AE35" s="12"/>
      <c r="AF35" s="12"/>
      <c r="AG35" s="12"/>
      <c r="AH35" s="12"/>
      <c r="AI35" s="12"/>
      <c r="AJ35" s="12"/>
    </row>
    <row r="36" spans="1:36" x14ac:dyDescent="0.25">
      <c r="A36" s="4" t="s">
        <v>88</v>
      </c>
      <c r="B36" s="1" t="s">
        <v>89</v>
      </c>
      <c r="C36" s="2">
        <v>425016</v>
      </c>
      <c r="D36" s="2">
        <f t="shared" si="0"/>
        <v>425016</v>
      </c>
      <c r="E36" s="2">
        <f t="shared" si="1"/>
        <v>0</v>
      </c>
      <c r="O36" s="2">
        <v>252918</v>
      </c>
      <c r="P36" s="9"/>
      <c r="Q36" s="9"/>
      <c r="R36" s="9">
        <v>163031</v>
      </c>
      <c r="S36" s="9"/>
      <c r="T36" s="9"/>
      <c r="U36" s="9"/>
      <c r="V36" s="9"/>
      <c r="X36" s="12" t="s">
        <v>150</v>
      </c>
      <c r="AC36" s="12">
        <v>9067</v>
      </c>
      <c r="AD36" s="12"/>
      <c r="AE36" s="12"/>
      <c r="AF36" s="12"/>
      <c r="AG36" s="12"/>
      <c r="AH36" s="12"/>
      <c r="AI36" s="12"/>
      <c r="AJ36" s="12"/>
    </row>
    <row r="37" spans="1:36" ht="30" x14ac:dyDescent="0.25">
      <c r="A37" s="4" t="s">
        <v>90</v>
      </c>
      <c r="B37" s="1" t="s">
        <v>91</v>
      </c>
      <c r="C37" s="2">
        <v>1016556</v>
      </c>
      <c r="D37" s="2">
        <f t="shared" si="0"/>
        <v>1016556</v>
      </c>
      <c r="E37" s="2">
        <f t="shared" si="1"/>
        <v>0</v>
      </c>
      <c r="P37" s="9"/>
      <c r="Q37" s="9"/>
      <c r="R37" s="9">
        <v>314005</v>
      </c>
      <c r="S37" s="9"/>
      <c r="T37" s="9"/>
      <c r="U37" s="9"/>
      <c r="V37" s="9"/>
      <c r="X37" s="12" t="s">
        <v>150</v>
      </c>
      <c r="AC37" s="12"/>
      <c r="AD37" s="12"/>
      <c r="AE37" s="12"/>
      <c r="AF37" s="12"/>
      <c r="AG37" s="12">
        <v>702551</v>
      </c>
      <c r="AH37" s="12"/>
      <c r="AI37" s="12"/>
      <c r="AJ37" s="12"/>
    </row>
    <row r="38" spans="1:36" x14ac:dyDescent="0.25">
      <c r="A38" s="4" t="s">
        <v>92</v>
      </c>
      <c r="B38" s="1" t="s">
        <v>93</v>
      </c>
      <c r="C38" s="2">
        <v>570739</v>
      </c>
      <c r="D38" s="2">
        <f t="shared" si="0"/>
        <v>570739</v>
      </c>
      <c r="E38" s="2">
        <f t="shared" si="1"/>
        <v>0</v>
      </c>
      <c r="P38" s="9">
        <v>307467</v>
      </c>
      <c r="Q38" s="9"/>
      <c r="R38" s="9"/>
      <c r="S38" s="9">
        <v>51958</v>
      </c>
      <c r="T38" s="9"/>
      <c r="U38" s="9">
        <f>115746+95568</f>
        <v>211314</v>
      </c>
      <c r="V38" s="9"/>
      <c r="X38" s="12" t="s">
        <v>150</v>
      </c>
      <c r="AC38" s="12"/>
      <c r="AD38" s="12"/>
      <c r="AE38" s="12"/>
      <c r="AF38" s="12"/>
      <c r="AG38" s="12"/>
      <c r="AH38" s="12"/>
      <c r="AI38" s="12"/>
      <c r="AJ38" s="12"/>
    </row>
    <row r="39" spans="1:36" x14ac:dyDescent="0.25">
      <c r="A39" s="4" t="s">
        <v>94</v>
      </c>
      <c r="B39" s="1" t="s">
        <v>95</v>
      </c>
      <c r="C39" s="2">
        <v>3099063</v>
      </c>
      <c r="D39" s="2">
        <f t="shared" si="0"/>
        <v>3099063</v>
      </c>
      <c r="E39" s="2">
        <f t="shared" si="1"/>
        <v>0</v>
      </c>
      <c r="I39" s="2">
        <v>401438</v>
      </c>
      <c r="J39" s="2">
        <v>602962</v>
      </c>
      <c r="K39" s="2">
        <v>397757</v>
      </c>
      <c r="L39" s="2">
        <v>501098</v>
      </c>
      <c r="M39" s="2">
        <v>395130</v>
      </c>
      <c r="P39" s="9"/>
      <c r="Q39" s="9">
        <v>101256</v>
      </c>
      <c r="R39" s="9"/>
      <c r="S39" s="9"/>
      <c r="T39" s="9">
        <v>594087</v>
      </c>
      <c r="U39" s="9">
        <v>105335</v>
      </c>
      <c r="V39" s="9"/>
      <c r="X39" s="12" t="s">
        <v>150</v>
      </c>
      <c r="AC39" s="12"/>
      <c r="AD39" s="12"/>
      <c r="AE39" s="12"/>
      <c r="AF39" s="12"/>
      <c r="AG39" s="12"/>
      <c r="AH39" s="12"/>
      <c r="AI39" s="12"/>
      <c r="AJ39" s="12"/>
    </row>
    <row r="40" spans="1:36" x14ac:dyDescent="0.25">
      <c r="A40" s="4" t="s">
        <v>96</v>
      </c>
      <c r="B40" s="1" t="s">
        <v>97</v>
      </c>
      <c r="C40" s="2">
        <v>1320446</v>
      </c>
      <c r="D40" s="2">
        <f t="shared" si="0"/>
        <v>1320446</v>
      </c>
      <c r="E40" s="2">
        <f t="shared" si="1"/>
        <v>0</v>
      </c>
      <c r="I40" s="2">
        <v>225610</v>
      </c>
      <c r="J40" s="2">
        <v>68755</v>
      </c>
      <c r="K40" s="2">
        <v>141727</v>
      </c>
      <c r="L40" s="2">
        <v>118371</v>
      </c>
      <c r="M40" s="2">
        <v>118483</v>
      </c>
      <c r="N40" s="2">
        <v>77395</v>
      </c>
      <c r="O40" s="2">
        <v>126386</v>
      </c>
      <c r="P40" s="9">
        <v>134828</v>
      </c>
      <c r="Q40" s="9">
        <v>140501</v>
      </c>
      <c r="R40" s="9">
        <v>127598</v>
      </c>
      <c r="S40" s="9">
        <v>36</v>
      </c>
      <c r="T40" s="9">
        <v>40756</v>
      </c>
      <c r="U40" s="9"/>
      <c r="V40" s="9"/>
      <c r="X40" s="12" t="s">
        <v>150</v>
      </c>
      <c r="AC40" s="12"/>
      <c r="AD40" s="12"/>
      <c r="AE40" s="12"/>
      <c r="AF40" s="12"/>
      <c r="AG40" s="12"/>
      <c r="AH40" s="12"/>
      <c r="AI40" s="12"/>
      <c r="AJ40" s="12"/>
    </row>
    <row r="41" spans="1:36" x14ac:dyDescent="0.25">
      <c r="A41" s="4" t="s">
        <v>98</v>
      </c>
      <c r="B41" s="1" t="s">
        <v>99</v>
      </c>
      <c r="C41" s="2">
        <v>603540</v>
      </c>
      <c r="D41" s="2">
        <f t="shared" si="0"/>
        <v>603540</v>
      </c>
      <c r="E41" s="2">
        <f t="shared" si="1"/>
        <v>0</v>
      </c>
      <c r="I41" s="2">
        <v>41087</v>
      </c>
      <c r="J41" s="2">
        <v>50397</v>
      </c>
      <c r="K41" s="2">
        <v>52881</v>
      </c>
      <c r="L41" s="2">
        <v>52048</v>
      </c>
      <c r="M41" s="2">
        <v>50044</v>
      </c>
      <c r="O41" s="2">
        <v>32836</v>
      </c>
      <c r="P41" s="9">
        <v>104135</v>
      </c>
      <c r="Q41" s="9"/>
      <c r="R41" s="9">
        <f>54877+97004</f>
        <v>151881</v>
      </c>
      <c r="S41" s="9"/>
      <c r="T41" s="9"/>
      <c r="U41" s="9">
        <v>47770</v>
      </c>
      <c r="V41" s="9">
        <v>20461</v>
      </c>
      <c r="X41" s="12" t="s">
        <v>150</v>
      </c>
      <c r="AC41" s="12"/>
      <c r="AD41" s="12"/>
      <c r="AE41" s="12"/>
      <c r="AF41" s="12"/>
      <c r="AG41" s="12"/>
      <c r="AH41" s="12"/>
      <c r="AI41" s="12"/>
      <c r="AJ41" s="12"/>
    </row>
    <row r="42" spans="1:36" x14ac:dyDescent="0.25">
      <c r="A42" s="4" t="s">
        <v>100</v>
      </c>
      <c r="B42" s="1" t="s">
        <v>101</v>
      </c>
      <c r="C42" s="2">
        <v>524845</v>
      </c>
      <c r="D42" s="2">
        <f t="shared" si="0"/>
        <v>524845</v>
      </c>
      <c r="E42" s="2">
        <f t="shared" si="1"/>
        <v>0</v>
      </c>
      <c r="N42" s="2">
        <v>359342</v>
      </c>
      <c r="P42" s="9"/>
      <c r="Q42" s="9">
        <v>159913</v>
      </c>
      <c r="R42" s="9">
        <v>5590</v>
      </c>
      <c r="S42" s="9"/>
      <c r="T42" s="9"/>
      <c r="U42" s="9"/>
      <c r="V42" s="9"/>
      <c r="X42" s="12" t="s">
        <v>150</v>
      </c>
      <c r="AC42" s="12"/>
      <c r="AD42" s="12"/>
      <c r="AE42" s="12"/>
      <c r="AF42" s="12"/>
      <c r="AG42" s="12"/>
      <c r="AH42" s="12"/>
      <c r="AI42" s="12"/>
      <c r="AJ42" s="12"/>
    </row>
    <row r="43" spans="1:36" x14ac:dyDescent="0.25">
      <c r="A43" s="4" t="s">
        <v>102</v>
      </c>
      <c r="B43" s="1" t="s">
        <v>103</v>
      </c>
      <c r="C43" s="2">
        <v>3400428</v>
      </c>
      <c r="D43" s="2">
        <f t="shared" si="0"/>
        <v>3400428</v>
      </c>
      <c r="E43" s="2">
        <f t="shared" si="1"/>
        <v>0</v>
      </c>
      <c r="J43" s="2">
        <v>104941</v>
      </c>
      <c r="K43" s="2">
        <v>720773</v>
      </c>
      <c r="L43" s="2">
        <v>268318</v>
      </c>
      <c r="M43" s="2">
        <v>374925</v>
      </c>
      <c r="N43" s="2">
        <v>186804</v>
      </c>
      <c r="O43" s="2">
        <v>296201</v>
      </c>
      <c r="P43" s="9">
        <v>295725</v>
      </c>
      <c r="Q43" s="9">
        <v>292558</v>
      </c>
      <c r="R43" s="9"/>
      <c r="S43" s="9"/>
      <c r="T43" s="9"/>
      <c r="U43" s="9">
        <v>860183</v>
      </c>
      <c r="V43" s="9"/>
      <c r="X43" s="12" t="s">
        <v>150</v>
      </c>
      <c r="AC43" s="12"/>
      <c r="AD43" s="12"/>
      <c r="AE43" s="12"/>
      <c r="AF43" s="12"/>
      <c r="AG43" s="12"/>
      <c r="AH43" s="12"/>
      <c r="AI43" s="12"/>
      <c r="AJ43" s="12"/>
    </row>
    <row r="44" spans="1:36" ht="30" x14ac:dyDescent="0.25">
      <c r="A44" s="4" t="s">
        <v>104</v>
      </c>
      <c r="B44" s="1" t="s">
        <v>105</v>
      </c>
      <c r="C44" s="2">
        <v>1134479</v>
      </c>
      <c r="D44" s="2">
        <f t="shared" si="0"/>
        <v>1134479</v>
      </c>
      <c r="E44" s="2">
        <f t="shared" si="1"/>
        <v>0</v>
      </c>
      <c r="I44" s="2">
        <v>132641</v>
      </c>
      <c r="J44" s="2">
        <v>93047</v>
      </c>
      <c r="L44" s="2">
        <v>181710</v>
      </c>
      <c r="M44" s="2">
        <v>91995</v>
      </c>
      <c r="N44" s="2">
        <v>95570</v>
      </c>
      <c r="O44" s="2">
        <v>91986</v>
      </c>
      <c r="P44" s="9">
        <v>140007</v>
      </c>
      <c r="Q44" s="9">
        <v>111539</v>
      </c>
      <c r="R44" s="9">
        <v>76989</v>
      </c>
      <c r="S44" s="9">
        <v>107004</v>
      </c>
      <c r="T44" s="9"/>
      <c r="U44" s="9"/>
      <c r="V44" s="9"/>
      <c r="W44" s="12">
        <v>11991</v>
      </c>
      <c r="X44" s="12" t="s">
        <v>150</v>
      </c>
      <c r="AC44" s="12"/>
      <c r="AD44" s="12"/>
      <c r="AE44" s="12"/>
      <c r="AF44" s="12"/>
      <c r="AG44" s="12"/>
      <c r="AH44" s="12"/>
      <c r="AI44" s="12"/>
      <c r="AJ44" s="12"/>
    </row>
    <row r="45" spans="1:36" ht="30" x14ac:dyDescent="0.25">
      <c r="A45" s="4" t="s">
        <v>106</v>
      </c>
      <c r="B45" s="1" t="s">
        <v>107</v>
      </c>
      <c r="C45" s="2">
        <v>432506</v>
      </c>
      <c r="D45" s="2">
        <f t="shared" si="0"/>
        <v>432506</v>
      </c>
      <c r="E45" s="2">
        <f t="shared" si="1"/>
        <v>0</v>
      </c>
      <c r="J45" s="2">
        <v>409076</v>
      </c>
      <c r="L45" s="2">
        <v>-409076</v>
      </c>
      <c r="M45" s="2">
        <v>70347</v>
      </c>
      <c r="O45" s="2">
        <v>76283</v>
      </c>
      <c r="P45" s="9"/>
      <c r="Q45" s="9"/>
      <c r="R45" s="9">
        <v>121762</v>
      </c>
      <c r="S45" s="9"/>
      <c r="T45" s="9"/>
      <c r="U45" s="9">
        <v>33871</v>
      </c>
      <c r="V45" s="9"/>
      <c r="X45" s="12">
        <v>130243</v>
      </c>
      <c r="AC45" s="12"/>
      <c r="AD45" s="12"/>
      <c r="AE45" s="12"/>
      <c r="AF45" s="12"/>
      <c r="AG45" s="12"/>
      <c r="AH45" s="12"/>
      <c r="AI45" s="12"/>
      <c r="AJ45" s="12"/>
    </row>
    <row r="46" spans="1:36" ht="30" x14ac:dyDescent="0.25">
      <c r="A46" s="4" t="s">
        <v>108</v>
      </c>
      <c r="B46" s="1" t="s">
        <v>109</v>
      </c>
      <c r="C46" s="2">
        <v>3012301</v>
      </c>
      <c r="D46" s="2">
        <f t="shared" si="0"/>
        <v>3012301</v>
      </c>
      <c r="E46" s="2">
        <f t="shared" si="1"/>
        <v>0</v>
      </c>
      <c r="I46" s="2">
        <v>15512</v>
      </c>
      <c r="J46" s="2">
        <v>60562</v>
      </c>
      <c r="K46" s="2">
        <v>65632</v>
      </c>
      <c r="L46" s="2">
        <v>166113</v>
      </c>
      <c r="M46" s="2">
        <v>793788</v>
      </c>
      <c r="O46" s="2">
        <v>44954</v>
      </c>
      <c r="P46" s="9">
        <v>432061</v>
      </c>
      <c r="Q46" s="9">
        <v>197385</v>
      </c>
      <c r="R46" s="9">
        <v>139130</v>
      </c>
      <c r="S46" s="9">
        <v>931187</v>
      </c>
      <c r="T46" s="9"/>
      <c r="U46" s="9"/>
      <c r="V46" s="9"/>
      <c r="W46" s="12">
        <v>165977</v>
      </c>
      <c r="X46" s="12" t="s">
        <v>150</v>
      </c>
      <c r="AC46" s="12"/>
      <c r="AD46" s="12"/>
      <c r="AE46" s="12"/>
      <c r="AF46" s="12"/>
      <c r="AG46" s="12"/>
      <c r="AH46" s="12"/>
      <c r="AI46" s="12"/>
      <c r="AJ46" s="12"/>
    </row>
    <row r="47" spans="1:36" x14ac:dyDescent="0.25">
      <c r="A47" s="4" t="s">
        <v>110</v>
      </c>
      <c r="B47" s="1" t="s">
        <v>111</v>
      </c>
      <c r="C47" s="2">
        <v>851519</v>
      </c>
      <c r="D47" s="2">
        <f t="shared" si="0"/>
        <v>851519</v>
      </c>
      <c r="E47" s="2">
        <f t="shared" si="1"/>
        <v>0</v>
      </c>
      <c r="I47" s="2">
        <v>81991</v>
      </c>
      <c r="J47" s="2">
        <v>67399</v>
      </c>
      <c r="K47" s="2">
        <v>67416</v>
      </c>
      <c r="L47" s="2">
        <v>67394</v>
      </c>
      <c r="M47" s="2">
        <v>67791</v>
      </c>
      <c r="N47" s="2">
        <v>47455</v>
      </c>
      <c r="O47" s="2">
        <v>72224</v>
      </c>
      <c r="P47" s="9">
        <v>155731</v>
      </c>
      <c r="Q47" s="9">
        <v>65616</v>
      </c>
      <c r="R47" s="9">
        <v>63139</v>
      </c>
      <c r="S47" s="9">
        <v>53791</v>
      </c>
      <c r="T47" s="9"/>
      <c r="U47" s="9">
        <v>41572</v>
      </c>
      <c r="V47" s="9"/>
      <c r="X47" s="12" t="s">
        <v>150</v>
      </c>
      <c r="AC47" s="12"/>
      <c r="AD47" s="12"/>
      <c r="AE47" s="12"/>
      <c r="AF47" s="12"/>
      <c r="AG47" s="12"/>
      <c r="AH47" s="12"/>
      <c r="AI47" s="12"/>
      <c r="AJ47" s="12"/>
    </row>
    <row r="48" spans="1:36" ht="30" x14ac:dyDescent="0.25">
      <c r="A48" s="4" t="s">
        <v>112</v>
      </c>
      <c r="B48" s="1" t="s">
        <v>113</v>
      </c>
      <c r="C48" s="2">
        <v>881084</v>
      </c>
      <c r="D48" s="2">
        <f t="shared" si="0"/>
        <v>881084</v>
      </c>
      <c r="E48" s="2">
        <f t="shared" si="1"/>
        <v>0</v>
      </c>
      <c r="M48" s="2">
        <v>362713</v>
      </c>
      <c r="N48" s="2">
        <v>48118</v>
      </c>
      <c r="O48" s="2">
        <v>141626</v>
      </c>
      <c r="P48" s="9"/>
      <c r="Q48" s="9"/>
      <c r="R48" s="9">
        <v>138315</v>
      </c>
      <c r="S48" s="9"/>
      <c r="T48" s="9"/>
      <c r="U48" s="9">
        <f>143151+47161</f>
        <v>190312</v>
      </c>
      <c r="V48" s="9"/>
      <c r="X48" s="12" t="s">
        <v>150</v>
      </c>
      <c r="AC48" s="12"/>
      <c r="AD48" s="12"/>
      <c r="AE48" s="12"/>
      <c r="AF48" s="12"/>
      <c r="AG48" s="12"/>
      <c r="AH48" s="12"/>
      <c r="AI48" s="12"/>
      <c r="AJ48" s="12"/>
    </row>
    <row r="49" spans="1:36" ht="30" x14ac:dyDescent="0.25">
      <c r="A49" s="4" t="s">
        <v>114</v>
      </c>
      <c r="B49" s="1" t="s">
        <v>115</v>
      </c>
      <c r="C49" s="2">
        <v>853895</v>
      </c>
      <c r="D49" s="2">
        <f t="shared" si="0"/>
        <v>853895</v>
      </c>
      <c r="E49" s="2">
        <f t="shared" si="1"/>
        <v>0</v>
      </c>
      <c r="K49" s="2">
        <v>355704</v>
      </c>
      <c r="L49" s="2">
        <v>142316</v>
      </c>
      <c r="N49" s="2">
        <v>120895</v>
      </c>
      <c r="P49" s="9">
        <f>71158+163753</f>
        <v>234911</v>
      </c>
      <c r="Q49" s="9"/>
      <c r="R49" s="9"/>
      <c r="S49" s="9"/>
      <c r="T49" s="9"/>
      <c r="U49" s="9">
        <v>69</v>
      </c>
      <c r="V49" s="9"/>
      <c r="X49" s="12" t="s">
        <v>150</v>
      </c>
      <c r="AC49" s="12"/>
      <c r="AD49" s="12"/>
      <c r="AE49" s="12"/>
      <c r="AF49" s="12"/>
      <c r="AG49" s="12"/>
      <c r="AH49" s="12"/>
      <c r="AI49" s="12"/>
      <c r="AJ49" s="12"/>
    </row>
    <row r="50" spans="1:36" x14ac:dyDescent="0.25">
      <c r="A50" s="4" t="s">
        <v>116</v>
      </c>
      <c r="B50" s="1" t="s">
        <v>117</v>
      </c>
      <c r="C50" s="2">
        <v>2075834</v>
      </c>
      <c r="D50" s="2">
        <f t="shared" si="0"/>
        <v>2075834</v>
      </c>
      <c r="E50" s="2">
        <f t="shared" si="1"/>
        <v>0</v>
      </c>
      <c r="J50" s="2">
        <v>480922</v>
      </c>
      <c r="K50" s="2">
        <v>47716</v>
      </c>
      <c r="M50" s="2">
        <v>315591</v>
      </c>
      <c r="N50" s="2">
        <v>106331</v>
      </c>
      <c r="O50" s="2">
        <v>164861</v>
      </c>
      <c r="P50" s="9">
        <v>174667</v>
      </c>
      <c r="Q50" s="9">
        <v>232839</v>
      </c>
      <c r="R50" s="9">
        <v>244051</v>
      </c>
      <c r="S50" s="9"/>
      <c r="T50" s="9">
        <f>66329+182377</f>
        <v>248706</v>
      </c>
      <c r="U50" s="9">
        <v>60150</v>
      </c>
      <c r="V50" s="9"/>
      <c r="X50" s="12" t="s">
        <v>150</v>
      </c>
      <c r="AC50" s="12"/>
      <c r="AD50" s="12"/>
      <c r="AE50" s="12"/>
      <c r="AF50" s="12"/>
      <c r="AG50" s="12"/>
      <c r="AH50" s="12"/>
      <c r="AI50" s="12"/>
      <c r="AJ50" s="12"/>
    </row>
    <row r="51" spans="1:36" x14ac:dyDescent="0.25">
      <c r="A51" s="4" t="s">
        <v>118</v>
      </c>
      <c r="B51" s="1" t="s">
        <v>119</v>
      </c>
      <c r="C51" s="2">
        <v>1354832</v>
      </c>
      <c r="D51" s="2">
        <f t="shared" si="0"/>
        <v>1354832</v>
      </c>
      <c r="E51" s="2">
        <f t="shared" si="1"/>
        <v>0</v>
      </c>
      <c r="L51" s="2">
        <v>6812</v>
      </c>
      <c r="M51" s="2">
        <v>171390</v>
      </c>
      <c r="N51" s="2">
        <v>102347</v>
      </c>
      <c r="O51" s="2">
        <v>105569</v>
      </c>
      <c r="P51" s="9">
        <v>167987</v>
      </c>
      <c r="Q51" s="9">
        <v>243527</v>
      </c>
      <c r="R51" s="9"/>
      <c r="S51" s="9">
        <f>13514+81253</f>
        <v>94767</v>
      </c>
      <c r="T51" s="9">
        <f>90261+35520</f>
        <v>125781</v>
      </c>
      <c r="U51" s="9">
        <v>122010</v>
      </c>
      <c r="V51" s="9"/>
      <c r="X51" s="12">
        <v>214642</v>
      </c>
      <c r="AC51" s="12"/>
      <c r="AD51" s="12"/>
      <c r="AE51" s="12"/>
      <c r="AF51" s="12"/>
      <c r="AG51" s="12"/>
      <c r="AH51" s="12"/>
      <c r="AI51" s="12"/>
      <c r="AJ51" s="12"/>
    </row>
    <row r="52" spans="1:36" x14ac:dyDescent="0.25">
      <c r="A52" s="4" t="s">
        <v>120</v>
      </c>
      <c r="B52" s="1" t="s">
        <v>121</v>
      </c>
      <c r="C52" s="2">
        <v>683277</v>
      </c>
      <c r="D52" s="2">
        <f t="shared" si="0"/>
        <v>683277</v>
      </c>
      <c r="E52" s="2">
        <f t="shared" si="1"/>
        <v>0</v>
      </c>
      <c r="N52" s="2">
        <v>308172</v>
      </c>
      <c r="P52" s="9"/>
      <c r="Q52" s="9"/>
      <c r="R52" s="9">
        <v>223280</v>
      </c>
      <c r="S52" s="9"/>
      <c r="T52" s="9">
        <v>111644</v>
      </c>
      <c r="U52" s="9">
        <v>40181</v>
      </c>
      <c r="V52" s="9"/>
      <c r="X52" s="12" t="s">
        <v>150</v>
      </c>
      <c r="AC52" s="12"/>
      <c r="AD52" s="12"/>
      <c r="AE52" s="12"/>
      <c r="AF52" s="12"/>
      <c r="AG52" s="12"/>
      <c r="AH52" s="12"/>
      <c r="AI52" s="12"/>
      <c r="AJ52" s="12"/>
    </row>
    <row r="53" spans="1:36" ht="30" x14ac:dyDescent="0.25">
      <c r="A53" s="4" t="s">
        <v>122</v>
      </c>
      <c r="B53" s="1" t="s">
        <v>123</v>
      </c>
      <c r="C53" s="2">
        <v>842248</v>
      </c>
      <c r="D53" s="2">
        <f t="shared" si="0"/>
        <v>842248</v>
      </c>
      <c r="E53" s="2">
        <f t="shared" si="1"/>
        <v>0</v>
      </c>
      <c r="K53" s="2">
        <v>109252</v>
      </c>
      <c r="M53" s="2">
        <v>137360</v>
      </c>
      <c r="P53" s="9">
        <v>116508</v>
      </c>
      <c r="Q53" s="9">
        <v>227385</v>
      </c>
      <c r="R53" s="9"/>
      <c r="S53" s="9"/>
      <c r="T53" s="9"/>
      <c r="U53" s="9">
        <v>145750</v>
      </c>
      <c r="V53" s="9">
        <v>105993</v>
      </c>
      <c r="X53" s="12" t="s">
        <v>150</v>
      </c>
      <c r="AC53" s="12"/>
      <c r="AD53" s="12"/>
      <c r="AE53" s="12"/>
      <c r="AF53" s="12"/>
      <c r="AG53" s="12"/>
      <c r="AH53" s="12"/>
      <c r="AI53" s="12"/>
      <c r="AJ53" s="12"/>
    </row>
    <row r="54" spans="1:36" ht="30" x14ac:dyDescent="0.25">
      <c r="A54" s="4" t="s">
        <v>124</v>
      </c>
      <c r="B54" s="1" t="s">
        <v>125</v>
      </c>
      <c r="C54" s="2">
        <v>675017</v>
      </c>
      <c r="D54" s="2">
        <f t="shared" si="0"/>
        <v>675017</v>
      </c>
      <c r="E54" s="2">
        <f t="shared" si="1"/>
        <v>0</v>
      </c>
      <c r="L54" s="2">
        <v>37327</v>
      </c>
      <c r="N54" s="2">
        <v>56158</v>
      </c>
      <c r="O54" s="2">
        <v>110936</v>
      </c>
      <c r="P54" s="9"/>
      <c r="Q54" s="9"/>
      <c r="R54" s="9"/>
      <c r="S54" s="9">
        <v>107430</v>
      </c>
      <c r="T54" s="9"/>
      <c r="U54" s="9">
        <f>206177+94546</f>
        <v>300723</v>
      </c>
      <c r="V54" s="9"/>
      <c r="X54" s="12">
        <v>62443</v>
      </c>
      <c r="AC54" s="12"/>
      <c r="AD54" s="12"/>
      <c r="AE54" s="12"/>
      <c r="AF54" s="12"/>
      <c r="AG54" s="12"/>
      <c r="AH54" s="12"/>
      <c r="AI54" s="12"/>
      <c r="AJ54" s="12"/>
    </row>
    <row r="55" spans="1:36" x14ac:dyDescent="0.25">
      <c r="A55" s="4" t="s">
        <v>126</v>
      </c>
      <c r="B55" s="1" t="s">
        <v>127</v>
      </c>
      <c r="C55" s="2">
        <v>302319</v>
      </c>
      <c r="D55" s="2">
        <f t="shared" si="0"/>
        <v>302319</v>
      </c>
      <c r="E55" s="2">
        <f t="shared" si="1"/>
        <v>0</v>
      </c>
      <c r="J55" s="2">
        <v>62975</v>
      </c>
      <c r="K55" s="2">
        <v>66321</v>
      </c>
      <c r="O55" s="2">
        <v>72313</v>
      </c>
      <c r="P55" s="9"/>
      <c r="Q55" s="9">
        <v>55936</v>
      </c>
      <c r="R55" s="9"/>
      <c r="S55" s="9"/>
      <c r="T55" s="9"/>
      <c r="U55" s="9"/>
      <c r="V55" s="9">
        <v>44774</v>
      </c>
      <c r="X55" s="12" t="s">
        <v>150</v>
      </c>
      <c r="AC55" s="12"/>
      <c r="AD55" s="12"/>
      <c r="AE55" s="12"/>
      <c r="AF55" s="12"/>
      <c r="AG55" s="12"/>
      <c r="AH55" s="12"/>
      <c r="AI55" s="12"/>
      <c r="AJ55" s="12"/>
    </row>
    <row r="56" spans="1:36" x14ac:dyDescent="0.25">
      <c r="A56" s="4" t="s">
        <v>128</v>
      </c>
      <c r="B56" s="1" t="s">
        <v>129</v>
      </c>
      <c r="C56" s="2">
        <v>1339896</v>
      </c>
      <c r="D56" s="2">
        <f t="shared" si="0"/>
        <v>1339896</v>
      </c>
      <c r="E56" s="2">
        <f t="shared" si="1"/>
        <v>0</v>
      </c>
      <c r="I56" s="2">
        <v>47018</v>
      </c>
      <c r="J56" s="2">
        <v>99944</v>
      </c>
      <c r="K56" s="2">
        <v>138680</v>
      </c>
      <c r="L56" s="2">
        <v>103486</v>
      </c>
      <c r="M56" s="2">
        <v>100860</v>
      </c>
      <c r="N56" s="2">
        <v>64883</v>
      </c>
      <c r="O56" s="2">
        <v>168163</v>
      </c>
      <c r="P56" s="9">
        <v>110010</v>
      </c>
      <c r="Q56" s="9">
        <v>116864</v>
      </c>
      <c r="R56" s="9">
        <v>106621</v>
      </c>
      <c r="S56" s="9">
        <v>94125</v>
      </c>
      <c r="T56" s="9">
        <f>75423+45979</f>
        <v>121402</v>
      </c>
      <c r="U56" s="9">
        <v>67840</v>
      </c>
      <c r="V56" s="9"/>
      <c r="X56" s="12" t="s">
        <v>150</v>
      </c>
      <c r="AC56" s="12"/>
      <c r="AD56" s="12"/>
      <c r="AE56" s="12"/>
      <c r="AF56" s="12"/>
      <c r="AG56" s="12"/>
      <c r="AH56" s="12"/>
      <c r="AI56" s="12"/>
      <c r="AJ56" s="12"/>
    </row>
    <row r="57" spans="1:36" x14ac:dyDescent="0.25">
      <c r="A57" s="4" t="s">
        <v>130</v>
      </c>
      <c r="B57" s="1" t="s">
        <v>131</v>
      </c>
      <c r="C57" s="2">
        <v>726832</v>
      </c>
      <c r="D57" s="2">
        <f t="shared" si="0"/>
        <v>726832</v>
      </c>
      <c r="E57" s="2">
        <f t="shared" si="1"/>
        <v>0</v>
      </c>
      <c r="L57" s="2">
        <v>350648</v>
      </c>
      <c r="O57" s="2">
        <v>244691</v>
      </c>
      <c r="P57" s="9">
        <v>131493</v>
      </c>
      <c r="Q57" s="9"/>
      <c r="R57" s="9"/>
      <c r="S57" s="9"/>
      <c r="T57" s="9"/>
      <c r="U57" s="9"/>
      <c r="V57" s="9"/>
      <c r="X57" s="12" t="s">
        <v>150</v>
      </c>
      <c r="AC57" s="12"/>
      <c r="AD57" s="12"/>
      <c r="AE57" s="12"/>
      <c r="AF57" s="12"/>
      <c r="AG57" s="12"/>
      <c r="AH57" s="12"/>
      <c r="AI57" s="12"/>
      <c r="AJ57" s="12"/>
    </row>
    <row r="58" spans="1:36" ht="30" x14ac:dyDescent="0.25">
      <c r="A58" s="4" t="s">
        <v>132</v>
      </c>
      <c r="B58" s="1" t="s">
        <v>133</v>
      </c>
      <c r="C58" s="2">
        <v>216926</v>
      </c>
      <c r="D58" s="2">
        <f t="shared" si="0"/>
        <v>216926</v>
      </c>
      <c r="E58" s="2">
        <f t="shared" si="1"/>
        <v>0</v>
      </c>
      <c r="O58" s="2">
        <v>8325</v>
      </c>
      <c r="P58" s="9"/>
      <c r="Q58" s="9">
        <v>88908</v>
      </c>
      <c r="R58" s="9"/>
      <c r="S58" s="9"/>
      <c r="T58" s="9"/>
      <c r="U58" s="9"/>
      <c r="V58" s="9"/>
      <c r="X58" s="12" t="s">
        <v>150</v>
      </c>
      <c r="AB58" s="12">
        <v>119693</v>
      </c>
      <c r="AC58" s="12"/>
      <c r="AD58" s="12"/>
      <c r="AE58" s="12"/>
      <c r="AF58" s="12"/>
      <c r="AG58" s="12"/>
      <c r="AH58" s="12"/>
      <c r="AI58" s="12"/>
      <c r="AJ58" s="12"/>
    </row>
    <row r="59" spans="1:36" ht="30" x14ac:dyDescent="0.25">
      <c r="A59" s="4" t="s">
        <v>134</v>
      </c>
      <c r="B59" s="1" t="s">
        <v>135</v>
      </c>
      <c r="C59" s="2">
        <v>141822</v>
      </c>
      <c r="D59" s="2">
        <f t="shared" si="0"/>
        <v>141822</v>
      </c>
      <c r="E59" s="2">
        <f t="shared" si="1"/>
        <v>0</v>
      </c>
      <c r="P59" s="9"/>
      <c r="Q59" s="9">
        <v>21213</v>
      </c>
      <c r="R59" s="9"/>
      <c r="S59" s="9"/>
      <c r="T59" s="9"/>
      <c r="U59" s="9"/>
      <c r="V59" s="9">
        <v>22885</v>
      </c>
      <c r="X59" s="12" t="s">
        <v>150</v>
      </c>
      <c r="Y59" s="9">
        <v>59243</v>
      </c>
      <c r="AC59" s="12"/>
      <c r="AD59" s="12"/>
      <c r="AE59" s="12"/>
      <c r="AF59" s="12"/>
      <c r="AG59" s="12">
        <v>38481</v>
      </c>
      <c r="AH59" s="12"/>
      <c r="AI59" s="12"/>
      <c r="AJ59" s="12"/>
    </row>
    <row r="60" spans="1:36" ht="30" x14ac:dyDescent="0.25">
      <c r="A60" s="4" t="s">
        <v>136</v>
      </c>
      <c r="B60" s="1" t="s">
        <v>137</v>
      </c>
      <c r="C60" s="2">
        <v>14476</v>
      </c>
      <c r="D60" s="2">
        <f t="shared" si="0"/>
        <v>14476</v>
      </c>
      <c r="E60" s="2">
        <f t="shared" si="1"/>
        <v>0</v>
      </c>
      <c r="O60" s="2">
        <v>14476</v>
      </c>
      <c r="P60" s="9"/>
      <c r="Q60" s="9"/>
      <c r="R60" s="9"/>
      <c r="S60" s="9"/>
      <c r="T60" s="9"/>
      <c r="U60" s="9"/>
      <c r="V60" s="9"/>
      <c r="X60" s="12" t="s">
        <v>150</v>
      </c>
      <c r="AC60" s="12"/>
      <c r="AD60" s="12"/>
      <c r="AE60" s="12"/>
      <c r="AF60" s="12"/>
      <c r="AG60" s="12"/>
      <c r="AH60" s="12"/>
      <c r="AI60" s="12"/>
      <c r="AJ60" s="12"/>
    </row>
    <row r="61" spans="1:36" ht="30" x14ac:dyDescent="0.25">
      <c r="A61" s="4" t="s">
        <v>138</v>
      </c>
      <c r="B61" s="1" t="s">
        <v>139</v>
      </c>
      <c r="C61" s="2">
        <v>27385</v>
      </c>
      <c r="D61" s="2">
        <f t="shared" si="0"/>
        <v>11027</v>
      </c>
      <c r="E61" s="2">
        <f t="shared" si="1"/>
        <v>16358</v>
      </c>
      <c r="P61" s="9"/>
      <c r="Q61" s="9"/>
      <c r="R61" s="9">
        <v>1427</v>
      </c>
      <c r="S61" s="9"/>
      <c r="T61" s="9"/>
      <c r="U61" s="9"/>
      <c r="V61" s="9"/>
      <c r="X61" s="12" t="s">
        <v>150</v>
      </c>
      <c r="AC61" s="12"/>
      <c r="AD61" s="12">
        <v>9600</v>
      </c>
      <c r="AE61" s="12"/>
      <c r="AF61" s="12"/>
      <c r="AG61" s="12"/>
      <c r="AH61" s="12"/>
      <c r="AI61" s="12"/>
      <c r="AJ61" s="12"/>
    </row>
    <row r="62" spans="1:36" ht="30" x14ac:dyDescent="0.25">
      <c r="A62" s="4" t="s">
        <v>140</v>
      </c>
      <c r="B62" s="1" t="s">
        <v>141</v>
      </c>
      <c r="C62" s="2">
        <v>131763</v>
      </c>
      <c r="D62" s="2">
        <f t="shared" si="0"/>
        <v>107289</v>
      </c>
      <c r="E62" s="2">
        <f t="shared" si="1"/>
        <v>24474</v>
      </c>
      <c r="P62" s="9"/>
      <c r="Q62" s="9"/>
      <c r="R62" s="9">
        <v>53638</v>
      </c>
      <c r="S62" s="9"/>
      <c r="T62" s="9"/>
      <c r="U62" s="9"/>
      <c r="V62" s="9"/>
      <c r="X62" s="12" t="s">
        <v>150</v>
      </c>
      <c r="AA62" s="9">
        <f>24474+35712+466+14473</f>
        <v>75125</v>
      </c>
      <c r="AB62" s="9">
        <f>3000-24474</f>
        <v>-21474</v>
      </c>
      <c r="AC62" s="12"/>
      <c r="AD62" s="12"/>
      <c r="AE62" s="12"/>
      <c r="AF62" s="12"/>
      <c r="AG62" s="12"/>
      <c r="AH62" s="12"/>
      <c r="AI62" s="12"/>
      <c r="AJ62" s="12"/>
    </row>
    <row r="63" spans="1:36" x14ac:dyDescent="0.25">
      <c r="A63" s="4" t="s">
        <v>142</v>
      </c>
      <c r="B63" s="1" t="s">
        <v>143</v>
      </c>
      <c r="C63" s="2">
        <v>1590150</v>
      </c>
      <c r="D63" s="2">
        <f t="shared" si="0"/>
        <v>1590150</v>
      </c>
      <c r="E63" s="2">
        <f t="shared" si="1"/>
        <v>0</v>
      </c>
      <c r="J63" s="2">
        <v>116968</v>
      </c>
      <c r="K63" s="2">
        <v>173226</v>
      </c>
      <c r="L63" s="2">
        <v>151072</v>
      </c>
      <c r="M63" s="2">
        <v>110045</v>
      </c>
      <c r="N63" s="2">
        <v>176291</v>
      </c>
      <c r="O63" s="2">
        <v>157694</v>
      </c>
      <c r="P63" s="9">
        <v>230922</v>
      </c>
      <c r="Q63" s="9">
        <f>138775+65542</f>
        <v>204317</v>
      </c>
      <c r="R63" s="9">
        <v>127728</v>
      </c>
      <c r="S63" s="9">
        <v>15047</v>
      </c>
      <c r="T63" s="9">
        <v>10331</v>
      </c>
      <c r="U63" s="9">
        <v>116509</v>
      </c>
      <c r="V63" s="9"/>
      <c r="X63" s="12" t="s">
        <v>150</v>
      </c>
      <c r="AC63" s="12"/>
      <c r="AD63" s="12"/>
      <c r="AE63" s="12"/>
      <c r="AF63" s="12"/>
      <c r="AG63" s="12"/>
      <c r="AH63" s="12"/>
      <c r="AI63" s="12"/>
      <c r="AJ63" s="12"/>
    </row>
    <row r="64" spans="1:36" x14ac:dyDescent="0.25">
      <c r="AC64" s="12"/>
      <c r="AD64" s="12"/>
      <c r="AE64" s="12"/>
      <c r="AF64" s="12"/>
      <c r="AG64" s="12"/>
      <c r="AH64" s="12"/>
      <c r="AI64" s="12"/>
      <c r="AJ64" s="12"/>
    </row>
    <row r="65" spans="1:35" ht="15.75" thickBot="1" x14ac:dyDescent="0.3">
      <c r="A65" s="6" t="s">
        <v>144</v>
      </c>
      <c r="B65" s="7"/>
      <c r="C65" s="8">
        <f>SUM(C2:C64)</f>
        <v>137189690</v>
      </c>
      <c r="D65" s="8">
        <f t="shared" ref="D65:T65" si="2">SUM(D2:D64)</f>
        <v>137179457</v>
      </c>
      <c r="E65" s="8">
        <f t="shared" si="2"/>
        <v>10233</v>
      </c>
      <c r="F65" s="8">
        <f t="shared" si="2"/>
        <v>0</v>
      </c>
      <c r="G65" s="8">
        <f t="shared" si="2"/>
        <v>0</v>
      </c>
      <c r="H65" s="8">
        <f t="shared" si="2"/>
        <v>4505</v>
      </c>
      <c r="I65" s="8">
        <f t="shared" si="2"/>
        <v>2093603</v>
      </c>
      <c r="J65" s="8">
        <f t="shared" si="2"/>
        <v>6884514</v>
      </c>
      <c r="K65" s="8">
        <f t="shared" si="2"/>
        <v>15940718</v>
      </c>
      <c r="L65" s="8">
        <f t="shared" si="2"/>
        <v>7445775</v>
      </c>
      <c r="M65" s="8">
        <f t="shared" si="2"/>
        <v>12248497</v>
      </c>
      <c r="N65" s="8">
        <f t="shared" si="2"/>
        <v>11138878</v>
      </c>
      <c r="O65" s="8">
        <f t="shared" si="2"/>
        <v>10755122</v>
      </c>
      <c r="P65" s="8">
        <f t="shared" si="2"/>
        <v>12868688</v>
      </c>
      <c r="Q65" s="8">
        <f t="shared" si="2"/>
        <v>16197278</v>
      </c>
      <c r="R65" s="8">
        <f t="shared" si="2"/>
        <v>7344975</v>
      </c>
      <c r="S65" s="8">
        <f t="shared" si="2"/>
        <v>4533154</v>
      </c>
      <c r="T65" s="8">
        <f t="shared" si="2"/>
        <v>12604069</v>
      </c>
      <c r="U65" s="8">
        <f t="shared" ref="U65:AA65" si="3">SUM(U2:U64)</f>
        <v>7865778</v>
      </c>
      <c r="V65" s="8">
        <f t="shared" si="3"/>
        <v>5963650</v>
      </c>
      <c r="W65" s="8">
        <f t="shared" si="3"/>
        <v>524288</v>
      </c>
      <c r="X65" s="8">
        <f t="shared" si="3"/>
        <v>410960</v>
      </c>
      <c r="Y65" s="8">
        <f t="shared" si="3"/>
        <v>1099641</v>
      </c>
      <c r="Z65" s="8">
        <f t="shared" si="3"/>
        <v>0</v>
      </c>
      <c r="AA65" s="8">
        <f t="shared" si="3"/>
        <v>203086</v>
      </c>
      <c r="AB65" s="8">
        <f t="shared" ref="AB65:AI65" si="4">SUM(AB2:AB64)</f>
        <v>127096</v>
      </c>
      <c r="AC65" s="8">
        <f t="shared" si="4"/>
        <v>174550</v>
      </c>
      <c r="AD65" s="8">
        <f t="shared" si="4"/>
        <v>9600</v>
      </c>
      <c r="AE65" s="8">
        <f t="shared" si="4"/>
        <v>0</v>
      </c>
      <c r="AF65" s="8">
        <f t="shared" si="4"/>
        <v>0</v>
      </c>
      <c r="AG65" s="8">
        <f t="shared" si="4"/>
        <v>741032</v>
      </c>
      <c r="AH65" s="8">
        <f t="shared" si="4"/>
        <v>0</v>
      </c>
      <c r="AI65" s="8">
        <f t="shared" si="4"/>
        <v>0</v>
      </c>
    </row>
    <row r="66" spans="1:35" x14ac:dyDescent="0.25">
      <c r="U66" s="19"/>
      <c r="V66" s="19"/>
    </row>
    <row r="67" spans="1:35" x14ac:dyDescent="0.25">
      <c r="S67" s="11"/>
      <c r="U67" s="19"/>
      <c r="V67" s="19"/>
    </row>
    <row r="69" spans="1:35" x14ac:dyDescent="0.25">
      <c r="U69" s="19"/>
      <c r="V69" s="19"/>
    </row>
  </sheetData>
  <sheetProtection password="EF32" sheet="1" objects="1" scenarios="1"/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opLeftCell="A49" workbookViewId="0">
      <selection activeCell="A65" sqref="A65:XFD65"/>
    </sheetView>
  </sheetViews>
  <sheetFormatPr defaultRowHeight="15" x14ac:dyDescent="0.25"/>
  <cols>
    <col min="3" max="3" width="13.7109375" style="24" bestFit="1" customWidth="1"/>
    <col min="4" max="4" width="14.7109375" style="27" bestFit="1" customWidth="1"/>
    <col min="5" max="5" width="15.28515625" bestFit="1" customWidth="1"/>
    <col min="6" max="6" width="14.28515625" bestFit="1" customWidth="1"/>
  </cols>
  <sheetData>
    <row r="1" spans="1:6" x14ac:dyDescent="0.25">
      <c r="A1" s="21" t="s">
        <v>155</v>
      </c>
      <c r="B1" s="21" t="s">
        <v>159</v>
      </c>
      <c r="C1" s="21" t="s">
        <v>156</v>
      </c>
      <c r="D1" s="21" t="s">
        <v>157</v>
      </c>
    </row>
    <row r="2" spans="1:6" x14ac:dyDescent="0.25">
      <c r="A2" s="22" t="s">
        <v>158</v>
      </c>
      <c r="B2" s="22" t="s">
        <v>160</v>
      </c>
      <c r="C2" s="22" t="s">
        <v>20</v>
      </c>
      <c r="D2" s="23">
        <v>1290262</v>
      </c>
      <c r="E2" s="24">
        <f>VLOOKUP(C2,'IDEA PART B FY15-16'!A:D,4,0)</f>
        <v>1290262</v>
      </c>
      <c r="F2" s="25">
        <f>+E2-D2</f>
        <v>0</v>
      </c>
    </row>
    <row r="3" spans="1:6" x14ac:dyDescent="0.25">
      <c r="A3" s="22" t="s">
        <v>158</v>
      </c>
      <c r="B3" s="22" t="s">
        <v>160</v>
      </c>
      <c r="C3" s="22" t="s">
        <v>22</v>
      </c>
      <c r="D3" s="23">
        <v>5782990</v>
      </c>
      <c r="E3" s="24">
        <f>VLOOKUP(C3,'IDEA PART B FY15-16'!A:D,4,0)</f>
        <v>5782990</v>
      </c>
      <c r="F3" s="25">
        <f t="shared" ref="F3:F63" si="0">+E3-D3</f>
        <v>0</v>
      </c>
    </row>
    <row r="4" spans="1:6" x14ac:dyDescent="0.25">
      <c r="A4" s="22" t="s">
        <v>158</v>
      </c>
      <c r="B4" s="22" t="s">
        <v>160</v>
      </c>
      <c r="C4" s="22" t="s">
        <v>24</v>
      </c>
      <c r="D4" s="23">
        <v>1286193</v>
      </c>
      <c r="E4" s="24">
        <f>VLOOKUP(C4,'IDEA PART B FY15-16'!A:D,4,0)</f>
        <v>1286193</v>
      </c>
      <c r="F4" s="25">
        <f t="shared" si="0"/>
        <v>0</v>
      </c>
    </row>
    <row r="5" spans="1:6" x14ac:dyDescent="0.25">
      <c r="A5" s="22" t="s">
        <v>158</v>
      </c>
      <c r="B5" s="22" t="s">
        <v>160</v>
      </c>
      <c r="C5" s="22" t="s">
        <v>26</v>
      </c>
      <c r="D5" s="23">
        <v>2079889</v>
      </c>
      <c r="E5" s="24">
        <f>VLOOKUP(C5,'IDEA PART B FY15-16'!A:D,4,0)</f>
        <v>2079889</v>
      </c>
      <c r="F5" s="25">
        <f t="shared" si="0"/>
        <v>0</v>
      </c>
    </row>
    <row r="6" spans="1:6" x14ac:dyDescent="0.25">
      <c r="A6" s="22" t="s">
        <v>158</v>
      </c>
      <c r="B6" s="22" t="s">
        <v>160</v>
      </c>
      <c r="C6" s="22" t="s">
        <v>28</v>
      </c>
      <c r="D6" s="23">
        <v>1921911</v>
      </c>
      <c r="E6" s="24">
        <f>VLOOKUP(C6,'IDEA PART B FY15-16'!A:D,4,0)</f>
        <v>1921911</v>
      </c>
      <c r="F6" s="25">
        <f t="shared" si="0"/>
        <v>0</v>
      </c>
    </row>
    <row r="7" spans="1:6" x14ac:dyDescent="0.25">
      <c r="A7" s="22" t="s">
        <v>158</v>
      </c>
      <c r="B7" s="22" t="s">
        <v>160</v>
      </c>
      <c r="C7" s="22" t="s">
        <v>30</v>
      </c>
      <c r="D7" s="23">
        <v>680074</v>
      </c>
      <c r="E7" s="24">
        <f>VLOOKUP(C7,'IDEA PART B FY15-16'!A:D,4,0)</f>
        <v>680074</v>
      </c>
      <c r="F7" s="25">
        <f t="shared" si="0"/>
        <v>0</v>
      </c>
    </row>
    <row r="8" spans="1:6" x14ac:dyDescent="0.25">
      <c r="A8" s="22" t="s">
        <v>158</v>
      </c>
      <c r="B8" s="22" t="s">
        <v>160</v>
      </c>
      <c r="C8" s="22" t="s">
        <v>32</v>
      </c>
      <c r="D8" s="23">
        <v>325901</v>
      </c>
      <c r="E8" s="24">
        <f>VLOOKUP(C8,'IDEA PART B FY15-16'!A:D,4,0)</f>
        <v>325901</v>
      </c>
      <c r="F8" s="25">
        <f t="shared" si="0"/>
        <v>0</v>
      </c>
    </row>
    <row r="9" spans="1:6" x14ac:dyDescent="0.25">
      <c r="A9" s="22" t="s">
        <v>158</v>
      </c>
      <c r="B9" s="22" t="s">
        <v>160</v>
      </c>
      <c r="C9" s="22" t="s">
        <v>34</v>
      </c>
      <c r="D9" s="23">
        <v>8378926</v>
      </c>
      <c r="E9" s="24">
        <f>VLOOKUP(C9,'IDEA PART B FY15-16'!A:D,4,0)</f>
        <v>8378926</v>
      </c>
      <c r="F9" s="25">
        <f t="shared" si="0"/>
        <v>0</v>
      </c>
    </row>
    <row r="10" spans="1:6" x14ac:dyDescent="0.25">
      <c r="A10" s="22" t="s">
        <v>158</v>
      </c>
      <c r="B10" s="22" t="s">
        <v>160</v>
      </c>
      <c r="C10" s="22" t="s">
        <v>36</v>
      </c>
      <c r="D10" s="23">
        <v>2357256</v>
      </c>
      <c r="E10" s="24">
        <f>VLOOKUP(C10,'IDEA PART B FY15-16'!A:D,4,0)</f>
        <v>2422390</v>
      </c>
      <c r="F10" s="25">
        <f t="shared" si="0"/>
        <v>65134</v>
      </c>
    </row>
    <row r="11" spans="1:6" x14ac:dyDescent="0.25">
      <c r="A11" s="22" t="s">
        <v>158</v>
      </c>
      <c r="B11" s="22" t="s">
        <v>160</v>
      </c>
      <c r="C11" s="22" t="s">
        <v>38</v>
      </c>
      <c r="D11" s="23">
        <v>6843233</v>
      </c>
      <c r="E11" s="24">
        <f>VLOOKUP(C11,'IDEA PART B FY15-16'!A:D,4,0)</f>
        <v>6843233</v>
      </c>
      <c r="F11" s="25">
        <f t="shared" si="0"/>
        <v>0</v>
      </c>
    </row>
    <row r="12" spans="1:6" x14ac:dyDescent="0.25">
      <c r="A12" s="22" t="s">
        <v>158</v>
      </c>
      <c r="B12" s="22" t="s">
        <v>160</v>
      </c>
      <c r="C12" s="22" t="s">
        <v>40</v>
      </c>
      <c r="D12" s="23">
        <v>4039274</v>
      </c>
      <c r="E12" s="24">
        <f>VLOOKUP(C12,'IDEA PART B FY15-16'!A:D,4,0)</f>
        <v>4039274</v>
      </c>
      <c r="F12" s="25">
        <f t="shared" si="0"/>
        <v>0</v>
      </c>
    </row>
    <row r="13" spans="1:6" x14ac:dyDescent="0.25">
      <c r="A13" s="22" t="s">
        <v>158</v>
      </c>
      <c r="B13" s="22" t="s">
        <v>160</v>
      </c>
      <c r="C13" s="22" t="s">
        <v>42</v>
      </c>
      <c r="D13" s="23">
        <v>4924547</v>
      </c>
      <c r="E13" s="24">
        <f>VLOOKUP(C13,'IDEA PART B FY15-16'!A:D,4,0)</f>
        <v>4924547</v>
      </c>
      <c r="F13" s="25">
        <f t="shared" si="0"/>
        <v>0</v>
      </c>
    </row>
    <row r="14" spans="1:6" x14ac:dyDescent="0.25">
      <c r="A14" s="22" t="s">
        <v>158</v>
      </c>
      <c r="B14" s="22" t="s">
        <v>160</v>
      </c>
      <c r="C14" s="22" t="s">
        <v>44</v>
      </c>
      <c r="D14" s="23">
        <v>857297</v>
      </c>
      <c r="E14" s="24">
        <f>VLOOKUP(C14,'IDEA PART B FY15-16'!A:D,4,0)</f>
        <v>857297</v>
      </c>
      <c r="F14" s="25">
        <f t="shared" si="0"/>
        <v>0</v>
      </c>
    </row>
    <row r="15" spans="1:6" x14ac:dyDescent="0.25">
      <c r="A15" s="22" t="s">
        <v>158</v>
      </c>
      <c r="B15" s="22" t="s">
        <v>160</v>
      </c>
      <c r="C15" s="22" t="s">
        <v>46</v>
      </c>
      <c r="D15" s="23">
        <v>15269928</v>
      </c>
      <c r="E15" s="24">
        <f>VLOOKUP(C15,'IDEA PART B FY15-16'!A:D,4,0)</f>
        <v>15269928</v>
      </c>
      <c r="F15" s="25">
        <f t="shared" si="0"/>
        <v>0</v>
      </c>
    </row>
    <row r="16" spans="1:6" x14ac:dyDescent="0.25">
      <c r="A16" s="22" t="s">
        <v>158</v>
      </c>
      <c r="B16" s="22" t="s">
        <v>160</v>
      </c>
      <c r="C16" s="22" t="s">
        <v>48</v>
      </c>
      <c r="D16" s="23">
        <v>8000430</v>
      </c>
      <c r="E16" s="24">
        <f>VLOOKUP(C16,'IDEA PART B FY15-16'!A:D,4,0)</f>
        <v>8000430</v>
      </c>
      <c r="F16" s="25">
        <f t="shared" si="0"/>
        <v>0</v>
      </c>
    </row>
    <row r="17" spans="1:6" x14ac:dyDescent="0.25">
      <c r="A17" s="22" t="s">
        <v>158</v>
      </c>
      <c r="B17" s="22" t="s">
        <v>160</v>
      </c>
      <c r="C17" s="22" t="s">
        <v>50</v>
      </c>
      <c r="D17" s="23">
        <v>1008752</v>
      </c>
      <c r="E17" s="24">
        <f>VLOOKUP(C17,'IDEA PART B FY15-16'!A:D,4,0)</f>
        <v>1008752</v>
      </c>
      <c r="F17" s="25">
        <f t="shared" si="0"/>
        <v>0</v>
      </c>
    </row>
    <row r="18" spans="1:6" x14ac:dyDescent="0.25">
      <c r="A18" s="22" t="s">
        <v>158</v>
      </c>
      <c r="B18" s="22" t="s">
        <v>160</v>
      </c>
      <c r="C18" s="22" t="s">
        <v>52</v>
      </c>
      <c r="D18" s="23">
        <v>394045</v>
      </c>
      <c r="E18" s="24">
        <f>VLOOKUP(C18,'IDEA PART B FY15-16'!A:D,4,0)</f>
        <v>394045</v>
      </c>
      <c r="F18" s="25">
        <f t="shared" si="0"/>
        <v>0</v>
      </c>
    </row>
    <row r="19" spans="1:6" x14ac:dyDescent="0.25">
      <c r="A19" s="22" t="s">
        <v>158</v>
      </c>
      <c r="B19" s="22" t="s">
        <v>160</v>
      </c>
      <c r="C19" s="22" t="s">
        <v>54</v>
      </c>
      <c r="D19" s="23">
        <v>2062631</v>
      </c>
      <c r="E19" s="24">
        <f>VLOOKUP(C19,'IDEA PART B FY15-16'!A:D,4,0)</f>
        <v>2062631</v>
      </c>
      <c r="F19" s="25">
        <f t="shared" si="0"/>
        <v>0</v>
      </c>
    </row>
    <row r="20" spans="1:6" x14ac:dyDescent="0.25">
      <c r="A20" s="22" t="s">
        <v>158</v>
      </c>
      <c r="B20" s="22" t="s">
        <v>160</v>
      </c>
      <c r="C20" s="22" t="s">
        <v>56</v>
      </c>
      <c r="D20" s="23">
        <v>1567537</v>
      </c>
      <c r="E20" s="24">
        <f>VLOOKUP(C20,'IDEA PART B FY15-16'!A:D,4,0)</f>
        <v>1567537</v>
      </c>
      <c r="F20" s="25">
        <f t="shared" si="0"/>
        <v>0</v>
      </c>
    </row>
    <row r="21" spans="1:6" x14ac:dyDescent="0.25">
      <c r="A21" s="22" t="s">
        <v>158</v>
      </c>
      <c r="B21" s="22" t="s">
        <v>160</v>
      </c>
      <c r="C21" s="22" t="s">
        <v>58</v>
      </c>
      <c r="D21" s="23">
        <v>1141365</v>
      </c>
      <c r="E21" s="24">
        <f>VLOOKUP(C21,'IDEA PART B FY15-16'!A:D,4,0)</f>
        <v>1141365</v>
      </c>
      <c r="F21" s="25">
        <f t="shared" si="0"/>
        <v>0</v>
      </c>
    </row>
    <row r="22" spans="1:6" x14ac:dyDescent="0.25">
      <c r="A22" s="22" t="s">
        <v>158</v>
      </c>
      <c r="B22" s="22" t="s">
        <v>160</v>
      </c>
      <c r="C22" s="22" t="s">
        <v>60</v>
      </c>
      <c r="D22" s="23">
        <v>5067196</v>
      </c>
      <c r="E22" s="24">
        <f>VLOOKUP(C22,'IDEA PART B FY15-16'!A:D,4,0)</f>
        <v>5067196</v>
      </c>
      <c r="F22" s="25">
        <f t="shared" si="0"/>
        <v>0</v>
      </c>
    </row>
    <row r="23" spans="1:6" x14ac:dyDescent="0.25">
      <c r="A23" s="22" t="s">
        <v>158</v>
      </c>
      <c r="B23" s="22" t="s">
        <v>160</v>
      </c>
      <c r="C23" s="22" t="s">
        <v>62</v>
      </c>
      <c r="D23" s="23">
        <v>639151</v>
      </c>
      <c r="E23" s="24">
        <f>VLOOKUP(C23,'IDEA PART B FY15-16'!A:D,4,0)</f>
        <v>639151</v>
      </c>
      <c r="F23" s="25">
        <f t="shared" si="0"/>
        <v>0</v>
      </c>
    </row>
    <row r="24" spans="1:6" x14ac:dyDescent="0.25">
      <c r="A24" s="22" t="s">
        <v>158</v>
      </c>
      <c r="B24" s="22" t="s">
        <v>160</v>
      </c>
      <c r="C24" s="22" t="s">
        <v>64</v>
      </c>
      <c r="D24" s="23">
        <v>2969721</v>
      </c>
      <c r="E24" s="24">
        <f>VLOOKUP(C24,'IDEA PART B FY15-16'!A:D,4,0)</f>
        <v>2969721</v>
      </c>
      <c r="F24" s="25">
        <f t="shared" si="0"/>
        <v>0</v>
      </c>
    </row>
    <row r="25" spans="1:6" x14ac:dyDescent="0.25">
      <c r="A25" s="22" t="s">
        <v>158</v>
      </c>
      <c r="B25" s="22" t="s">
        <v>160</v>
      </c>
      <c r="C25" s="22" t="s">
        <v>66</v>
      </c>
      <c r="D25" s="23">
        <v>821691</v>
      </c>
      <c r="E25" s="24">
        <f>VLOOKUP(C25,'IDEA PART B FY15-16'!A:D,4,0)</f>
        <v>821691</v>
      </c>
      <c r="F25" s="25">
        <f t="shared" si="0"/>
        <v>0</v>
      </c>
    </row>
    <row r="26" spans="1:6" x14ac:dyDescent="0.25">
      <c r="A26" s="22" t="s">
        <v>158</v>
      </c>
      <c r="B26" s="22" t="s">
        <v>160</v>
      </c>
      <c r="C26" s="22" t="s">
        <v>68</v>
      </c>
      <c r="D26" s="23">
        <v>2521941</v>
      </c>
      <c r="E26" s="24">
        <f>VLOOKUP(C26,'IDEA PART B FY15-16'!A:D,4,0)</f>
        <v>2521941</v>
      </c>
      <c r="F26" s="25">
        <f t="shared" si="0"/>
        <v>0</v>
      </c>
    </row>
    <row r="27" spans="1:6" x14ac:dyDescent="0.25">
      <c r="A27" s="22" t="s">
        <v>158</v>
      </c>
      <c r="B27" s="22" t="s">
        <v>160</v>
      </c>
      <c r="C27" s="22" t="s">
        <v>70</v>
      </c>
      <c r="D27" s="23">
        <v>777725</v>
      </c>
      <c r="E27" s="24">
        <f>VLOOKUP(C27,'IDEA PART B FY15-16'!A:D,4,0)</f>
        <v>777725</v>
      </c>
      <c r="F27" s="25">
        <f t="shared" si="0"/>
        <v>0</v>
      </c>
    </row>
    <row r="28" spans="1:6" x14ac:dyDescent="0.25">
      <c r="A28" s="22" t="s">
        <v>158</v>
      </c>
      <c r="B28" s="22" t="s">
        <v>160</v>
      </c>
      <c r="C28" s="22" t="s">
        <v>72</v>
      </c>
      <c r="D28" s="23">
        <v>687618</v>
      </c>
      <c r="E28" s="24">
        <f>VLOOKUP(C28,'IDEA PART B FY15-16'!A:D,4,0)</f>
        <v>687618</v>
      </c>
      <c r="F28" s="25">
        <f t="shared" si="0"/>
        <v>0</v>
      </c>
    </row>
    <row r="29" spans="1:6" x14ac:dyDescent="0.25">
      <c r="A29" s="22" t="s">
        <v>158</v>
      </c>
      <c r="B29" s="22" t="s">
        <v>160</v>
      </c>
      <c r="C29" s="22" t="s">
        <v>74</v>
      </c>
      <c r="D29" s="23">
        <v>283028</v>
      </c>
      <c r="E29" s="24">
        <f>VLOOKUP(C29,'IDEA PART B FY15-16'!A:D,4,0)</f>
        <v>283028</v>
      </c>
      <c r="F29" s="25">
        <f t="shared" si="0"/>
        <v>0</v>
      </c>
    </row>
    <row r="30" spans="1:6" x14ac:dyDescent="0.25">
      <c r="A30" s="22" t="s">
        <v>158</v>
      </c>
      <c r="B30" s="22" t="s">
        <v>160</v>
      </c>
      <c r="C30" s="22" t="s">
        <v>76</v>
      </c>
      <c r="D30" s="23">
        <v>13460190</v>
      </c>
      <c r="E30" s="24">
        <f>VLOOKUP(C30,'IDEA PART B FY15-16'!A:D,4,0)</f>
        <v>13460190</v>
      </c>
      <c r="F30" s="25">
        <f t="shared" si="0"/>
        <v>0</v>
      </c>
    </row>
    <row r="31" spans="1:6" x14ac:dyDescent="0.25">
      <c r="A31" s="22" t="s">
        <v>158</v>
      </c>
      <c r="B31" s="22" t="s">
        <v>160</v>
      </c>
      <c r="C31" s="22" t="s">
        <v>78</v>
      </c>
      <c r="D31" s="23">
        <v>4267567</v>
      </c>
      <c r="E31" s="24">
        <f>VLOOKUP(C31,'IDEA PART B FY15-16'!A:D,4,0)</f>
        <v>4267567</v>
      </c>
      <c r="F31" s="25">
        <f t="shared" si="0"/>
        <v>0</v>
      </c>
    </row>
    <row r="32" spans="1:6" x14ac:dyDescent="0.25">
      <c r="A32" s="22" t="s">
        <v>158</v>
      </c>
      <c r="B32" s="22" t="s">
        <v>160</v>
      </c>
      <c r="C32" s="22" t="s">
        <v>80</v>
      </c>
      <c r="D32" s="23">
        <v>2700649</v>
      </c>
      <c r="E32" s="24">
        <f>VLOOKUP(C32,'IDEA PART B FY15-16'!A:D,4,0)</f>
        <v>2700649</v>
      </c>
      <c r="F32" s="25">
        <f t="shared" si="0"/>
        <v>0</v>
      </c>
    </row>
    <row r="33" spans="1:6" x14ac:dyDescent="0.25">
      <c r="A33" s="22" t="s">
        <v>158</v>
      </c>
      <c r="B33" s="22" t="s">
        <v>160</v>
      </c>
      <c r="C33" s="22" t="s">
        <v>82</v>
      </c>
      <c r="D33" s="23">
        <v>221206</v>
      </c>
      <c r="E33" s="24">
        <f>VLOOKUP(C33,'IDEA PART B FY15-16'!A:D,4,0)</f>
        <v>219780</v>
      </c>
      <c r="F33" s="25">
        <f t="shared" si="0"/>
        <v>-1426</v>
      </c>
    </row>
    <row r="34" spans="1:6" x14ac:dyDescent="0.25">
      <c r="A34" s="22" t="s">
        <v>158</v>
      </c>
      <c r="B34" s="22" t="s">
        <v>160</v>
      </c>
      <c r="C34" s="22" t="s">
        <v>84</v>
      </c>
      <c r="D34" s="23">
        <v>483370</v>
      </c>
      <c r="E34" s="24">
        <f>VLOOKUP(C34,'IDEA PART B FY15-16'!A:D,4,0)</f>
        <v>483370</v>
      </c>
      <c r="F34" s="25">
        <f t="shared" si="0"/>
        <v>0</v>
      </c>
    </row>
    <row r="35" spans="1:6" x14ac:dyDescent="0.25">
      <c r="A35" s="22" t="s">
        <v>158</v>
      </c>
      <c r="B35" s="22" t="s">
        <v>160</v>
      </c>
      <c r="C35" s="22" t="s">
        <v>86</v>
      </c>
      <c r="D35" s="23">
        <v>3793893</v>
      </c>
      <c r="E35" s="24">
        <f>VLOOKUP(C35,'IDEA PART B FY15-16'!A:D,4,0)</f>
        <v>3793893</v>
      </c>
      <c r="F35" s="25">
        <f t="shared" si="0"/>
        <v>0</v>
      </c>
    </row>
    <row r="36" spans="1:6" x14ac:dyDescent="0.25">
      <c r="A36" s="22" t="s">
        <v>158</v>
      </c>
      <c r="B36" s="22" t="s">
        <v>160</v>
      </c>
      <c r="C36" s="22" t="s">
        <v>88</v>
      </c>
      <c r="D36" s="23">
        <v>425016</v>
      </c>
      <c r="E36" s="24">
        <f>VLOOKUP(C36,'IDEA PART B FY15-16'!A:D,4,0)</f>
        <v>425016</v>
      </c>
      <c r="F36" s="25">
        <f t="shared" si="0"/>
        <v>0</v>
      </c>
    </row>
    <row r="37" spans="1:6" x14ac:dyDescent="0.25">
      <c r="A37" s="22" t="s">
        <v>158</v>
      </c>
      <c r="B37" s="22" t="s">
        <v>160</v>
      </c>
      <c r="C37" s="22" t="s">
        <v>90</v>
      </c>
      <c r="D37" s="23">
        <v>314005</v>
      </c>
      <c r="E37" s="24">
        <f>VLOOKUP(C37,'IDEA PART B FY15-16'!A:D,4,0)</f>
        <v>1016556</v>
      </c>
      <c r="F37" s="25">
        <f t="shared" si="0"/>
        <v>702551</v>
      </c>
    </row>
    <row r="38" spans="1:6" x14ac:dyDescent="0.25">
      <c r="A38" s="22" t="s">
        <v>158</v>
      </c>
      <c r="B38" s="22" t="s">
        <v>160</v>
      </c>
      <c r="C38" s="22" t="s">
        <v>92</v>
      </c>
      <c r="D38" s="23">
        <v>570739</v>
      </c>
      <c r="E38" s="24">
        <f>VLOOKUP(C38,'IDEA PART B FY15-16'!A:D,4,0)</f>
        <v>570739</v>
      </c>
      <c r="F38" s="25">
        <f t="shared" si="0"/>
        <v>0</v>
      </c>
    </row>
    <row r="39" spans="1:6" x14ac:dyDescent="0.25">
      <c r="A39" s="22" t="s">
        <v>158</v>
      </c>
      <c r="B39" s="22" t="s">
        <v>160</v>
      </c>
      <c r="C39" s="22" t="s">
        <v>94</v>
      </c>
      <c r="D39" s="23">
        <v>3099063</v>
      </c>
      <c r="E39" s="24">
        <f>VLOOKUP(C39,'IDEA PART B FY15-16'!A:D,4,0)</f>
        <v>3099063</v>
      </c>
      <c r="F39" s="25">
        <f t="shared" si="0"/>
        <v>0</v>
      </c>
    </row>
    <row r="40" spans="1:6" x14ac:dyDescent="0.25">
      <c r="A40" s="22" t="s">
        <v>158</v>
      </c>
      <c r="B40" s="22" t="s">
        <v>160</v>
      </c>
      <c r="C40" s="22" t="s">
        <v>96</v>
      </c>
      <c r="D40" s="23">
        <v>1320446</v>
      </c>
      <c r="E40" s="24">
        <f>VLOOKUP(C40,'IDEA PART B FY15-16'!A:D,4,0)</f>
        <v>1320446</v>
      </c>
      <c r="F40" s="25">
        <f t="shared" si="0"/>
        <v>0</v>
      </c>
    </row>
    <row r="41" spans="1:6" x14ac:dyDescent="0.25">
      <c r="A41" s="22" t="s">
        <v>158</v>
      </c>
      <c r="B41" s="22" t="s">
        <v>160</v>
      </c>
      <c r="C41" s="22" t="s">
        <v>98</v>
      </c>
      <c r="D41" s="23">
        <v>603540</v>
      </c>
      <c r="E41" s="24">
        <f>VLOOKUP(C41,'IDEA PART B FY15-16'!A:D,4,0)</f>
        <v>603540</v>
      </c>
      <c r="F41" s="25">
        <f t="shared" si="0"/>
        <v>0</v>
      </c>
    </row>
    <row r="42" spans="1:6" x14ac:dyDescent="0.25">
      <c r="A42" s="22" t="s">
        <v>158</v>
      </c>
      <c r="B42" s="22" t="s">
        <v>160</v>
      </c>
      <c r="C42" s="22" t="s">
        <v>100</v>
      </c>
      <c r="D42" s="23">
        <v>524845</v>
      </c>
      <c r="E42" s="24">
        <f>VLOOKUP(C42,'IDEA PART B FY15-16'!A:D,4,0)</f>
        <v>524845</v>
      </c>
      <c r="F42" s="25">
        <f t="shared" si="0"/>
        <v>0</v>
      </c>
    </row>
    <row r="43" spans="1:6" x14ac:dyDescent="0.25">
      <c r="A43" s="22" t="s">
        <v>158</v>
      </c>
      <c r="B43" s="22" t="s">
        <v>160</v>
      </c>
      <c r="C43" s="22" t="s">
        <v>102</v>
      </c>
      <c r="D43" s="23">
        <v>3400428</v>
      </c>
      <c r="E43" s="24">
        <f>VLOOKUP(C43,'IDEA PART B FY15-16'!A:D,4,0)</f>
        <v>3400428</v>
      </c>
      <c r="F43" s="25">
        <f t="shared" si="0"/>
        <v>0</v>
      </c>
    </row>
    <row r="44" spans="1:6" x14ac:dyDescent="0.25">
      <c r="A44" s="22" t="s">
        <v>158</v>
      </c>
      <c r="B44" s="22" t="s">
        <v>160</v>
      </c>
      <c r="C44" s="22" t="s">
        <v>104</v>
      </c>
      <c r="D44" s="23">
        <v>1134479</v>
      </c>
      <c r="E44" s="24">
        <f>VLOOKUP(C44,'IDEA PART B FY15-16'!A:D,4,0)</f>
        <v>1134479</v>
      </c>
      <c r="F44" s="25">
        <f t="shared" si="0"/>
        <v>0</v>
      </c>
    </row>
    <row r="45" spans="1:6" x14ac:dyDescent="0.25">
      <c r="A45" s="22" t="s">
        <v>158</v>
      </c>
      <c r="B45" s="22" t="s">
        <v>160</v>
      </c>
      <c r="C45" s="22" t="s">
        <v>106</v>
      </c>
      <c r="D45" s="23">
        <v>432506</v>
      </c>
      <c r="E45" s="24">
        <f>VLOOKUP(C45,'IDEA PART B FY15-16'!A:D,4,0)</f>
        <v>432506</v>
      </c>
      <c r="F45" s="25">
        <f t="shared" si="0"/>
        <v>0</v>
      </c>
    </row>
    <row r="46" spans="1:6" x14ac:dyDescent="0.25">
      <c r="A46" s="22" t="s">
        <v>158</v>
      </c>
      <c r="B46" s="22" t="s">
        <v>160</v>
      </c>
      <c r="C46" s="22" t="s">
        <v>108</v>
      </c>
      <c r="D46" s="23">
        <v>3012301</v>
      </c>
      <c r="E46" s="24">
        <f>VLOOKUP(C46,'IDEA PART B FY15-16'!A:D,4,0)</f>
        <v>3012301</v>
      </c>
      <c r="F46" s="25">
        <f t="shared" si="0"/>
        <v>0</v>
      </c>
    </row>
    <row r="47" spans="1:6" x14ac:dyDescent="0.25">
      <c r="A47" s="22" t="s">
        <v>158</v>
      </c>
      <c r="B47" s="22" t="s">
        <v>160</v>
      </c>
      <c r="C47" s="22" t="s">
        <v>110</v>
      </c>
      <c r="D47" s="23">
        <v>851519</v>
      </c>
      <c r="E47" s="24">
        <f>VLOOKUP(C47,'IDEA PART B FY15-16'!A:D,4,0)</f>
        <v>851519</v>
      </c>
      <c r="F47" s="25">
        <f t="shared" si="0"/>
        <v>0</v>
      </c>
    </row>
    <row r="48" spans="1:6" x14ac:dyDescent="0.25">
      <c r="A48" s="22" t="s">
        <v>158</v>
      </c>
      <c r="B48" s="22" t="s">
        <v>160</v>
      </c>
      <c r="C48" s="22" t="s">
        <v>112</v>
      </c>
      <c r="D48" s="23">
        <v>881084</v>
      </c>
      <c r="E48" s="24">
        <f>VLOOKUP(C48,'IDEA PART B FY15-16'!A:D,4,0)</f>
        <v>881084</v>
      </c>
      <c r="F48" s="25">
        <f t="shared" si="0"/>
        <v>0</v>
      </c>
    </row>
    <row r="49" spans="1:6" x14ac:dyDescent="0.25">
      <c r="A49" s="22" t="s">
        <v>158</v>
      </c>
      <c r="B49" s="22" t="s">
        <v>160</v>
      </c>
      <c r="C49" s="22" t="s">
        <v>114</v>
      </c>
      <c r="D49" s="23">
        <v>853895</v>
      </c>
      <c r="E49" s="24">
        <f>VLOOKUP(C49,'IDEA PART B FY15-16'!A:D,4,0)</f>
        <v>853895</v>
      </c>
      <c r="F49" s="25">
        <f t="shared" si="0"/>
        <v>0</v>
      </c>
    </row>
    <row r="50" spans="1:6" x14ac:dyDescent="0.25">
      <c r="A50" s="22" t="s">
        <v>158</v>
      </c>
      <c r="B50" s="22" t="s">
        <v>160</v>
      </c>
      <c r="C50" s="22" t="s">
        <v>116</v>
      </c>
      <c r="D50" s="23">
        <v>2075834</v>
      </c>
      <c r="E50" s="24">
        <f>VLOOKUP(C50,'IDEA PART B FY15-16'!A:D,4,0)</f>
        <v>2075834</v>
      </c>
      <c r="F50" s="25">
        <f t="shared" si="0"/>
        <v>0</v>
      </c>
    </row>
    <row r="51" spans="1:6" x14ac:dyDescent="0.25">
      <c r="A51" s="22" t="s">
        <v>158</v>
      </c>
      <c r="B51" s="22" t="s">
        <v>160</v>
      </c>
      <c r="C51" s="22" t="s">
        <v>118</v>
      </c>
      <c r="D51" s="23">
        <v>1354832</v>
      </c>
      <c r="E51" s="24">
        <f>VLOOKUP(C51,'IDEA PART B FY15-16'!A:D,4,0)</f>
        <v>1354832</v>
      </c>
      <c r="F51" s="25">
        <f t="shared" si="0"/>
        <v>0</v>
      </c>
    </row>
    <row r="52" spans="1:6" x14ac:dyDescent="0.25">
      <c r="A52" s="22" t="s">
        <v>158</v>
      </c>
      <c r="B52" s="22" t="s">
        <v>160</v>
      </c>
      <c r="C52" s="22" t="s">
        <v>120</v>
      </c>
      <c r="D52" s="23">
        <v>683277</v>
      </c>
      <c r="E52" s="24">
        <f>VLOOKUP(C52,'IDEA PART B FY15-16'!A:D,4,0)</f>
        <v>683277</v>
      </c>
      <c r="F52" s="25">
        <f t="shared" si="0"/>
        <v>0</v>
      </c>
    </row>
    <row r="53" spans="1:6" x14ac:dyDescent="0.25">
      <c r="A53" s="22" t="s">
        <v>158</v>
      </c>
      <c r="B53" s="22" t="s">
        <v>160</v>
      </c>
      <c r="C53" s="22" t="s">
        <v>122</v>
      </c>
      <c r="D53" s="23">
        <v>842248</v>
      </c>
      <c r="E53" s="24">
        <f>VLOOKUP(C53,'IDEA PART B FY15-16'!A:D,4,0)</f>
        <v>842248</v>
      </c>
      <c r="F53" s="25">
        <f t="shared" si="0"/>
        <v>0</v>
      </c>
    </row>
    <row r="54" spans="1:6" x14ac:dyDescent="0.25">
      <c r="A54" s="22" t="s">
        <v>158</v>
      </c>
      <c r="B54" s="22" t="s">
        <v>160</v>
      </c>
      <c r="C54" s="22" t="s">
        <v>124</v>
      </c>
      <c r="D54" s="23">
        <v>675017</v>
      </c>
      <c r="E54" s="24">
        <f>VLOOKUP(C54,'IDEA PART B FY15-16'!A:D,4,0)</f>
        <v>675017</v>
      </c>
      <c r="F54" s="25">
        <f t="shared" si="0"/>
        <v>0</v>
      </c>
    </row>
    <row r="55" spans="1:6" x14ac:dyDescent="0.25">
      <c r="A55" s="22" t="s">
        <v>158</v>
      </c>
      <c r="B55" s="22" t="s">
        <v>160</v>
      </c>
      <c r="C55" s="22" t="s">
        <v>126</v>
      </c>
      <c r="D55" s="23">
        <v>302319</v>
      </c>
      <c r="E55" s="24">
        <f>VLOOKUP(C55,'IDEA PART B FY15-16'!A:D,4,0)</f>
        <v>302319</v>
      </c>
      <c r="F55" s="25">
        <f t="shared" si="0"/>
        <v>0</v>
      </c>
    </row>
    <row r="56" spans="1:6" x14ac:dyDescent="0.25">
      <c r="A56" s="22" t="s">
        <v>158</v>
      </c>
      <c r="B56" s="22" t="s">
        <v>160</v>
      </c>
      <c r="C56" s="22" t="s">
        <v>128</v>
      </c>
      <c r="D56" s="23">
        <v>1339896</v>
      </c>
      <c r="E56" s="24">
        <f>VLOOKUP(C56,'IDEA PART B FY15-16'!A:D,4,0)</f>
        <v>1339896</v>
      </c>
      <c r="F56" s="25">
        <f t="shared" si="0"/>
        <v>0</v>
      </c>
    </row>
    <row r="57" spans="1:6" x14ac:dyDescent="0.25">
      <c r="A57" s="22" t="s">
        <v>158</v>
      </c>
      <c r="B57" s="22" t="s">
        <v>160</v>
      </c>
      <c r="C57" s="22" t="s">
        <v>130</v>
      </c>
      <c r="D57" s="23">
        <v>726832</v>
      </c>
      <c r="E57" s="24">
        <f>VLOOKUP(C57,'IDEA PART B FY15-16'!A:D,4,0)</f>
        <v>726832</v>
      </c>
      <c r="F57" s="25">
        <f t="shared" si="0"/>
        <v>0</v>
      </c>
    </row>
    <row r="58" spans="1:6" x14ac:dyDescent="0.25">
      <c r="A58" s="22" t="s">
        <v>158</v>
      </c>
      <c r="B58" s="22" t="s">
        <v>160</v>
      </c>
      <c r="C58" s="22" t="s">
        <v>132</v>
      </c>
      <c r="D58" s="23">
        <v>216926</v>
      </c>
      <c r="E58" s="24">
        <f>VLOOKUP(C58,'IDEA PART B FY15-16'!A:D,4,0)</f>
        <v>216926</v>
      </c>
      <c r="F58" s="25">
        <f t="shared" si="0"/>
        <v>0</v>
      </c>
    </row>
    <row r="59" spans="1:6" x14ac:dyDescent="0.25">
      <c r="A59" s="22" t="s">
        <v>158</v>
      </c>
      <c r="B59" s="22" t="s">
        <v>160</v>
      </c>
      <c r="C59" s="22" t="s">
        <v>134</v>
      </c>
      <c r="D59" s="23">
        <v>103341</v>
      </c>
      <c r="E59" s="24">
        <f>VLOOKUP(C59,'IDEA PART B FY15-16'!A:D,4,0)</f>
        <v>141822</v>
      </c>
      <c r="F59" s="25">
        <f t="shared" si="0"/>
        <v>38481</v>
      </c>
    </row>
    <row r="60" spans="1:6" x14ac:dyDescent="0.25">
      <c r="A60" s="22" t="s">
        <v>158</v>
      </c>
      <c r="B60" s="22" t="s">
        <v>160</v>
      </c>
      <c r="C60" s="22" t="s">
        <v>136</v>
      </c>
      <c r="D60" s="23">
        <v>14476</v>
      </c>
      <c r="E60" s="24">
        <f>VLOOKUP(C60,'IDEA PART B FY15-16'!A:D,4,0)</f>
        <v>14476</v>
      </c>
      <c r="F60" s="25">
        <f t="shared" si="0"/>
        <v>0</v>
      </c>
    </row>
    <row r="61" spans="1:6" x14ac:dyDescent="0.25">
      <c r="A61" s="22" t="s">
        <v>158</v>
      </c>
      <c r="B61" s="22" t="s">
        <v>160</v>
      </c>
      <c r="C61" s="22" t="s">
        <v>138</v>
      </c>
      <c r="D61" s="23">
        <v>11027</v>
      </c>
      <c r="E61" s="24">
        <f>VLOOKUP(C61,'IDEA PART B FY15-16'!A:D,4,0)</f>
        <v>11027</v>
      </c>
      <c r="F61" s="25">
        <f t="shared" si="0"/>
        <v>0</v>
      </c>
    </row>
    <row r="62" spans="1:6" x14ac:dyDescent="0.25">
      <c r="A62" s="22" t="s">
        <v>158</v>
      </c>
      <c r="B62" s="22" t="s">
        <v>160</v>
      </c>
      <c r="C62" s="22" t="s">
        <v>140</v>
      </c>
      <c r="D62" s="23">
        <v>107289</v>
      </c>
      <c r="E62" s="24">
        <f>VLOOKUP(C62,'IDEA PART B FY15-16'!A:D,4,0)</f>
        <v>107289</v>
      </c>
      <c r="F62" s="25">
        <f t="shared" si="0"/>
        <v>0</v>
      </c>
    </row>
    <row r="63" spans="1:6" x14ac:dyDescent="0.25">
      <c r="A63" s="22" t="s">
        <v>158</v>
      </c>
      <c r="B63" s="22" t="s">
        <v>160</v>
      </c>
      <c r="C63" s="22" t="s">
        <v>142</v>
      </c>
      <c r="D63" s="23">
        <v>1590150</v>
      </c>
      <c r="E63" s="24">
        <f>VLOOKUP(C63,'IDEA PART B FY15-16'!A:D,4,0)</f>
        <v>1590150</v>
      </c>
      <c r="F63" s="25">
        <f t="shared" si="0"/>
        <v>0</v>
      </c>
    </row>
    <row r="64" spans="1:6" x14ac:dyDescent="0.25">
      <c r="A64" s="23" t="s">
        <v>150</v>
      </c>
      <c r="B64" s="23" t="s">
        <v>150</v>
      </c>
      <c r="C64" s="23" t="s">
        <v>150</v>
      </c>
      <c r="D64" s="23">
        <f>SUM(D2:D63)</f>
        <v>136374717</v>
      </c>
      <c r="E64" s="23">
        <f>SUM(E2:E63)</f>
        <v>137179457</v>
      </c>
      <c r="F64" s="25">
        <f t="shared" ref="F64" si="1">+E64-D64</f>
        <v>804740</v>
      </c>
    </row>
    <row r="65" spans="1:6" x14ac:dyDescent="0.25">
      <c r="A65" s="23"/>
      <c r="B65" s="23"/>
      <c r="C65" s="23"/>
      <c r="D65" s="26"/>
      <c r="E65" s="23"/>
      <c r="F65" s="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IDEA PART B FY15-16</vt:lpstr>
      <vt:lpstr>Recon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Gines, Kristen</dc:creator>
  <cp:lastModifiedBy>Hambleton, Jennifer</cp:lastModifiedBy>
  <dcterms:created xsi:type="dcterms:W3CDTF">2016-05-13T20:46:27Z</dcterms:created>
  <dcterms:modified xsi:type="dcterms:W3CDTF">2017-11-17T18:30:09Z</dcterms:modified>
</cp:coreProperties>
</file>