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ESSA-NCLB-ESSER Distributions\"/>
    </mc:Choice>
  </mc:AlternateContent>
  <xr:revisionPtr revIDLastSave="0" documentId="13_ncr:1_{7CD99F8F-53A7-4D5F-9A13-E7D95F132315}" xr6:coauthVersionLast="47" xr6:coauthVersionMax="47" xr10:uidLastSave="{00000000-0000-0000-0000-000000000000}"/>
  <workbookProtection workbookAlgorithmName="SHA-512" workbookHashValue="+Zfrtwvng7qd+Klw/JSRK0Y3tCYGOoo2uvzESszhrjai5ZAA70/aTThEwNXEiv/uroUGUT3I7QA6vWFk3ZRCHQ==" workbookSaltValue="m9ZyYzZfubcy2SL17PLNWw==" workbookSpinCount="100000" lockStructure="1"/>
  <bookViews>
    <workbookView xWindow="-120" yWindow="-120" windowWidth="29040" windowHeight="15840" firstSheet="2" activeTab="7" xr2:uid="{00000000-000D-0000-FFFF-FFFF00000000}"/>
  </bookViews>
  <sheets>
    <sheet name="SUMMARY OF FORMULA GRANT" sheetId="7" r:id="rId1"/>
    <sheet name="ESSA Title I-A Formula" sheetId="1" r:id="rId2"/>
    <sheet name="ESSA Title I-Delinquent" sheetId="10" r:id="rId3"/>
    <sheet name="StateAgenciesTitle I-Delinquent" sheetId="11" r:id="rId4"/>
    <sheet name="ESSA Title II-A Formula" sheetId="21" r:id="rId5"/>
    <sheet name="ESSA Title III-ELL " sheetId="22" r:id="rId6"/>
    <sheet name="ESSA Title III SAI" sheetId="4" r:id="rId7"/>
    <sheet name="ESSA Title IV" sheetId="24" r:id="rId8"/>
    <sheet name="ESSA Title V-B" sheetId="18" r:id="rId9"/>
    <sheet name="NCLB Allocations" sheetId="17" state="hidden" r:id="rId10"/>
  </sheets>
  <externalReferences>
    <externalReference r:id="rId11"/>
  </externalReferences>
  <definedNames>
    <definedName name="_xlnm._FilterDatabase" localSheetId="1" hidden="1">'ESSA Title I-A Formula'!$A$11:$G$194</definedName>
    <definedName name="_xlnm._FilterDatabase" localSheetId="4" hidden="1">'ESSA Title II-A Formula'!$A$11:$AR$194</definedName>
    <definedName name="_xlnm._FilterDatabase" localSheetId="6" hidden="1">'ESSA Title III SAI'!$A$11:$AM$33</definedName>
    <definedName name="_xlnm._FilterDatabase" localSheetId="5" hidden="1">'ESSA Title III-ELL '!$A$11:$BC$196</definedName>
    <definedName name="_xlnm._FilterDatabase" localSheetId="7" hidden="1">'ESSA Title IV'!$A$11:$AM$194</definedName>
    <definedName name="_xlnm._FilterDatabase" localSheetId="8" hidden="1">'ESSA Title V-B'!$C$12:$C$29</definedName>
    <definedName name="_xlnm._FilterDatabase" localSheetId="0" hidden="1">'SUMMARY OF FORMULA GRANT'!$A$3:$J$192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18" l="1"/>
  <c r="V196" i="24"/>
  <c r="V24" i="21"/>
  <c r="V149" i="1"/>
  <c r="U153" i="21"/>
  <c r="U196" i="21"/>
  <c r="U128" i="21"/>
  <c r="U104" i="21"/>
  <c r="U128" i="22"/>
  <c r="U128" i="1"/>
  <c r="U104" i="1"/>
  <c r="F33" i="1"/>
  <c r="U28" i="1"/>
  <c r="U128" i="24"/>
  <c r="U196" i="24"/>
  <c r="T122" i="1"/>
  <c r="T22" i="18"/>
  <c r="T122" i="21"/>
  <c r="T13" i="18"/>
  <c r="T196" i="24"/>
  <c r="T28" i="21"/>
  <c r="S182" i="1"/>
  <c r="S156" i="22"/>
  <c r="E27" i="22"/>
  <c r="E191" i="22"/>
  <c r="S13" i="24"/>
  <c r="S12" i="24"/>
  <c r="S196" i="24" s="1"/>
  <c r="S89" i="24"/>
  <c r="S12" i="10"/>
  <c r="S162" i="22"/>
  <c r="S51" i="22"/>
  <c r="S13" i="22"/>
  <c r="S51" i="21"/>
  <c r="S13" i="21"/>
  <c r="S149" i="1"/>
  <c r="S51" i="1"/>
  <c r="S13" i="1"/>
  <c r="S29" i="4"/>
  <c r="S145" i="24"/>
  <c r="S98" i="24"/>
  <c r="S37" i="24"/>
  <c r="S33" i="24"/>
  <c r="S31" i="24"/>
  <c r="S149" i="21" l="1"/>
  <c r="S145" i="21"/>
  <c r="S136" i="21"/>
  <c r="S98" i="21"/>
  <c r="S86" i="21"/>
  <c r="S36" i="21"/>
  <c r="S22" i="21"/>
  <c r="S20" i="21"/>
  <c r="S149" i="22"/>
  <c r="S98" i="22"/>
  <c r="S37" i="22"/>
  <c r="S145" i="1"/>
  <c r="S136" i="1"/>
  <c r="S105" i="1"/>
  <c r="S98" i="1"/>
  <c r="S86" i="1"/>
  <c r="S22" i="1"/>
  <c r="R196" i="24"/>
  <c r="R39" i="24"/>
  <c r="R89" i="22"/>
  <c r="R178" i="21" l="1"/>
  <c r="R89" i="21"/>
  <c r="R178" i="1"/>
  <c r="R89" i="1"/>
  <c r="R39" i="1"/>
  <c r="R27" i="1"/>
  <c r="R13" i="1"/>
  <c r="O45" i="1"/>
  <c r="Q190" i="1"/>
  <c r="Q12" i="10"/>
  <c r="Q196" i="24"/>
  <c r="Q20" i="24"/>
  <c r="Q51" i="21"/>
  <c r="Q28" i="21"/>
  <c r="Q26" i="21"/>
  <c r="Q181" i="22"/>
  <c r="Q51" i="22"/>
  <c r="Q37" i="22"/>
  <c r="Q51" i="1"/>
  <c r="Q37" i="1"/>
  <c r="Q26" i="1"/>
  <c r="P145" i="24"/>
  <c r="P97" i="22"/>
  <c r="P145" i="21"/>
  <c r="P97" i="21"/>
  <c r="P145" i="1"/>
  <c r="P97" i="1"/>
  <c r="P86" i="1"/>
  <c r="O190" i="22"/>
  <c r="O190" i="1"/>
  <c r="O181" i="1"/>
  <c r="O178" i="1"/>
  <c r="O97" i="1"/>
  <c r="O39" i="1"/>
  <c r="O24" i="1"/>
  <c r="O12" i="1"/>
  <c r="O181" i="21"/>
  <c r="O97" i="21"/>
  <c r="O13" i="21"/>
  <c r="O12" i="21"/>
  <c r="O101" i="22"/>
  <c r="O97" i="22"/>
  <c r="O12" i="22"/>
  <c r="N45" i="1"/>
  <c r="N26" i="21"/>
  <c r="N26" i="22"/>
  <c r="N42" i="1"/>
  <c r="M24" i="22"/>
  <c r="M107" i="1"/>
  <c r="M43" i="1"/>
  <c r="L139" i="21" l="1"/>
  <c r="L63" i="21"/>
  <c r="L63" i="1"/>
  <c r="F17" i="18"/>
  <c r="E17" i="18"/>
  <c r="H186" i="7"/>
  <c r="H169" i="7"/>
  <c r="H52" i="7"/>
  <c r="H11" i="7"/>
  <c r="E194" i="24"/>
  <c r="E169" i="24"/>
  <c r="G17" i="18" l="1"/>
  <c r="J38" i="7" s="1"/>
  <c r="F33" i="4"/>
  <c r="C35" i="4"/>
  <c r="E33" i="4"/>
  <c r="G33" i="4" s="1"/>
  <c r="E32" i="4"/>
  <c r="E31" i="4"/>
  <c r="E195" i="22"/>
  <c r="E162" i="22"/>
  <c r="E30" i="4" l="1"/>
  <c r="E29" i="4"/>
  <c r="E26" i="4"/>
  <c r="G25" i="4"/>
  <c r="E24" i="4"/>
  <c r="E23" i="4"/>
  <c r="E22" i="4"/>
  <c r="E21" i="4"/>
  <c r="E19" i="4"/>
  <c r="E18" i="4"/>
  <c r="E16" i="4"/>
  <c r="E15" i="4"/>
  <c r="E14" i="4"/>
  <c r="E13" i="4"/>
  <c r="F20" i="4"/>
  <c r="G20" i="4" s="1"/>
  <c r="F18" i="4"/>
  <c r="F25" i="4"/>
  <c r="G18" i="4" l="1"/>
  <c r="H91" i="7" s="1"/>
  <c r="E14" i="10"/>
  <c r="F16" i="10"/>
  <c r="E16" i="10"/>
  <c r="G16" i="10" s="1"/>
  <c r="D70" i="7" s="1"/>
  <c r="P196" i="24" l="1"/>
  <c r="E192" i="22" l="1"/>
  <c r="O196" i="24" l="1"/>
  <c r="N196" i="24" l="1"/>
  <c r="F15" i="4"/>
  <c r="G15" i="4" s="1"/>
  <c r="M196" i="24" l="1"/>
  <c r="L196" i="24" l="1"/>
  <c r="O35" i="4" l="1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F32" i="4"/>
  <c r="G32" i="4" s="1"/>
  <c r="D81" i="7"/>
  <c r="K196" i="24"/>
  <c r="C196" i="1" l="1"/>
  <c r="E194" i="1"/>
  <c r="E193" i="1"/>
  <c r="E192" i="1"/>
  <c r="E191" i="1"/>
  <c r="E190" i="1"/>
  <c r="E187" i="1"/>
  <c r="E186" i="1"/>
  <c r="E184" i="1"/>
  <c r="E182" i="1"/>
  <c r="E181" i="1"/>
  <c r="E179" i="1"/>
  <c r="E178" i="1"/>
  <c r="E177" i="1"/>
  <c r="E176" i="1"/>
  <c r="E175" i="1"/>
  <c r="E169" i="1"/>
  <c r="E168" i="1"/>
  <c r="E167" i="1"/>
  <c r="E166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34" i="1"/>
  <c r="E133" i="1"/>
  <c r="E132" i="1"/>
  <c r="E131" i="1"/>
  <c r="E128" i="1"/>
  <c r="E126" i="1"/>
  <c r="E125" i="1"/>
  <c r="E124" i="1"/>
  <c r="E123" i="1"/>
  <c r="E122" i="1"/>
  <c r="E121" i="1"/>
  <c r="E120" i="1"/>
  <c r="E119" i="1"/>
  <c r="E118" i="1"/>
  <c r="E117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G33" i="1" s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C196" i="21"/>
  <c r="E194" i="21"/>
  <c r="E193" i="21"/>
  <c r="E192" i="21"/>
  <c r="E191" i="21"/>
  <c r="E190" i="21"/>
  <c r="E187" i="21"/>
  <c r="E186" i="21"/>
  <c r="E182" i="21"/>
  <c r="E181" i="21"/>
  <c r="E179" i="21"/>
  <c r="E178" i="21"/>
  <c r="E177" i="21"/>
  <c r="E176" i="21"/>
  <c r="E175" i="21"/>
  <c r="E169" i="21"/>
  <c r="E168" i="21"/>
  <c r="E167" i="21"/>
  <c r="E166" i="21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49" i="21"/>
  <c r="E148" i="21"/>
  <c r="E147" i="21"/>
  <c r="E146" i="21"/>
  <c r="E145" i="21"/>
  <c r="E144" i="21"/>
  <c r="E143" i="21"/>
  <c r="E141" i="21"/>
  <c r="E140" i="21"/>
  <c r="E139" i="21"/>
  <c r="E138" i="21"/>
  <c r="E137" i="21"/>
  <c r="E136" i="21"/>
  <c r="E135" i="21"/>
  <c r="E134" i="21"/>
  <c r="E133" i="21"/>
  <c r="E132" i="21"/>
  <c r="E131" i="21"/>
  <c r="E128" i="21"/>
  <c r="E126" i="21"/>
  <c r="E125" i="21"/>
  <c r="E124" i="21"/>
  <c r="E123" i="21"/>
  <c r="E122" i="21"/>
  <c r="E121" i="21"/>
  <c r="E120" i="21"/>
  <c r="E119" i="21"/>
  <c r="E118" i="21"/>
  <c r="E117" i="21"/>
  <c r="E115" i="21"/>
  <c r="E109" i="21"/>
  <c r="E108" i="21"/>
  <c r="E107" i="21"/>
  <c r="E106" i="21"/>
  <c r="E105" i="21"/>
  <c r="E104" i="21"/>
  <c r="E103" i="21"/>
  <c r="E102" i="21"/>
  <c r="E101" i="21"/>
  <c r="E100" i="21"/>
  <c r="E99" i="21"/>
  <c r="E98" i="21"/>
  <c r="E97" i="21"/>
  <c r="E91" i="21"/>
  <c r="E90" i="21"/>
  <c r="E89" i="21"/>
  <c r="E88" i="21"/>
  <c r="E87" i="21"/>
  <c r="E86" i="21"/>
  <c r="E85" i="21"/>
  <c r="E84" i="21"/>
  <c r="E83" i="21"/>
  <c r="E82" i="21"/>
  <c r="E81" i="21"/>
  <c r="E80" i="21"/>
  <c r="E79" i="21"/>
  <c r="E78" i="21"/>
  <c r="E77" i="21"/>
  <c r="E76" i="21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8" i="21"/>
  <c r="E57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6" i="21"/>
  <c r="E24" i="21"/>
  <c r="E23" i="21"/>
  <c r="E22" i="21"/>
  <c r="E21" i="21"/>
  <c r="E20" i="21"/>
  <c r="E19" i="21"/>
  <c r="E18" i="21"/>
  <c r="E15" i="21"/>
  <c r="E14" i="21"/>
  <c r="E13" i="21"/>
  <c r="E12" i="21"/>
  <c r="C31" i="18"/>
  <c r="E27" i="18"/>
  <c r="E26" i="18"/>
  <c r="E25" i="18"/>
  <c r="E24" i="18"/>
  <c r="E23" i="18"/>
  <c r="E22" i="18"/>
  <c r="E21" i="18"/>
  <c r="E20" i="18"/>
  <c r="E19" i="18"/>
  <c r="E18" i="18"/>
  <c r="E16" i="18"/>
  <c r="E15" i="18"/>
  <c r="E14" i="18"/>
  <c r="E13" i="18"/>
  <c r="E12" i="18"/>
  <c r="C196" i="24"/>
  <c r="E193" i="24"/>
  <c r="E192" i="24"/>
  <c r="E191" i="24"/>
  <c r="E190" i="24"/>
  <c r="E187" i="24"/>
  <c r="E186" i="24"/>
  <c r="E182" i="24"/>
  <c r="E181" i="24"/>
  <c r="E179" i="24"/>
  <c r="E178" i="24"/>
  <c r="E177" i="24"/>
  <c r="E176" i="24"/>
  <c r="E175" i="24"/>
  <c r="E168" i="24"/>
  <c r="E167" i="24"/>
  <c r="E166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1" i="24"/>
  <c r="E140" i="24"/>
  <c r="E139" i="24"/>
  <c r="E138" i="24"/>
  <c r="E137" i="24"/>
  <c r="E136" i="24"/>
  <c r="E135" i="24"/>
  <c r="E134" i="24"/>
  <c r="E133" i="24"/>
  <c r="E132" i="24"/>
  <c r="E131" i="24"/>
  <c r="E128" i="24"/>
  <c r="E126" i="24"/>
  <c r="E125" i="24"/>
  <c r="E124" i="24"/>
  <c r="E123" i="24"/>
  <c r="E122" i="24"/>
  <c r="E121" i="24"/>
  <c r="E120" i="24"/>
  <c r="E119" i="24"/>
  <c r="E118" i="24"/>
  <c r="E117" i="24"/>
  <c r="E109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8" i="24"/>
  <c r="E57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4" i="24"/>
  <c r="E23" i="24"/>
  <c r="E22" i="24"/>
  <c r="E21" i="24"/>
  <c r="E20" i="24"/>
  <c r="E19" i="24"/>
  <c r="E18" i="24"/>
  <c r="E15" i="24"/>
  <c r="E14" i="24"/>
  <c r="E13" i="24"/>
  <c r="E12" i="24"/>
  <c r="H185" i="7"/>
  <c r="E12" i="4"/>
  <c r="E35" i="4" s="1"/>
  <c r="C198" i="22"/>
  <c r="E196" i="22"/>
  <c r="E194" i="22"/>
  <c r="E193" i="22"/>
  <c r="E190" i="22"/>
  <c r="E186" i="22"/>
  <c r="E181" i="22"/>
  <c r="E179" i="22"/>
  <c r="E178" i="22"/>
  <c r="E176" i="22"/>
  <c r="E166" i="22"/>
  <c r="E160" i="22"/>
  <c r="E156" i="22"/>
  <c r="E149" i="22"/>
  <c r="E148" i="22"/>
  <c r="E128" i="22"/>
  <c r="E125" i="22"/>
  <c r="E121" i="22"/>
  <c r="E119" i="22"/>
  <c r="E103" i="22"/>
  <c r="E102" i="22"/>
  <c r="E101" i="22"/>
  <c r="E98" i="22"/>
  <c r="E97" i="22"/>
  <c r="E89" i="22"/>
  <c r="E84" i="22"/>
  <c r="E80" i="22"/>
  <c r="E79" i="22"/>
  <c r="E78" i="22"/>
  <c r="E72" i="22"/>
  <c r="E71" i="22"/>
  <c r="E67" i="22"/>
  <c r="E65" i="22"/>
  <c r="E64" i="22"/>
  <c r="E63" i="22"/>
  <c r="E62" i="22"/>
  <c r="E61" i="22"/>
  <c r="E54" i="22"/>
  <c r="E53" i="22"/>
  <c r="E51" i="22"/>
  <c r="E50" i="22"/>
  <c r="E37" i="22"/>
  <c r="E36" i="22"/>
  <c r="E26" i="22"/>
  <c r="E24" i="22"/>
  <c r="E23" i="22"/>
  <c r="E22" i="22"/>
  <c r="E21" i="22"/>
  <c r="E19" i="22"/>
  <c r="E18" i="22"/>
  <c r="E15" i="22"/>
  <c r="E14" i="22"/>
  <c r="E13" i="22"/>
  <c r="E12" i="22"/>
  <c r="C14" i="11"/>
  <c r="E12" i="11"/>
  <c r="E14" i="11" s="1"/>
  <c r="C4" i="11"/>
  <c r="E196" i="24" l="1"/>
  <c r="E31" i="18"/>
  <c r="E198" i="22"/>
  <c r="E196" i="21"/>
  <c r="E196" i="1"/>
  <c r="F13" i="18"/>
  <c r="G13" i="18" s="1"/>
  <c r="F14" i="18"/>
  <c r="G14" i="18" s="1"/>
  <c r="F15" i="18"/>
  <c r="G15" i="18" s="1"/>
  <c r="J35" i="7" s="1"/>
  <c r="F16" i="18"/>
  <c r="F18" i="18"/>
  <c r="G18" i="18" s="1"/>
  <c r="F19" i="18"/>
  <c r="G19" i="18" s="1"/>
  <c r="F20" i="18"/>
  <c r="G20" i="18" s="1"/>
  <c r="F21" i="18"/>
  <c r="G21" i="18" s="1"/>
  <c r="F22" i="18"/>
  <c r="G22" i="18" s="1"/>
  <c r="F23" i="18"/>
  <c r="G23" i="18" s="1"/>
  <c r="F24" i="18"/>
  <c r="F25" i="18"/>
  <c r="G25" i="18" s="1"/>
  <c r="F26" i="18"/>
  <c r="G26" i="18" s="1"/>
  <c r="F27" i="18"/>
  <c r="G27" i="18" s="1"/>
  <c r="F12" i="18"/>
  <c r="G12" i="18" s="1"/>
  <c r="G16" i="18" l="1"/>
  <c r="G24" i="18"/>
  <c r="F14" i="10" l="1"/>
  <c r="G14" i="10" s="1"/>
  <c r="D57" i="7" s="1"/>
  <c r="F29" i="4" l="1"/>
  <c r="F27" i="4"/>
  <c r="G27" i="4" s="1"/>
  <c r="F21" i="4"/>
  <c r="G21" i="4" s="1"/>
  <c r="H124" i="7" s="1"/>
  <c r="F23" i="4"/>
  <c r="G23" i="4" s="1"/>
  <c r="H141" i="7" s="1"/>
  <c r="G29" i="4" l="1"/>
  <c r="H178" i="7" s="1"/>
  <c r="H71" i="7"/>
  <c r="P198" i="22" l="1"/>
  <c r="F30" i="4" l="1"/>
  <c r="G30" i="4" s="1"/>
  <c r="G192" i="7" l="1"/>
  <c r="H179" i="7" l="1"/>
  <c r="E12" i="10" l="1"/>
  <c r="E13" i="10"/>
  <c r="E15" i="10"/>
  <c r="E17" i="10"/>
  <c r="E18" i="10"/>
  <c r="E19" i="10"/>
  <c r="U31" i="18" l="1"/>
  <c r="F26" i="4" l="1"/>
  <c r="G26" i="4" s="1"/>
  <c r="F19" i="10"/>
  <c r="S196" i="1" l="1"/>
  <c r="C25" i="7" l="1"/>
  <c r="C8" i="7"/>
  <c r="R31" i="18" l="1"/>
  <c r="Q31" i="18"/>
  <c r="Q196" i="21" l="1"/>
  <c r="F12" i="22" l="1"/>
  <c r="AM31" i="18" l="1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T31" i="18"/>
  <c r="S31" i="18"/>
  <c r="P31" i="18"/>
  <c r="O31" i="18"/>
  <c r="M31" i="18"/>
  <c r="L31" i="18"/>
  <c r="K31" i="18"/>
  <c r="J31" i="18"/>
  <c r="I31" i="18"/>
  <c r="H31" i="18"/>
  <c r="J152" i="7"/>
  <c r="J145" i="7"/>
  <c r="J137" i="7"/>
  <c r="J124" i="7"/>
  <c r="J123" i="7"/>
  <c r="J114" i="7"/>
  <c r="J96" i="7"/>
  <c r="J78" i="7"/>
  <c r="J67" i="7"/>
  <c r="J42" i="7"/>
  <c r="J37" i="7"/>
  <c r="J26" i="7"/>
  <c r="J20" i="7"/>
  <c r="F193" i="24"/>
  <c r="G193" i="24" s="1"/>
  <c r="I185" i="7" s="1"/>
  <c r="F192" i="24"/>
  <c r="G192" i="24" s="1"/>
  <c r="I184" i="7" s="1"/>
  <c r="F191" i="24"/>
  <c r="G191" i="24" s="1"/>
  <c r="I183" i="7" s="1"/>
  <c r="F190" i="24"/>
  <c r="G190" i="24" s="1"/>
  <c r="I182" i="7" s="1"/>
  <c r="F189" i="24"/>
  <c r="G189" i="24" s="1"/>
  <c r="I181" i="7" s="1"/>
  <c r="F188" i="24"/>
  <c r="G188" i="24" s="1"/>
  <c r="I180" i="7" s="1"/>
  <c r="F187" i="24"/>
  <c r="G187" i="24" s="1"/>
  <c r="I179" i="7" s="1"/>
  <c r="F186" i="24"/>
  <c r="G186" i="24" s="1"/>
  <c r="I178" i="7" s="1"/>
  <c r="F185" i="24"/>
  <c r="G185" i="24" s="1"/>
  <c r="I177" i="7" s="1"/>
  <c r="F184" i="24"/>
  <c r="G184" i="24" s="1"/>
  <c r="I176" i="7" s="1"/>
  <c r="F183" i="24"/>
  <c r="G183" i="24" s="1"/>
  <c r="I175" i="7" s="1"/>
  <c r="F182" i="24"/>
  <c r="G182" i="24" s="1"/>
  <c r="I174" i="7" s="1"/>
  <c r="F181" i="24"/>
  <c r="G181" i="24" s="1"/>
  <c r="I173" i="7" s="1"/>
  <c r="F180" i="24"/>
  <c r="G180" i="24" s="1"/>
  <c r="I172" i="7" s="1"/>
  <c r="F179" i="24"/>
  <c r="G179" i="24" s="1"/>
  <c r="I171" i="7" s="1"/>
  <c r="F178" i="24"/>
  <c r="G178" i="24" s="1"/>
  <c r="I170" i="7" s="1"/>
  <c r="F177" i="24"/>
  <c r="G177" i="24" s="1"/>
  <c r="I169" i="7" s="1"/>
  <c r="F176" i="24"/>
  <c r="G176" i="24" s="1"/>
  <c r="I168" i="7" s="1"/>
  <c r="F175" i="24"/>
  <c r="G175" i="24" s="1"/>
  <c r="I167" i="7" s="1"/>
  <c r="F174" i="24"/>
  <c r="G174" i="24" s="1"/>
  <c r="I166" i="7" s="1"/>
  <c r="F173" i="24"/>
  <c r="G173" i="24" s="1"/>
  <c r="I165" i="7" s="1"/>
  <c r="F172" i="24"/>
  <c r="G172" i="24" s="1"/>
  <c r="I164" i="7" s="1"/>
  <c r="F171" i="24"/>
  <c r="G171" i="24" s="1"/>
  <c r="I163" i="7" s="1"/>
  <c r="F170" i="24"/>
  <c r="G170" i="24" s="1"/>
  <c r="I162" i="7" s="1"/>
  <c r="F169" i="24"/>
  <c r="G169" i="24" s="1"/>
  <c r="I161" i="7" s="1"/>
  <c r="F168" i="24"/>
  <c r="G168" i="24" s="1"/>
  <c r="I160" i="7" s="1"/>
  <c r="F167" i="24"/>
  <c r="G167" i="24" s="1"/>
  <c r="I159" i="7" s="1"/>
  <c r="F166" i="24"/>
  <c r="G166" i="24" s="1"/>
  <c r="I158" i="7" s="1"/>
  <c r="F165" i="24"/>
  <c r="G165" i="24" s="1"/>
  <c r="I157" i="7" s="1"/>
  <c r="F164" i="24"/>
  <c r="G164" i="24" s="1"/>
  <c r="I156" i="7" s="1"/>
  <c r="F163" i="24"/>
  <c r="G163" i="24" s="1"/>
  <c r="I155" i="7" s="1"/>
  <c r="F162" i="24"/>
  <c r="G162" i="24" s="1"/>
  <c r="I154" i="7" s="1"/>
  <c r="F161" i="24"/>
  <c r="G161" i="24" s="1"/>
  <c r="I153" i="7" s="1"/>
  <c r="F160" i="24"/>
  <c r="G160" i="24" s="1"/>
  <c r="I152" i="7" s="1"/>
  <c r="F159" i="24"/>
  <c r="G159" i="24" s="1"/>
  <c r="I151" i="7" s="1"/>
  <c r="F158" i="24"/>
  <c r="G158" i="24" s="1"/>
  <c r="I150" i="7" s="1"/>
  <c r="F157" i="24"/>
  <c r="G157" i="24" s="1"/>
  <c r="I149" i="7" s="1"/>
  <c r="F156" i="24"/>
  <c r="G156" i="24" s="1"/>
  <c r="I148" i="7" s="1"/>
  <c r="F155" i="24"/>
  <c r="G155" i="24" s="1"/>
  <c r="I147" i="7" s="1"/>
  <c r="F154" i="24"/>
  <c r="G154" i="24" s="1"/>
  <c r="I146" i="7" s="1"/>
  <c r="F153" i="24"/>
  <c r="G153" i="24" s="1"/>
  <c r="I145" i="7" s="1"/>
  <c r="F152" i="24"/>
  <c r="G152" i="24" s="1"/>
  <c r="I144" i="7" s="1"/>
  <c r="F151" i="24"/>
  <c r="G151" i="24" s="1"/>
  <c r="I143" i="7" s="1"/>
  <c r="F150" i="24"/>
  <c r="G150" i="24" s="1"/>
  <c r="I142" i="7" s="1"/>
  <c r="F149" i="24"/>
  <c r="G149" i="24" s="1"/>
  <c r="I141" i="7" s="1"/>
  <c r="F148" i="24"/>
  <c r="G148" i="24" s="1"/>
  <c r="I140" i="7" s="1"/>
  <c r="F147" i="24"/>
  <c r="G147" i="24" s="1"/>
  <c r="I139" i="7" s="1"/>
  <c r="F146" i="24"/>
  <c r="G146" i="24" s="1"/>
  <c r="I138" i="7" s="1"/>
  <c r="F145" i="24"/>
  <c r="G145" i="24" s="1"/>
  <c r="I137" i="7" s="1"/>
  <c r="F144" i="24"/>
  <c r="G144" i="24" s="1"/>
  <c r="I136" i="7" s="1"/>
  <c r="F143" i="24"/>
  <c r="G143" i="24" s="1"/>
  <c r="I135" i="7" s="1"/>
  <c r="F142" i="24"/>
  <c r="G142" i="24" s="1"/>
  <c r="I134" i="7" s="1"/>
  <c r="F141" i="24"/>
  <c r="G141" i="24" s="1"/>
  <c r="I133" i="7" s="1"/>
  <c r="F140" i="24"/>
  <c r="G140" i="24" s="1"/>
  <c r="I132" i="7" s="1"/>
  <c r="F139" i="24"/>
  <c r="G139" i="24" s="1"/>
  <c r="I131" i="7" s="1"/>
  <c r="F138" i="24"/>
  <c r="G138" i="24" s="1"/>
  <c r="I130" i="7" s="1"/>
  <c r="F137" i="24"/>
  <c r="G137" i="24" s="1"/>
  <c r="I129" i="7" s="1"/>
  <c r="F136" i="24"/>
  <c r="G136" i="24" s="1"/>
  <c r="F135" i="24"/>
  <c r="G135" i="24" s="1"/>
  <c r="F134" i="24"/>
  <c r="G134" i="24" s="1"/>
  <c r="I126" i="7" s="1"/>
  <c r="F133" i="24"/>
  <c r="G133" i="24" s="1"/>
  <c r="I125" i="7" s="1"/>
  <c r="F132" i="24"/>
  <c r="G132" i="24" s="1"/>
  <c r="I124" i="7" s="1"/>
  <c r="F131" i="24"/>
  <c r="G131" i="24" s="1"/>
  <c r="I123" i="7" s="1"/>
  <c r="F130" i="24"/>
  <c r="G130" i="24" s="1"/>
  <c r="I122" i="7" s="1"/>
  <c r="F129" i="24"/>
  <c r="G129" i="24" s="1"/>
  <c r="I121" i="7" s="1"/>
  <c r="F128" i="24"/>
  <c r="G128" i="24" s="1"/>
  <c r="I120" i="7" s="1"/>
  <c r="F127" i="24"/>
  <c r="G127" i="24" s="1"/>
  <c r="I119" i="7" s="1"/>
  <c r="F126" i="24"/>
  <c r="G126" i="24" s="1"/>
  <c r="I118" i="7" s="1"/>
  <c r="F125" i="24"/>
  <c r="G125" i="24" s="1"/>
  <c r="I117" i="7" s="1"/>
  <c r="F124" i="24"/>
  <c r="G124" i="24" s="1"/>
  <c r="I116" i="7" s="1"/>
  <c r="F123" i="24"/>
  <c r="G123" i="24" s="1"/>
  <c r="I115" i="7" s="1"/>
  <c r="F122" i="24"/>
  <c r="G122" i="24" s="1"/>
  <c r="I114" i="7" s="1"/>
  <c r="F121" i="24"/>
  <c r="G121" i="24" s="1"/>
  <c r="I113" i="7" s="1"/>
  <c r="F120" i="24"/>
  <c r="G120" i="24" s="1"/>
  <c r="I112" i="7" s="1"/>
  <c r="F119" i="24"/>
  <c r="G119" i="24" s="1"/>
  <c r="I111" i="7" s="1"/>
  <c r="F118" i="24"/>
  <c r="G118" i="24" s="1"/>
  <c r="I110" i="7" s="1"/>
  <c r="F117" i="24"/>
  <c r="G117" i="24" s="1"/>
  <c r="I109" i="7" s="1"/>
  <c r="F116" i="24"/>
  <c r="G116" i="24" s="1"/>
  <c r="I108" i="7" s="1"/>
  <c r="F115" i="24"/>
  <c r="G115" i="24" s="1"/>
  <c r="I107" i="7" s="1"/>
  <c r="F114" i="24"/>
  <c r="G114" i="24" s="1"/>
  <c r="I106" i="7" s="1"/>
  <c r="F113" i="24"/>
  <c r="G113" i="24" s="1"/>
  <c r="I105" i="7" s="1"/>
  <c r="F112" i="24"/>
  <c r="G112" i="24" s="1"/>
  <c r="I104" i="7" s="1"/>
  <c r="F111" i="24"/>
  <c r="G111" i="24" s="1"/>
  <c r="I103" i="7" s="1"/>
  <c r="F110" i="24"/>
  <c r="G110" i="24" s="1"/>
  <c r="I102" i="7" s="1"/>
  <c r="F109" i="24"/>
  <c r="G109" i="24" s="1"/>
  <c r="I101" i="7" s="1"/>
  <c r="F107" i="24"/>
  <c r="G107" i="24" s="1"/>
  <c r="I99" i="7" s="1"/>
  <c r="F106" i="24"/>
  <c r="G106" i="24" s="1"/>
  <c r="I98" i="7" s="1"/>
  <c r="F105" i="24"/>
  <c r="G105" i="24" s="1"/>
  <c r="I97" i="7" s="1"/>
  <c r="F104" i="24"/>
  <c r="G104" i="24" s="1"/>
  <c r="I96" i="7" s="1"/>
  <c r="F103" i="24"/>
  <c r="G103" i="24" s="1"/>
  <c r="I95" i="7" s="1"/>
  <c r="F102" i="24"/>
  <c r="F101" i="24"/>
  <c r="G101" i="24" s="1"/>
  <c r="I93" i="7" s="1"/>
  <c r="F100" i="24"/>
  <c r="G100" i="24" s="1"/>
  <c r="I92" i="7" s="1"/>
  <c r="F99" i="24"/>
  <c r="G99" i="24" s="1"/>
  <c r="I91" i="7" s="1"/>
  <c r="F98" i="24"/>
  <c r="G98" i="24" s="1"/>
  <c r="I90" i="7" s="1"/>
  <c r="F97" i="24"/>
  <c r="G97" i="24" s="1"/>
  <c r="I89" i="7" s="1"/>
  <c r="F96" i="24"/>
  <c r="G96" i="24" s="1"/>
  <c r="I88" i="7" s="1"/>
  <c r="F95" i="24"/>
  <c r="G95" i="24" s="1"/>
  <c r="I87" i="7" s="1"/>
  <c r="F94" i="24"/>
  <c r="G94" i="24" s="1"/>
  <c r="I86" i="7" s="1"/>
  <c r="F93" i="24"/>
  <c r="G93" i="24" s="1"/>
  <c r="I85" i="7" s="1"/>
  <c r="F92" i="24"/>
  <c r="G92" i="24" s="1"/>
  <c r="I84" i="7" s="1"/>
  <c r="F91" i="24"/>
  <c r="G91" i="24" s="1"/>
  <c r="I83" i="7" s="1"/>
  <c r="F90" i="24"/>
  <c r="G90" i="24" s="1"/>
  <c r="I82" i="7" s="1"/>
  <c r="F89" i="24"/>
  <c r="G89" i="24" s="1"/>
  <c r="I81" i="7" s="1"/>
  <c r="F88" i="24"/>
  <c r="G88" i="24" s="1"/>
  <c r="I80" i="7" s="1"/>
  <c r="F87" i="24"/>
  <c r="G87" i="24" s="1"/>
  <c r="I79" i="7" s="1"/>
  <c r="F86" i="24"/>
  <c r="G86" i="24" s="1"/>
  <c r="I78" i="7" s="1"/>
  <c r="F85" i="24"/>
  <c r="G85" i="24" s="1"/>
  <c r="I77" i="7" s="1"/>
  <c r="F84" i="24"/>
  <c r="G84" i="24" s="1"/>
  <c r="I76" i="7" s="1"/>
  <c r="F83" i="24"/>
  <c r="G83" i="24" s="1"/>
  <c r="I75" i="7" s="1"/>
  <c r="F82" i="24"/>
  <c r="G82" i="24" s="1"/>
  <c r="I74" i="7" s="1"/>
  <c r="F81" i="24"/>
  <c r="G81" i="24" s="1"/>
  <c r="I73" i="7" s="1"/>
  <c r="F80" i="24"/>
  <c r="G80" i="24" s="1"/>
  <c r="I72" i="7" s="1"/>
  <c r="F79" i="24"/>
  <c r="G79" i="24" s="1"/>
  <c r="I71" i="7" s="1"/>
  <c r="F78" i="24"/>
  <c r="G78" i="24" s="1"/>
  <c r="I70" i="7" s="1"/>
  <c r="F77" i="24"/>
  <c r="G77" i="24" s="1"/>
  <c r="I69" i="7" s="1"/>
  <c r="F76" i="24"/>
  <c r="G76" i="24" s="1"/>
  <c r="I68" i="7" s="1"/>
  <c r="F75" i="24"/>
  <c r="G75" i="24" s="1"/>
  <c r="I67" i="7" s="1"/>
  <c r="F74" i="24"/>
  <c r="G74" i="24" s="1"/>
  <c r="I66" i="7" s="1"/>
  <c r="F73" i="24"/>
  <c r="G73" i="24" s="1"/>
  <c r="I65" i="7" s="1"/>
  <c r="F72" i="24"/>
  <c r="G72" i="24" s="1"/>
  <c r="I64" i="7" s="1"/>
  <c r="F71" i="24"/>
  <c r="G71" i="24" s="1"/>
  <c r="I63" i="7" s="1"/>
  <c r="F70" i="24"/>
  <c r="G70" i="24" s="1"/>
  <c r="I62" i="7" s="1"/>
  <c r="F69" i="24"/>
  <c r="G69" i="24" s="1"/>
  <c r="I61" i="7" s="1"/>
  <c r="F68" i="24"/>
  <c r="G68" i="24" s="1"/>
  <c r="I60" i="7" s="1"/>
  <c r="F67" i="24"/>
  <c r="G67" i="24" s="1"/>
  <c r="I59" i="7" s="1"/>
  <c r="F66" i="24"/>
  <c r="G66" i="24" s="1"/>
  <c r="I58" i="7" s="1"/>
  <c r="F65" i="24"/>
  <c r="G65" i="24" s="1"/>
  <c r="I57" i="7" s="1"/>
  <c r="F64" i="24"/>
  <c r="G64" i="24" s="1"/>
  <c r="I56" i="7" s="1"/>
  <c r="F63" i="24"/>
  <c r="G63" i="24" s="1"/>
  <c r="I55" i="7" s="1"/>
  <c r="F61" i="24"/>
  <c r="G61" i="24" s="1"/>
  <c r="I53" i="7" s="1"/>
  <c r="F60" i="24"/>
  <c r="G60" i="24" s="1"/>
  <c r="I52" i="7" s="1"/>
  <c r="F59" i="24"/>
  <c r="G59" i="24" s="1"/>
  <c r="I51" i="7" s="1"/>
  <c r="F58" i="24"/>
  <c r="G58" i="24" s="1"/>
  <c r="I50" i="7" s="1"/>
  <c r="F57" i="24"/>
  <c r="G57" i="24" s="1"/>
  <c r="I49" i="7" s="1"/>
  <c r="F56" i="24"/>
  <c r="G56" i="24" s="1"/>
  <c r="I48" i="7" s="1"/>
  <c r="F55" i="24"/>
  <c r="G55" i="24" s="1"/>
  <c r="I47" i="7" s="1"/>
  <c r="F54" i="24"/>
  <c r="G54" i="24" s="1"/>
  <c r="I46" i="7" s="1"/>
  <c r="F53" i="24"/>
  <c r="G53" i="24" s="1"/>
  <c r="I45" i="7" s="1"/>
  <c r="F52" i="24"/>
  <c r="G52" i="24" s="1"/>
  <c r="I44" i="7" s="1"/>
  <c r="F51" i="24"/>
  <c r="G51" i="24" s="1"/>
  <c r="I43" i="7" s="1"/>
  <c r="F50" i="24"/>
  <c r="G50" i="24" s="1"/>
  <c r="I42" i="7" s="1"/>
  <c r="F49" i="24"/>
  <c r="G49" i="24" s="1"/>
  <c r="I41" i="7" s="1"/>
  <c r="F48" i="24"/>
  <c r="G48" i="24" s="1"/>
  <c r="I40" i="7" s="1"/>
  <c r="F47" i="24"/>
  <c r="G47" i="24" s="1"/>
  <c r="I39" i="7" s="1"/>
  <c r="F46" i="24"/>
  <c r="G46" i="24" s="1"/>
  <c r="I38" i="7" s="1"/>
  <c r="F45" i="24"/>
  <c r="G45" i="24" s="1"/>
  <c r="I37" i="7" s="1"/>
  <c r="F44" i="24"/>
  <c r="G44" i="24" s="1"/>
  <c r="I36" i="7" s="1"/>
  <c r="F42" i="24"/>
  <c r="G42" i="24" s="1"/>
  <c r="I34" i="7" s="1"/>
  <c r="F41" i="24"/>
  <c r="G41" i="24" s="1"/>
  <c r="I33" i="7" s="1"/>
  <c r="F40" i="24"/>
  <c r="G40" i="24" s="1"/>
  <c r="I32" i="7" s="1"/>
  <c r="F39" i="24"/>
  <c r="G39" i="24" s="1"/>
  <c r="I31" i="7" s="1"/>
  <c r="F38" i="24"/>
  <c r="G38" i="24" s="1"/>
  <c r="I30" i="7" s="1"/>
  <c r="F37" i="24"/>
  <c r="G37" i="24" s="1"/>
  <c r="I29" i="7" s="1"/>
  <c r="F36" i="24"/>
  <c r="G36" i="24" s="1"/>
  <c r="I28" i="7" s="1"/>
  <c r="F35" i="24"/>
  <c r="G35" i="24" s="1"/>
  <c r="I27" i="7" s="1"/>
  <c r="F34" i="24"/>
  <c r="G34" i="24" s="1"/>
  <c r="I26" i="7" s="1"/>
  <c r="F33" i="24"/>
  <c r="G33" i="24" s="1"/>
  <c r="I25" i="7" s="1"/>
  <c r="F32" i="24"/>
  <c r="G32" i="24" s="1"/>
  <c r="I24" i="7" s="1"/>
  <c r="F31" i="24"/>
  <c r="G31" i="24" s="1"/>
  <c r="I23" i="7" s="1"/>
  <c r="F30" i="24"/>
  <c r="G30" i="24" s="1"/>
  <c r="I22" i="7" s="1"/>
  <c r="F29" i="24"/>
  <c r="G29" i="24" s="1"/>
  <c r="I21" i="7" s="1"/>
  <c r="F28" i="24"/>
  <c r="G28" i="24" s="1"/>
  <c r="I20" i="7" s="1"/>
  <c r="F27" i="24"/>
  <c r="G27" i="24" s="1"/>
  <c r="I19" i="7" s="1"/>
  <c r="F26" i="24"/>
  <c r="G26" i="24" s="1"/>
  <c r="I18" i="7" s="1"/>
  <c r="F25" i="24"/>
  <c r="G25" i="24" s="1"/>
  <c r="I17" i="7" s="1"/>
  <c r="F24" i="24"/>
  <c r="G24" i="24" s="1"/>
  <c r="I16" i="7" s="1"/>
  <c r="F23" i="24"/>
  <c r="G23" i="24" s="1"/>
  <c r="I15" i="7" s="1"/>
  <c r="F22" i="24"/>
  <c r="G22" i="24" s="1"/>
  <c r="I14" i="7" s="1"/>
  <c r="F21" i="24"/>
  <c r="G21" i="24" s="1"/>
  <c r="I13" i="7" s="1"/>
  <c r="F20" i="24"/>
  <c r="G20" i="24" s="1"/>
  <c r="I12" i="7" s="1"/>
  <c r="F18" i="24"/>
  <c r="G18" i="24" s="1"/>
  <c r="I10" i="7" s="1"/>
  <c r="F17" i="24"/>
  <c r="G17" i="24" s="1"/>
  <c r="I9" i="7" s="1"/>
  <c r="F16" i="24"/>
  <c r="G16" i="24" s="1"/>
  <c r="I8" i="7" s="1"/>
  <c r="F15" i="24"/>
  <c r="G15" i="24" s="1"/>
  <c r="I7" i="7" s="1"/>
  <c r="F14" i="24"/>
  <c r="G14" i="24" s="1"/>
  <c r="I6" i="7" s="1"/>
  <c r="F13" i="24"/>
  <c r="G13" i="24" s="1"/>
  <c r="I5" i="7" s="1"/>
  <c r="F12" i="24"/>
  <c r="G12" i="24" s="1"/>
  <c r="I4" i="7" s="1"/>
  <c r="AM196" i="24"/>
  <c r="AL196" i="24"/>
  <c r="AK196" i="24"/>
  <c r="AJ196" i="24"/>
  <c r="AI196" i="24"/>
  <c r="H158" i="7"/>
  <c r="F28" i="4"/>
  <c r="F24" i="4"/>
  <c r="F22" i="4"/>
  <c r="F16" i="4"/>
  <c r="F14" i="4"/>
  <c r="G14" i="4" s="1"/>
  <c r="F13" i="4"/>
  <c r="G13" i="4" s="1"/>
  <c r="F12" i="4"/>
  <c r="AM198" i="22"/>
  <c r="AL198" i="22"/>
  <c r="AK198" i="22"/>
  <c r="AJ198" i="22"/>
  <c r="AI198" i="22"/>
  <c r="AH198" i="22"/>
  <c r="AG198" i="22"/>
  <c r="AF198" i="22"/>
  <c r="AE198" i="22"/>
  <c r="AD198" i="22"/>
  <c r="AC198" i="22"/>
  <c r="AB198" i="22"/>
  <c r="AA198" i="22"/>
  <c r="Z198" i="22"/>
  <c r="Y198" i="22"/>
  <c r="X198" i="22"/>
  <c r="W198" i="22"/>
  <c r="V198" i="22"/>
  <c r="U198" i="22"/>
  <c r="T198" i="22"/>
  <c r="S198" i="22"/>
  <c r="R198" i="22"/>
  <c r="Q198" i="22"/>
  <c r="O198" i="22"/>
  <c r="K198" i="22"/>
  <c r="J198" i="22"/>
  <c r="I198" i="22"/>
  <c r="H198" i="22"/>
  <c r="F196" i="22"/>
  <c r="G196" i="22" s="1"/>
  <c r="G191" i="7" s="1"/>
  <c r="F195" i="22"/>
  <c r="G195" i="22" s="1"/>
  <c r="G190" i="7" s="1"/>
  <c r="F194" i="22"/>
  <c r="G194" i="22" s="1"/>
  <c r="G188" i="7" s="1"/>
  <c r="F193" i="22"/>
  <c r="G193" i="22" s="1"/>
  <c r="G186" i="7" s="1"/>
  <c r="F192" i="22"/>
  <c r="G192" i="22" s="1"/>
  <c r="G185" i="7" s="1"/>
  <c r="F191" i="22"/>
  <c r="G191" i="22" s="1"/>
  <c r="G184" i="7" s="1"/>
  <c r="F190" i="22"/>
  <c r="F189" i="22"/>
  <c r="G189" i="22" s="1"/>
  <c r="G181" i="7" s="1"/>
  <c r="F188" i="22"/>
  <c r="G188" i="22" s="1"/>
  <c r="G180" i="7" s="1"/>
  <c r="F187" i="22"/>
  <c r="G187" i="22" s="1"/>
  <c r="G179" i="7" s="1"/>
  <c r="F186" i="22"/>
  <c r="G186" i="22" s="1"/>
  <c r="G178" i="7" s="1"/>
  <c r="F185" i="22"/>
  <c r="G185" i="22" s="1"/>
  <c r="G177" i="7" s="1"/>
  <c r="F184" i="22"/>
  <c r="G184" i="22" s="1"/>
  <c r="G176" i="7" s="1"/>
  <c r="F183" i="22"/>
  <c r="G183" i="22" s="1"/>
  <c r="G175" i="7" s="1"/>
  <c r="F182" i="22"/>
  <c r="G182" i="22" s="1"/>
  <c r="G174" i="7" s="1"/>
  <c r="F181" i="22"/>
  <c r="G181" i="22" s="1"/>
  <c r="G173" i="7" s="1"/>
  <c r="F180" i="22"/>
  <c r="G180" i="22" s="1"/>
  <c r="G172" i="7" s="1"/>
  <c r="F179" i="22"/>
  <c r="G179" i="22" s="1"/>
  <c r="G171" i="7" s="1"/>
  <c r="F178" i="22"/>
  <c r="G178" i="22" s="1"/>
  <c r="G170" i="7" s="1"/>
  <c r="F177" i="22"/>
  <c r="G177" i="22" s="1"/>
  <c r="G169" i="7" s="1"/>
  <c r="F176" i="22"/>
  <c r="G176" i="22" s="1"/>
  <c r="G168" i="7" s="1"/>
  <c r="F175" i="22"/>
  <c r="G175" i="22" s="1"/>
  <c r="G167" i="7" s="1"/>
  <c r="F174" i="22"/>
  <c r="G174" i="22" s="1"/>
  <c r="G166" i="7" s="1"/>
  <c r="F173" i="22"/>
  <c r="G173" i="22" s="1"/>
  <c r="G165" i="7" s="1"/>
  <c r="F172" i="22"/>
  <c r="G172" i="22" s="1"/>
  <c r="G164" i="7" s="1"/>
  <c r="F171" i="22"/>
  <c r="G171" i="22" s="1"/>
  <c r="G163" i="7" s="1"/>
  <c r="F170" i="22"/>
  <c r="G170" i="22" s="1"/>
  <c r="G162" i="7" s="1"/>
  <c r="F169" i="22"/>
  <c r="G169" i="22" s="1"/>
  <c r="G161" i="7" s="1"/>
  <c r="F168" i="22"/>
  <c r="G168" i="22" s="1"/>
  <c r="G160" i="7" s="1"/>
  <c r="F167" i="22"/>
  <c r="G167" i="22" s="1"/>
  <c r="G159" i="7" s="1"/>
  <c r="F166" i="22"/>
  <c r="G166" i="22" s="1"/>
  <c r="G158" i="7" s="1"/>
  <c r="F165" i="22"/>
  <c r="G165" i="22" s="1"/>
  <c r="G157" i="7" s="1"/>
  <c r="F164" i="22"/>
  <c r="G164" i="22" s="1"/>
  <c r="G156" i="7" s="1"/>
  <c r="F163" i="22"/>
  <c r="G163" i="22" s="1"/>
  <c r="G155" i="7" s="1"/>
  <c r="F162" i="22"/>
  <c r="G162" i="22" s="1"/>
  <c r="G154" i="7" s="1"/>
  <c r="F161" i="22"/>
  <c r="G161" i="22" s="1"/>
  <c r="G153" i="7" s="1"/>
  <c r="F160" i="22"/>
  <c r="G160" i="22" s="1"/>
  <c r="G152" i="7" s="1"/>
  <c r="F159" i="22"/>
  <c r="G159" i="22" s="1"/>
  <c r="G151" i="7" s="1"/>
  <c r="F158" i="22"/>
  <c r="G158" i="22" s="1"/>
  <c r="G150" i="7" s="1"/>
  <c r="F157" i="22"/>
  <c r="G157" i="22" s="1"/>
  <c r="G149" i="7" s="1"/>
  <c r="F156" i="22"/>
  <c r="F155" i="22"/>
  <c r="G155" i="22" s="1"/>
  <c r="G147" i="7" s="1"/>
  <c r="F154" i="22"/>
  <c r="G154" i="22" s="1"/>
  <c r="G146" i="7" s="1"/>
  <c r="F153" i="22"/>
  <c r="G153" i="22" s="1"/>
  <c r="G145" i="7" s="1"/>
  <c r="F152" i="22"/>
  <c r="G152" i="22" s="1"/>
  <c r="G144" i="7" s="1"/>
  <c r="F151" i="22"/>
  <c r="G151" i="22" s="1"/>
  <c r="G143" i="7" s="1"/>
  <c r="F150" i="22"/>
  <c r="G150" i="22" s="1"/>
  <c r="G142" i="7" s="1"/>
  <c r="F149" i="22"/>
  <c r="G149" i="22" s="1"/>
  <c r="G141" i="7" s="1"/>
  <c r="F148" i="22"/>
  <c r="G148" i="22" s="1"/>
  <c r="G140" i="7" s="1"/>
  <c r="F147" i="22"/>
  <c r="G147" i="22" s="1"/>
  <c r="G139" i="7" s="1"/>
  <c r="F146" i="22"/>
  <c r="G146" i="22" s="1"/>
  <c r="G138" i="7" s="1"/>
  <c r="F145" i="22"/>
  <c r="G145" i="22" s="1"/>
  <c r="G137" i="7" s="1"/>
  <c r="F144" i="22"/>
  <c r="G144" i="22" s="1"/>
  <c r="G136" i="7" s="1"/>
  <c r="F143" i="22"/>
  <c r="G143" i="22" s="1"/>
  <c r="G135" i="7" s="1"/>
  <c r="F142" i="22"/>
  <c r="G142" i="22" s="1"/>
  <c r="G134" i="7" s="1"/>
  <c r="F141" i="22"/>
  <c r="G141" i="22" s="1"/>
  <c r="G133" i="7" s="1"/>
  <c r="F140" i="22"/>
  <c r="G140" i="22" s="1"/>
  <c r="G132" i="7" s="1"/>
  <c r="F139" i="22"/>
  <c r="G139" i="22" s="1"/>
  <c r="G131" i="7" s="1"/>
  <c r="F138" i="22"/>
  <c r="G138" i="22" s="1"/>
  <c r="G130" i="7" s="1"/>
  <c r="F137" i="22"/>
  <c r="G137" i="22" s="1"/>
  <c r="G129" i="7" s="1"/>
  <c r="F136" i="22"/>
  <c r="G136" i="22" s="1"/>
  <c r="G128" i="7" s="1"/>
  <c r="F135" i="22"/>
  <c r="G135" i="22" s="1"/>
  <c r="G127" i="7" s="1"/>
  <c r="F134" i="22"/>
  <c r="G134" i="22" s="1"/>
  <c r="G126" i="7" s="1"/>
  <c r="F133" i="22"/>
  <c r="G133" i="22" s="1"/>
  <c r="G125" i="7" s="1"/>
  <c r="F132" i="22"/>
  <c r="G132" i="22" s="1"/>
  <c r="G124" i="7" s="1"/>
  <c r="F131" i="22"/>
  <c r="G131" i="22" s="1"/>
  <c r="G123" i="7" s="1"/>
  <c r="F130" i="22"/>
  <c r="G130" i="22" s="1"/>
  <c r="G122" i="7" s="1"/>
  <c r="F129" i="22"/>
  <c r="G129" i="22" s="1"/>
  <c r="G121" i="7" s="1"/>
  <c r="F127" i="22"/>
  <c r="G127" i="22" s="1"/>
  <c r="G119" i="7" s="1"/>
  <c r="F126" i="22"/>
  <c r="G126" i="22" s="1"/>
  <c r="G118" i="7" s="1"/>
  <c r="F125" i="22"/>
  <c r="F124" i="22"/>
  <c r="G124" i="22" s="1"/>
  <c r="G116" i="7" s="1"/>
  <c r="F123" i="22"/>
  <c r="G123" i="22" s="1"/>
  <c r="G115" i="7" s="1"/>
  <c r="F121" i="22"/>
  <c r="G121" i="22" s="1"/>
  <c r="G113" i="7" s="1"/>
  <c r="F120" i="22"/>
  <c r="G120" i="22" s="1"/>
  <c r="G112" i="7" s="1"/>
  <c r="F119" i="22"/>
  <c r="G119" i="22" s="1"/>
  <c r="G111" i="7" s="1"/>
  <c r="F118" i="22"/>
  <c r="G118" i="22" s="1"/>
  <c r="G110" i="7" s="1"/>
  <c r="F117" i="22"/>
  <c r="G117" i="22" s="1"/>
  <c r="G109" i="7" s="1"/>
  <c r="F116" i="22"/>
  <c r="G116" i="22" s="1"/>
  <c r="G108" i="7" s="1"/>
  <c r="F115" i="22"/>
  <c r="G115" i="22" s="1"/>
  <c r="G107" i="7" s="1"/>
  <c r="F114" i="22"/>
  <c r="G114" i="22" s="1"/>
  <c r="G106" i="7" s="1"/>
  <c r="F113" i="22"/>
  <c r="G113" i="22" s="1"/>
  <c r="G105" i="7" s="1"/>
  <c r="F112" i="22"/>
  <c r="G112" i="22" s="1"/>
  <c r="G104" i="7" s="1"/>
  <c r="F111" i="22"/>
  <c r="G111" i="22" s="1"/>
  <c r="G103" i="7" s="1"/>
  <c r="F110" i="22"/>
  <c r="G110" i="22" s="1"/>
  <c r="G102" i="7" s="1"/>
  <c r="F109" i="22"/>
  <c r="G109" i="22" s="1"/>
  <c r="G101" i="7" s="1"/>
  <c r="F108" i="22"/>
  <c r="G108" i="22" s="1"/>
  <c r="G100" i="7" s="1"/>
  <c r="F107" i="22"/>
  <c r="G107" i="22" s="1"/>
  <c r="G99" i="7" s="1"/>
  <c r="F106" i="22"/>
  <c r="G106" i="22" s="1"/>
  <c r="G98" i="7" s="1"/>
  <c r="F105" i="22"/>
  <c r="G105" i="22" s="1"/>
  <c r="G97" i="7" s="1"/>
  <c r="F104" i="22"/>
  <c r="G104" i="22" s="1"/>
  <c r="G96" i="7" s="1"/>
  <c r="F103" i="22"/>
  <c r="G103" i="22" s="1"/>
  <c r="G95" i="7" s="1"/>
  <c r="F102" i="22"/>
  <c r="G102" i="22" s="1"/>
  <c r="G94" i="7" s="1"/>
  <c r="F101" i="22"/>
  <c r="G101" i="22" s="1"/>
  <c r="G93" i="7" s="1"/>
  <c r="F100" i="22"/>
  <c r="G100" i="22" s="1"/>
  <c r="G92" i="7" s="1"/>
  <c r="F99" i="22"/>
  <c r="G99" i="22" s="1"/>
  <c r="G91" i="7" s="1"/>
  <c r="F98" i="22"/>
  <c r="G98" i="22" s="1"/>
  <c r="G90" i="7" s="1"/>
  <c r="F97" i="22"/>
  <c r="G97" i="22" s="1"/>
  <c r="G89" i="7" s="1"/>
  <c r="F96" i="22"/>
  <c r="G96" i="22" s="1"/>
  <c r="G88" i="7" s="1"/>
  <c r="F95" i="22"/>
  <c r="G95" i="22" s="1"/>
  <c r="G87" i="7" s="1"/>
  <c r="F94" i="22"/>
  <c r="G94" i="22" s="1"/>
  <c r="G86" i="7" s="1"/>
  <c r="F93" i="22"/>
  <c r="G93" i="22" s="1"/>
  <c r="G85" i="7" s="1"/>
  <c r="F92" i="22"/>
  <c r="G92" i="22" s="1"/>
  <c r="G84" i="7" s="1"/>
  <c r="F91" i="22"/>
  <c r="G91" i="22" s="1"/>
  <c r="G83" i="7" s="1"/>
  <c r="F90" i="22"/>
  <c r="G90" i="22" s="1"/>
  <c r="G82" i="7" s="1"/>
  <c r="F89" i="22"/>
  <c r="G89" i="22" s="1"/>
  <c r="G81" i="7" s="1"/>
  <c r="F88" i="22"/>
  <c r="G88" i="22" s="1"/>
  <c r="G80" i="7" s="1"/>
  <c r="F87" i="22"/>
  <c r="G87" i="22" s="1"/>
  <c r="G79" i="7" s="1"/>
  <c r="F86" i="22"/>
  <c r="G86" i="22" s="1"/>
  <c r="G78" i="7" s="1"/>
  <c r="F85" i="22"/>
  <c r="G85" i="22" s="1"/>
  <c r="G77" i="7" s="1"/>
  <c r="F84" i="22"/>
  <c r="G84" i="22" s="1"/>
  <c r="G76" i="7" s="1"/>
  <c r="F83" i="22"/>
  <c r="G83" i="22" s="1"/>
  <c r="G75" i="7" s="1"/>
  <c r="F82" i="22"/>
  <c r="G82" i="22" s="1"/>
  <c r="G74" i="7" s="1"/>
  <c r="F81" i="22"/>
  <c r="G81" i="22" s="1"/>
  <c r="G73" i="7" s="1"/>
  <c r="F80" i="22"/>
  <c r="G80" i="22" s="1"/>
  <c r="G72" i="7" s="1"/>
  <c r="F79" i="22"/>
  <c r="G79" i="22" s="1"/>
  <c r="G71" i="7" s="1"/>
  <c r="F78" i="22"/>
  <c r="G78" i="22" s="1"/>
  <c r="G70" i="7" s="1"/>
  <c r="F77" i="22"/>
  <c r="G77" i="22" s="1"/>
  <c r="G69" i="7" s="1"/>
  <c r="F76" i="22"/>
  <c r="G76" i="22" s="1"/>
  <c r="G68" i="7" s="1"/>
  <c r="F75" i="22"/>
  <c r="G75" i="22" s="1"/>
  <c r="G67" i="7" s="1"/>
  <c r="F74" i="22"/>
  <c r="G74" i="22" s="1"/>
  <c r="G66" i="7" s="1"/>
  <c r="F73" i="22"/>
  <c r="G73" i="22" s="1"/>
  <c r="G65" i="7" s="1"/>
  <c r="F72" i="22"/>
  <c r="G72" i="22" s="1"/>
  <c r="G64" i="7" s="1"/>
  <c r="F71" i="22"/>
  <c r="G71" i="22" s="1"/>
  <c r="G63" i="7" s="1"/>
  <c r="F70" i="22"/>
  <c r="G70" i="22" s="1"/>
  <c r="G62" i="7" s="1"/>
  <c r="F69" i="22"/>
  <c r="G69" i="22" s="1"/>
  <c r="G61" i="7" s="1"/>
  <c r="F68" i="22"/>
  <c r="G68" i="22" s="1"/>
  <c r="G60" i="7" s="1"/>
  <c r="F67" i="22"/>
  <c r="G67" i="22" s="1"/>
  <c r="G59" i="7" s="1"/>
  <c r="F66" i="22"/>
  <c r="G66" i="22" s="1"/>
  <c r="G58" i="7" s="1"/>
  <c r="F65" i="22"/>
  <c r="F64" i="22"/>
  <c r="G64" i="22" s="1"/>
  <c r="G56" i="7" s="1"/>
  <c r="F63" i="22"/>
  <c r="G63" i="22" s="1"/>
  <c r="G55" i="7" s="1"/>
  <c r="F62" i="22"/>
  <c r="G62" i="22" s="1"/>
  <c r="G54" i="7" s="1"/>
  <c r="F61" i="22"/>
  <c r="G61" i="22" s="1"/>
  <c r="G53" i="7" s="1"/>
  <c r="F60" i="22"/>
  <c r="G60" i="22" s="1"/>
  <c r="G52" i="7" s="1"/>
  <c r="F59" i="22"/>
  <c r="G59" i="22" s="1"/>
  <c r="G51" i="7" s="1"/>
  <c r="F58" i="22"/>
  <c r="G58" i="22" s="1"/>
  <c r="G50" i="7" s="1"/>
  <c r="F57" i="22"/>
  <c r="G57" i="22" s="1"/>
  <c r="G49" i="7" s="1"/>
  <c r="F56" i="22"/>
  <c r="G56" i="22" s="1"/>
  <c r="G48" i="7" s="1"/>
  <c r="F55" i="22"/>
  <c r="G55" i="22" s="1"/>
  <c r="G47" i="7" s="1"/>
  <c r="F54" i="22"/>
  <c r="G54" i="22" s="1"/>
  <c r="G46" i="7" s="1"/>
  <c r="F53" i="22"/>
  <c r="F52" i="22"/>
  <c r="G52" i="22" s="1"/>
  <c r="G44" i="7" s="1"/>
  <c r="F51" i="22"/>
  <c r="G51" i="22" s="1"/>
  <c r="G43" i="7" s="1"/>
  <c r="F50" i="22"/>
  <c r="G50" i="22" s="1"/>
  <c r="G42" i="7" s="1"/>
  <c r="F49" i="22"/>
  <c r="G49" i="22" s="1"/>
  <c r="G41" i="7" s="1"/>
  <c r="F48" i="22"/>
  <c r="G48" i="22" s="1"/>
  <c r="G40" i="7" s="1"/>
  <c r="F47" i="22"/>
  <c r="G47" i="22" s="1"/>
  <c r="G39" i="7" s="1"/>
  <c r="F46" i="22"/>
  <c r="G46" i="22" s="1"/>
  <c r="G38" i="7" s="1"/>
  <c r="F45" i="22"/>
  <c r="G45" i="22" s="1"/>
  <c r="G37" i="7" s="1"/>
  <c r="F44" i="22"/>
  <c r="G44" i="22" s="1"/>
  <c r="G36" i="7" s="1"/>
  <c r="F43" i="22"/>
  <c r="G43" i="22" s="1"/>
  <c r="G35" i="7" s="1"/>
  <c r="F42" i="22"/>
  <c r="G42" i="22" s="1"/>
  <c r="G34" i="7" s="1"/>
  <c r="F41" i="22"/>
  <c r="G41" i="22" s="1"/>
  <c r="G33" i="7" s="1"/>
  <c r="F40" i="22"/>
  <c r="G40" i="22" s="1"/>
  <c r="G32" i="7" s="1"/>
  <c r="F39" i="22"/>
  <c r="G39" i="22" s="1"/>
  <c r="G31" i="7" s="1"/>
  <c r="F38" i="22"/>
  <c r="G38" i="22" s="1"/>
  <c r="G30" i="7" s="1"/>
  <c r="F36" i="22"/>
  <c r="G36" i="22" s="1"/>
  <c r="G28" i="7" s="1"/>
  <c r="F35" i="22"/>
  <c r="G35" i="22" s="1"/>
  <c r="G27" i="7" s="1"/>
  <c r="F34" i="22"/>
  <c r="G34" i="22" s="1"/>
  <c r="G26" i="7" s="1"/>
  <c r="F33" i="22"/>
  <c r="G33" i="22" s="1"/>
  <c r="G25" i="7" s="1"/>
  <c r="F32" i="22"/>
  <c r="G32" i="22" s="1"/>
  <c r="G24" i="7" s="1"/>
  <c r="F31" i="22"/>
  <c r="G31" i="22" s="1"/>
  <c r="G23" i="7" s="1"/>
  <c r="F30" i="22"/>
  <c r="G30" i="22" s="1"/>
  <c r="G22" i="7" s="1"/>
  <c r="F29" i="22"/>
  <c r="G29" i="22" s="1"/>
  <c r="G21" i="7" s="1"/>
  <c r="F28" i="22"/>
  <c r="G28" i="22" s="1"/>
  <c r="G20" i="7" s="1"/>
  <c r="F27" i="22"/>
  <c r="G27" i="22" s="1"/>
  <c r="G19" i="7" s="1"/>
  <c r="F26" i="22"/>
  <c r="G26" i="22" s="1"/>
  <c r="G18" i="7" s="1"/>
  <c r="F25" i="22"/>
  <c r="G25" i="22" s="1"/>
  <c r="G17" i="7" s="1"/>
  <c r="F24" i="22"/>
  <c r="G24" i="22" s="1"/>
  <c r="G16" i="7" s="1"/>
  <c r="F23" i="22"/>
  <c r="G23" i="22" s="1"/>
  <c r="G15" i="7" s="1"/>
  <c r="F22" i="22"/>
  <c r="G22" i="22" s="1"/>
  <c r="G14" i="7" s="1"/>
  <c r="F21" i="22"/>
  <c r="G21" i="22" s="1"/>
  <c r="G13" i="7" s="1"/>
  <c r="F20" i="22"/>
  <c r="G20" i="22" s="1"/>
  <c r="G12" i="7" s="1"/>
  <c r="F19" i="22"/>
  <c r="G19" i="22" s="1"/>
  <c r="G11" i="7" s="1"/>
  <c r="F18" i="22"/>
  <c r="G18" i="22" s="1"/>
  <c r="G10" i="7" s="1"/>
  <c r="F17" i="22"/>
  <c r="G17" i="22" s="1"/>
  <c r="G9" i="7" s="1"/>
  <c r="F16" i="22"/>
  <c r="G16" i="22" s="1"/>
  <c r="G8" i="7" s="1"/>
  <c r="F15" i="22"/>
  <c r="G15" i="22" s="1"/>
  <c r="G7" i="7" s="1"/>
  <c r="F14" i="22"/>
  <c r="G14" i="22" s="1"/>
  <c r="G6" i="7" s="1"/>
  <c r="G12" i="22"/>
  <c r="G4" i="7" s="1"/>
  <c r="G65" i="22"/>
  <c r="G57" i="7" s="1"/>
  <c r="F194" i="21"/>
  <c r="G194" i="21" s="1"/>
  <c r="F186" i="7" s="1"/>
  <c r="F193" i="21"/>
  <c r="G193" i="21" s="1"/>
  <c r="F185" i="7" s="1"/>
  <c r="F192" i="21"/>
  <c r="G192" i="21" s="1"/>
  <c r="F184" i="7" s="1"/>
  <c r="F191" i="21"/>
  <c r="G191" i="21" s="1"/>
  <c r="F183" i="7" s="1"/>
  <c r="F190" i="21"/>
  <c r="G190" i="21" s="1"/>
  <c r="F182" i="7" s="1"/>
  <c r="F189" i="21"/>
  <c r="G189" i="21" s="1"/>
  <c r="F181" i="7" s="1"/>
  <c r="F188" i="21"/>
  <c r="G188" i="21" s="1"/>
  <c r="F180" i="7" s="1"/>
  <c r="F187" i="21"/>
  <c r="G187" i="21" s="1"/>
  <c r="F179" i="7" s="1"/>
  <c r="F186" i="21"/>
  <c r="G186" i="21" s="1"/>
  <c r="F178" i="7" s="1"/>
  <c r="F185" i="21"/>
  <c r="G185" i="21" s="1"/>
  <c r="F177" i="7" s="1"/>
  <c r="F184" i="21"/>
  <c r="G184" i="21" s="1"/>
  <c r="F176" i="7" s="1"/>
  <c r="F183" i="21"/>
  <c r="G183" i="21" s="1"/>
  <c r="F175" i="7" s="1"/>
  <c r="F182" i="21"/>
  <c r="G182" i="21" s="1"/>
  <c r="F174" i="7" s="1"/>
  <c r="F181" i="21"/>
  <c r="G181" i="21" s="1"/>
  <c r="F173" i="7" s="1"/>
  <c r="F180" i="21"/>
  <c r="G180" i="21" s="1"/>
  <c r="F172" i="7" s="1"/>
  <c r="F179" i="21"/>
  <c r="G179" i="21" s="1"/>
  <c r="F171" i="7" s="1"/>
  <c r="F178" i="21"/>
  <c r="G178" i="21" s="1"/>
  <c r="F170" i="7" s="1"/>
  <c r="F177" i="21"/>
  <c r="G177" i="21" s="1"/>
  <c r="F176" i="21"/>
  <c r="G176" i="21" s="1"/>
  <c r="F175" i="21"/>
  <c r="G175" i="21" s="1"/>
  <c r="F167" i="7" s="1"/>
  <c r="F174" i="21"/>
  <c r="G174" i="21" s="1"/>
  <c r="F166" i="7" s="1"/>
  <c r="F173" i="21"/>
  <c r="G173" i="21" s="1"/>
  <c r="F165" i="7" s="1"/>
  <c r="F172" i="21"/>
  <c r="G172" i="21" s="1"/>
  <c r="F164" i="7" s="1"/>
  <c r="F171" i="21"/>
  <c r="G171" i="21" s="1"/>
  <c r="F163" i="7" s="1"/>
  <c r="F170" i="21"/>
  <c r="G170" i="21" s="1"/>
  <c r="F162" i="7" s="1"/>
  <c r="F169" i="21"/>
  <c r="G169" i="21" s="1"/>
  <c r="F161" i="7" s="1"/>
  <c r="F168" i="21"/>
  <c r="G168" i="21" s="1"/>
  <c r="F160" i="7" s="1"/>
  <c r="F167" i="21"/>
  <c r="G167" i="21" s="1"/>
  <c r="F159" i="7" s="1"/>
  <c r="F166" i="21"/>
  <c r="G166" i="21" s="1"/>
  <c r="F158" i="7" s="1"/>
  <c r="F165" i="21"/>
  <c r="G165" i="21" s="1"/>
  <c r="F157" i="7" s="1"/>
  <c r="F164" i="21"/>
  <c r="G164" i="21" s="1"/>
  <c r="F156" i="7" s="1"/>
  <c r="F163" i="21"/>
  <c r="G163" i="21" s="1"/>
  <c r="F155" i="7" s="1"/>
  <c r="F162" i="21"/>
  <c r="G162" i="21" s="1"/>
  <c r="F154" i="7" s="1"/>
  <c r="F161" i="21"/>
  <c r="G161" i="21" s="1"/>
  <c r="F153" i="7" s="1"/>
  <c r="F160" i="21"/>
  <c r="G160" i="21" s="1"/>
  <c r="F152" i="7" s="1"/>
  <c r="F159" i="21"/>
  <c r="G159" i="21" s="1"/>
  <c r="F151" i="7" s="1"/>
  <c r="F158" i="21"/>
  <c r="G158" i="21" s="1"/>
  <c r="F150" i="7" s="1"/>
  <c r="F157" i="21"/>
  <c r="G157" i="21" s="1"/>
  <c r="F149" i="7" s="1"/>
  <c r="F156" i="21"/>
  <c r="G156" i="21" s="1"/>
  <c r="F148" i="7" s="1"/>
  <c r="F155" i="21"/>
  <c r="G155" i="21" s="1"/>
  <c r="F147" i="7" s="1"/>
  <c r="F154" i="21"/>
  <c r="G154" i="21" s="1"/>
  <c r="F146" i="7" s="1"/>
  <c r="F152" i="21"/>
  <c r="G152" i="21" s="1"/>
  <c r="F144" i="7" s="1"/>
  <c r="F151" i="21"/>
  <c r="G151" i="21" s="1"/>
  <c r="F143" i="7" s="1"/>
  <c r="F150" i="21"/>
  <c r="G150" i="21" s="1"/>
  <c r="F142" i="7" s="1"/>
  <c r="F149" i="21"/>
  <c r="G149" i="21" s="1"/>
  <c r="F141" i="7" s="1"/>
  <c r="F148" i="21"/>
  <c r="G148" i="21" s="1"/>
  <c r="F140" i="7" s="1"/>
  <c r="F147" i="21"/>
  <c r="G147" i="21" s="1"/>
  <c r="F139" i="7" s="1"/>
  <c r="F146" i="21"/>
  <c r="G146" i="21" s="1"/>
  <c r="F138" i="7" s="1"/>
  <c r="F144" i="21"/>
  <c r="G144" i="21" s="1"/>
  <c r="F136" i="7" s="1"/>
  <c r="F143" i="21"/>
  <c r="G143" i="21" s="1"/>
  <c r="F135" i="7" s="1"/>
  <c r="F142" i="21"/>
  <c r="G142" i="21" s="1"/>
  <c r="F134" i="7" s="1"/>
  <c r="F141" i="21"/>
  <c r="G141" i="21" s="1"/>
  <c r="F133" i="7" s="1"/>
  <c r="F140" i="21"/>
  <c r="G140" i="21" s="1"/>
  <c r="F132" i="7" s="1"/>
  <c r="F139" i="21"/>
  <c r="G139" i="21" s="1"/>
  <c r="F131" i="7" s="1"/>
  <c r="F138" i="21"/>
  <c r="G138" i="21" s="1"/>
  <c r="F130" i="7" s="1"/>
  <c r="F137" i="21"/>
  <c r="G137" i="21" s="1"/>
  <c r="F129" i="7" s="1"/>
  <c r="F135" i="21"/>
  <c r="G135" i="21" s="1"/>
  <c r="F127" i="7" s="1"/>
  <c r="F134" i="21"/>
  <c r="G134" i="21" s="1"/>
  <c r="F126" i="7" s="1"/>
  <c r="F133" i="21"/>
  <c r="G133" i="21" s="1"/>
  <c r="F125" i="7" s="1"/>
  <c r="F132" i="21"/>
  <c r="G132" i="21" s="1"/>
  <c r="F124" i="7" s="1"/>
  <c r="F131" i="21"/>
  <c r="G131" i="21" s="1"/>
  <c r="F123" i="7" s="1"/>
  <c r="F130" i="21"/>
  <c r="G130" i="21" s="1"/>
  <c r="F122" i="7" s="1"/>
  <c r="F129" i="21"/>
  <c r="G129" i="21" s="1"/>
  <c r="F121" i="7" s="1"/>
  <c r="F127" i="21"/>
  <c r="G127" i="21" s="1"/>
  <c r="F119" i="7" s="1"/>
  <c r="F126" i="21"/>
  <c r="G126" i="21" s="1"/>
  <c r="F118" i="7" s="1"/>
  <c r="F125" i="21"/>
  <c r="G125" i="21" s="1"/>
  <c r="F117" i="7" s="1"/>
  <c r="F124" i="21"/>
  <c r="G124" i="21" s="1"/>
  <c r="F116" i="7" s="1"/>
  <c r="F123" i="21"/>
  <c r="G123" i="21" s="1"/>
  <c r="F115" i="7" s="1"/>
  <c r="F121" i="21"/>
  <c r="G121" i="21" s="1"/>
  <c r="F113" i="7" s="1"/>
  <c r="F120" i="21"/>
  <c r="G120" i="21" s="1"/>
  <c r="F112" i="7" s="1"/>
  <c r="F119" i="21"/>
  <c r="G119" i="21" s="1"/>
  <c r="F111" i="7" s="1"/>
  <c r="F118" i="21"/>
  <c r="G118" i="21" s="1"/>
  <c r="F110" i="7" s="1"/>
  <c r="F117" i="21"/>
  <c r="G117" i="21" s="1"/>
  <c r="F109" i="7" s="1"/>
  <c r="F116" i="21"/>
  <c r="G116" i="21" s="1"/>
  <c r="F108" i="7" s="1"/>
  <c r="F115" i="21"/>
  <c r="G115" i="21" s="1"/>
  <c r="F107" i="7" s="1"/>
  <c r="F114" i="21"/>
  <c r="G114" i="21" s="1"/>
  <c r="F106" i="7" s="1"/>
  <c r="F113" i="21"/>
  <c r="G113" i="21" s="1"/>
  <c r="F105" i="7" s="1"/>
  <c r="F112" i="21"/>
  <c r="G112" i="21" s="1"/>
  <c r="F104" i="7" s="1"/>
  <c r="F111" i="21"/>
  <c r="G111" i="21" s="1"/>
  <c r="F103" i="7" s="1"/>
  <c r="F110" i="21"/>
  <c r="G110" i="21" s="1"/>
  <c r="F102" i="7" s="1"/>
  <c r="F109" i="21"/>
  <c r="G109" i="21" s="1"/>
  <c r="F101" i="7" s="1"/>
  <c r="F108" i="21"/>
  <c r="G108" i="21" s="1"/>
  <c r="F100" i="7" s="1"/>
  <c r="F107" i="21"/>
  <c r="G107" i="21" s="1"/>
  <c r="F99" i="7" s="1"/>
  <c r="F106" i="21"/>
  <c r="G106" i="21" s="1"/>
  <c r="F98" i="7" s="1"/>
  <c r="F105" i="21"/>
  <c r="G105" i="21" s="1"/>
  <c r="F97" i="7" s="1"/>
  <c r="F104" i="21"/>
  <c r="G104" i="21" s="1"/>
  <c r="F96" i="7" s="1"/>
  <c r="F103" i="21"/>
  <c r="G103" i="21" s="1"/>
  <c r="F95" i="7" s="1"/>
  <c r="F102" i="21"/>
  <c r="G102" i="21" s="1"/>
  <c r="F94" i="7" s="1"/>
  <c r="F101" i="21"/>
  <c r="G101" i="21" s="1"/>
  <c r="F93" i="7" s="1"/>
  <c r="F100" i="21"/>
  <c r="G100" i="21" s="1"/>
  <c r="F92" i="7" s="1"/>
  <c r="F99" i="21"/>
  <c r="G99" i="21" s="1"/>
  <c r="F91" i="7" s="1"/>
  <c r="F98" i="21"/>
  <c r="G98" i="21" s="1"/>
  <c r="F90" i="7" s="1"/>
  <c r="F97" i="21"/>
  <c r="G97" i="21" s="1"/>
  <c r="F89" i="7" s="1"/>
  <c r="F96" i="21"/>
  <c r="G96" i="21" s="1"/>
  <c r="F88" i="7" s="1"/>
  <c r="F95" i="21"/>
  <c r="G95" i="21" s="1"/>
  <c r="F87" i="7" s="1"/>
  <c r="F94" i="21"/>
  <c r="G94" i="21" s="1"/>
  <c r="F86" i="7" s="1"/>
  <c r="F93" i="21"/>
  <c r="G93" i="21" s="1"/>
  <c r="F85" i="7" s="1"/>
  <c r="F92" i="21"/>
  <c r="G92" i="21" s="1"/>
  <c r="F84" i="7" s="1"/>
  <c r="F91" i="21"/>
  <c r="G91" i="21" s="1"/>
  <c r="F83" i="7" s="1"/>
  <c r="F90" i="21"/>
  <c r="G90" i="21" s="1"/>
  <c r="F82" i="7" s="1"/>
  <c r="F89" i="21"/>
  <c r="G89" i="21" s="1"/>
  <c r="F81" i="7" s="1"/>
  <c r="F88" i="21"/>
  <c r="G88" i="21" s="1"/>
  <c r="F80" i="7" s="1"/>
  <c r="F87" i="21"/>
  <c r="G87" i="21" s="1"/>
  <c r="F79" i="7" s="1"/>
  <c r="F86" i="21"/>
  <c r="G86" i="21" s="1"/>
  <c r="F78" i="7" s="1"/>
  <c r="F85" i="21"/>
  <c r="G85" i="21" s="1"/>
  <c r="F77" i="7" s="1"/>
  <c r="F84" i="21"/>
  <c r="G84" i="21" s="1"/>
  <c r="F76" i="7" s="1"/>
  <c r="F83" i="21"/>
  <c r="G83" i="21" s="1"/>
  <c r="F75" i="7" s="1"/>
  <c r="F82" i="21"/>
  <c r="G82" i="21" s="1"/>
  <c r="F74" i="7" s="1"/>
  <c r="F81" i="21"/>
  <c r="G81" i="21" s="1"/>
  <c r="F73" i="7" s="1"/>
  <c r="F80" i="21"/>
  <c r="G80" i="21" s="1"/>
  <c r="F72" i="7" s="1"/>
  <c r="F79" i="21"/>
  <c r="G79" i="21" s="1"/>
  <c r="F71" i="7" s="1"/>
  <c r="F78" i="21"/>
  <c r="G78" i="21" s="1"/>
  <c r="F70" i="7" s="1"/>
  <c r="F77" i="21"/>
  <c r="G77" i="21" s="1"/>
  <c r="F69" i="7" s="1"/>
  <c r="F76" i="21"/>
  <c r="G76" i="21" s="1"/>
  <c r="F68" i="7" s="1"/>
  <c r="F75" i="21"/>
  <c r="G75" i="21" s="1"/>
  <c r="F67" i="7" s="1"/>
  <c r="F74" i="21"/>
  <c r="G74" i="21" s="1"/>
  <c r="F66" i="7" s="1"/>
  <c r="F73" i="21"/>
  <c r="G73" i="21" s="1"/>
  <c r="F65" i="7" s="1"/>
  <c r="F72" i="21"/>
  <c r="G72" i="21" s="1"/>
  <c r="F64" i="7" s="1"/>
  <c r="F71" i="21"/>
  <c r="G71" i="21" s="1"/>
  <c r="F63" i="7" s="1"/>
  <c r="F70" i="21"/>
  <c r="G70" i="21" s="1"/>
  <c r="F62" i="7" s="1"/>
  <c r="F69" i="21"/>
  <c r="G69" i="21" s="1"/>
  <c r="F61" i="7" s="1"/>
  <c r="F68" i="21"/>
  <c r="G68" i="21" s="1"/>
  <c r="F60" i="7" s="1"/>
  <c r="F67" i="21"/>
  <c r="G67" i="21" s="1"/>
  <c r="F59" i="7" s="1"/>
  <c r="F66" i="21"/>
  <c r="G66" i="21" s="1"/>
  <c r="F58" i="7" s="1"/>
  <c r="F65" i="21"/>
  <c r="G65" i="21" s="1"/>
  <c r="F57" i="7" s="1"/>
  <c r="F64" i="21"/>
  <c r="G64" i="21" s="1"/>
  <c r="F56" i="7" s="1"/>
  <c r="F63" i="21"/>
  <c r="G63" i="21" s="1"/>
  <c r="F55" i="7" s="1"/>
  <c r="F61" i="21"/>
  <c r="G61" i="21" s="1"/>
  <c r="F53" i="7" s="1"/>
  <c r="F60" i="21"/>
  <c r="G60" i="21" s="1"/>
  <c r="F52" i="7" s="1"/>
  <c r="F59" i="21"/>
  <c r="G59" i="21" s="1"/>
  <c r="F51" i="7" s="1"/>
  <c r="F58" i="21"/>
  <c r="G58" i="21" s="1"/>
  <c r="F50" i="7" s="1"/>
  <c r="F57" i="21"/>
  <c r="G57" i="21" s="1"/>
  <c r="F49" i="7" s="1"/>
  <c r="F56" i="21"/>
  <c r="G56" i="21" s="1"/>
  <c r="F48" i="7" s="1"/>
  <c r="F55" i="21"/>
  <c r="G55" i="21" s="1"/>
  <c r="F47" i="7" s="1"/>
  <c r="F54" i="21"/>
  <c r="G54" i="21" s="1"/>
  <c r="F46" i="7" s="1"/>
  <c r="F53" i="21"/>
  <c r="G53" i="21" s="1"/>
  <c r="F45" i="7" s="1"/>
  <c r="F52" i="21"/>
  <c r="G52" i="21" s="1"/>
  <c r="F44" i="7" s="1"/>
  <c r="F51" i="21"/>
  <c r="G51" i="21" s="1"/>
  <c r="F43" i="7" s="1"/>
  <c r="F50" i="21"/>
  <c r="G50" i="21" s="1"/>
  <c r="F42" i="7" s="1"/>
  <c r="F49" i="21"/>
  <c r="G49" i="21" s="1"/>
  <c r="F41" i="7" s="1"/>
  <c r="F48" i="21"/>
  <c r="G48" i="21" s="1"/>
  <c r="F40" i="7" s="1"/>
  <c r="F47" i="21"/>
  <c r="G47" i="21" s="1"/>
  <c r="F39" i="7" s="1"/>
  <c r="F46" i="21"/>
  <c r="G46" i="21" s="1"/>
  <c r="F38" i="7" s="1"/>
  <c r="F45" i="21"/>
  <c r="G45" i="21" s="1"/>
  <c r="F37" i="7" s="1"/>
  <c r="F44" i="21"/>
  <c r="G44" i="21" s="1"/>
  <c r="F36" i="7" s="1"/>
  <c r="F42" i="21"/>
  <c r="G42" i="21" s="1"/>
  <c r="F34" i="7" s="1"/>
  <c r="F41" i="21"/>
  <c r="G41" i="21" s="1"/>
  <c r="F33" i="7" s="1"/>
  <c r="F40" i="21"/>
  <c r="G40" i="21" s="1"/>
  <c r="F32" i="7" s="1"/>
  <c r="F38" i="21"/>
  <c r="G38" i="21" s="1"/>
  <c r="F30" i="7" s="1"/>
  <c r="F36" i="21"/>
  <c r="G36" i="21" s="1"/>
  <c r="F28" i="7" s="1"/>
  <c r="F35" i="21"/>
  <c r="G35" i="21" s="1"/>
  <c r="F27" i="7" s="1"/>
  <c r="F34" i="21"/>
  <c r="G34" i="21" s="1"/>
  <c r="F26" i="7" s="1"/>
  <c r="F33" i="21"/>
  <c r="G33" i="21" s="1"/>
  <c r="F25" i="7" s="1"/>
  <c r="F32" i="21"/>
  <c r="G32" i="21" s="1"/>
  <c r="F24" i="7" s="1"/>
  <c r="F31" i="21"/>
  <c r="G31" i="21" s="1"/>
  <c r="F23" i="7" s="1"/>
  <c r="F30" i="21"/>
  <c r="G30" i="21" s="1"/>
  <c r="F22" i="7" s="1"/>
  <c r="F29" i="21"/>
  <c r="G29" i="21" s="1"/>
  <c r="F21" i="7" s="1"/>
  <c r="F28" i="21"/>
  <c r="G28" i="21" s="1"/>
  <c r="F20" i="7" s="1"/>
  <c r="F27" i="21"/>
  <c r="G27" i="21" s="1"/>
  <c r="F19" i="7" s="1"/>
  <c r="F26" i="21"/>
  <c r="G26" i="21" s="1"/>
  <c r="F18" i="7" s="1"/>
  <c r="F25" i="21"/>
  <c r="G25" i="21" s="1"/>
  <c r="F17" i="7" s="1"/>
  <c r="F24" i="21"/>
  <c r="G24" i="21" s="1"/>
  <c r="F16" i="7" s="1"/>
  <c r="F23" i="21"/>
  <c r="G23" i="21" s="1"/>
  <c r="F15" i="7" s="1"/>
  <c r="F22" i="21"/>
  <c r="G22" i="21" s="1"/>
  <c r="F14" i="7" s="1"/>
  <c r="F21" i="21"/>
  <c r="G21" i="21" s="1"/>
  <c r="F13" i="7" s="1"/>
  <c r="F20" i="21"/>
  <c r="G20" i="21" s="1"/>
  <c r="F12" i="7" s="1"/>
  <c r="F17" i="21"/>
  <c r="G17" i="21" s="1"/>
  <c r="F9" i="7" s="1"/>
  <c r="F16" i="21"/>
  <c r="G16" i="21" s="1"/>
  <c r="F8" i="7" s="1"/>
  <c r="F15" i="21"/>
  <c r="G15" i="21" s="1"/>
  <c r="F7" i="7" s="1"/>
  <c r="F13" i="21"/>
  <c r="G13" i="21" s="1"/>
  <c r="F5" i="7" s="1"/>
  <c r="F12" i="21"/>
  <c r="G12" i="21" s="1"/>
  <c r="F4" i="7" s="1"/>
  <c r="AM196" i="21"/>
  <c r="AL196" i="21"/>
  <c r="AK196" i="21"/>
  <c r="AJ196" i="21"/>
  <c r="AI196" i="21"/>
  <c r="AM14" i="11"/>
  <c r="AL14" i="11"/>
  <c r="AK14" i="11"/>
  <c r="AJ14" i="11"/>
  <c r="AI14" i="11"/>
  <c r="F16" i="1"/>
  <c r="G19" i="10"/>
  <c r="D171" i="7" s="1"/>
  <c r="F18" i="10"/>
  <c r="G18" i="10" s="1"/>
  <c r="D111" i="7" s="1"/>
  <c r="F17" i="10"/>
  <c r="G17" i="10" s="1"/>
  <c r="D93" i="7" s="1"/>
  <c r="F15" i="10"/>
  <c r="G15" i="10" s="1"/>
  <c r="D67" i="7" s="1"/>
  <c r="F12" i="10"/>
  <c r="G12" i="10" s="1"/>
  <c r="D43" i="7" s="1"/>
  <c r="AM21" i="10"/>
  <c r="AL21" i="10"/>
  <c r="AK21" i="10"/>
  <c r="AJ21" i="10"/>
  <c r="AI21" i="10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R196" i="1"/>
  <c r="Q196" i="1"/>
  <c r="P196" i="1"/>
  <c r="O196" i="1"/>
  <c r="K196" i="1"/>
  <c r="J196" i="1"/>
  <c r="I196" i="1"/>
  <c r="G16" i="4" l="1"/>
  <c r="H75" i="7" s="1"/>
  <c r="G28" i="4"/>
  <c r="H173" i="7" s="1"/>
  <c r="G22" i="4"/>
  <c r="H129" i="7" s="1"/>
  <c r="G24" i="4"/>
  <c r="H148" i="7" s="1"/>
  <c r="I127" i="7"/>
  <c r="I128" i="7"/>
  <c r="G12" i="4"/>
  <c r="H5" i="7" s="1"/>
  <c r="F168" i="7"/>
  <c r="F169" i="7"/>
  <c r="G102" i="24"/>
  <c r="I94" i="7" s="1"/>
  <c r="G53" i="22"/>
  <c r="G45" i="7" s="1"/>
  <c r="G156" i="22"/>
  <c r="G148" i="7" s="1"/>
  <c r="G125" i="22"/>
  <c r="G117" i="7" s="1"/>
  <c r="F19" i="21"/>
  <c r="G19" i="21" s="1"/>
  <c r="F11" i="7" s="1"/>
  <c r="F14" i="21"/>
  <c r="G14" i="21" s="1"/>
  <c r="F6" i="7" s="1"/>
  <c r="F19" i="24"/>
  <c r="G19" i="24" s="1"/>
  <c r="I11" i="7" s="1"/>
  <c r="N198" i="22" l="1"/>
  <c r="F13" i="22"/>
  <c r="N31" i="18"/>
  <c r="N196" i="1"/>
  <c r="G13" i="22" l="1"/>
  <c r="G5" i="7" s="1"/>
  <c r="F31" i="18"/>
  <c r="J11" i="7"/>
  <c r="G31" i="18" l="1"/>
  <c r="F37" i="22"/>
  <c r="F62" i="24"/>
  <c r="G62" i="24" s="1"/>
  <c r="I54" i="7" s="1"/>
  <c r="F145" i="21"/>
  <c r="G145" i="21" s="1"/>
  <c r="F137" i="7" s="1"/>
  <c r="F136" i="21"/>
  <c r="G136" i="21" s="1"/>
  <c r="F128" i="7" s="1"/>
  <c r="F122" i="21"/>
  <c r="G122" i="21" s="1"/>
  <c r="F114" i="7" s="1"/>
  <c r="F62" i="21"/>
  <c r="G62" i="21" s="1"/>
  <c r="F54" i="7" s="1"/>
  <c r="F43" i="21"/>
  <c r="G43" i="21" s="1"/>
  <c r="F35" i="7" s="1"/>
  <c r="F18" i="21"/>
  <c r="G18" i="21" s="1"/>
  <c r="F10" i="7" s="1"/>
  <c r="M196" i="1" l="1"/>
  <c r="G37" i="22"/>
  <c r="G29" i="7" s="1"/>
  <c r="F122" i="22"/>
  <c r="G122" i="22" s="1"/>
  <c r="G114" i="7" s="1"/>
  <c r="M198" i="22"/>
  <c r="F43" i="24"/>
  <c r="G43" i="24" s="1"/>
  <c r="I35" i="7" s="1"/>
  <c r="E21" i="10" l="1"/>
  <c r="F108" i="24" l="1"/>
  <c r="F194" i="24"/>
  <c r="G194" i="24" s="1"/>
  <c r="I186" i="7" s="1"/>
  <c r="Y196" i="24"/>
  <c r="Z196" i="24"/>
  <c r="AA196" i="24"/>
  <c r="AB196" i="24"/>
  <c r="AC196" i="24"/>
  <c r="AD196" i="24"/>
  <c r="AE196" i="24"/>
  <c r="AF196" i="24"/>
  <c r="AG196" i="24"/>
  <c r="AH196" i="24"/>
  <c r="G108" i="24" l="1"/>
  <c r="I100" i="7" s="1"/>
  <c r="F196" i="24"/>
  <c r="F128" i="22"/>
  <c r="L198" i="22"/>
  <c r="F39" i="21"/>
  <c r="G39" i="21" s="1"/>
  <c r="F31" i="7" s="1"/>
  <c r="F37" i="21"/>
  <c r="G37" i="21" s="1"/>
  <c r="F29" i="7" s="1"/>
  <c r="G196" i="24" l="1"/>
  <c r="G128" i="22"/>
  <c r="G120" i="7" s="1"/>
  <c r="F198" i="22"/>
  <c r="F128" i="21"/>
  <c r="G128" i="21" s="1"/>
  <c r="F120" i="7" s="1"/>
  <c r="F153" i="21"/>
  <c r="G153" i="21" s="1"/>
  <c r="F145" i="7" s="1"/>
  <c r="L196" i="1" l="1"/>
  <c r="AF2" i="24"/>
  <c r="AB2" i="24"/>
  <c r="V2" i="24"/>
  <c r="P2" i="24"/>
  <c r="J2" i="24"/>
  <c r="AF1" i="24"/>
  <c r="AB1" i="24"/>
  <c r="V1" i="24"/>
  <c r="P1" i="24"/>
  <c r="J1" i="24"/>
  <c r="I194" i="7" l="1"/>
  <c r="AB2" i="22"/>
  <c r="AG1" i="22"/>
  <c r="AB1" i="22"/>
  <c r="V1" i="22"/>
  <c r="P1" i="22"/>
  <c r="J1" i="22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T196" i="21"/>
  <c r="S196" i="21"/>
  <c r="R196" i="21"/>
  <c r="P196" i="21"/>
  <c r="O196" i="21"/>
  <c r="N196" i="21"/>
  <c r="M196" i="21"/>
  <c r="L196" i="21"/>
  <c r="K196" i="21"/>
  <c r="J196" i="21"/>
  <c r="I196" i="21"/>
  <c r="H196" i="21"/>
  <c r="AG2" i="21"/>
  <c r="AG1" i="21"/>
  <c r="AB1" i="21"/>
  <c r="V1" i="21"/>
  <c r="P1" i="21"/>
  <c r="J1" i="21"/>
  <c r="G190" i="22" l="1"/>
  <c r="G182" i="7" s="1"/>
  <c r="AG2" i="22"/>
  <c r="J2" i="22"/>
  <c r="P2" i="21"/>
  <c r="P2" i="22"/>
  <c r="V2" i="22"/>
  <c r="F196" i="21"/>
  <c r="V2" i="21"/>
  <c r="AB2" i="21"/>
  <c r="J2" i="21"/>
  <c r="G198" i="22" l="1"/>
  <c r="G196" i="21"/>
  <c r="G194" i="7" l="1"/>
  <c r="F12" i="11" l="1"/>
  <c r="G12" i="11" s="1"/>
  <c r="E192" i="7" s="1"/>
  <c r="E194" i="7" s="1"/>
  <c r="G14" i="11" l="1"/>
  <c r="F14" i="11"/>
  <c r="H14" i="11" l="1"/>
  <c r="I14" i="11"/>
  <c r="J14" i="11"/>
  <c r="K14" i="11"/>
  <c r="L14" i="11"/>
  <c r="M14" i="11"/>
  <c r="N14" i="11"/>
  <c r="O14" i="11"/>
  <c r="P14" i="11"/>
  <c r="Q14" i="11"/>
  <c r="R14" i="11"/>
  <c r="C21" i="10"/>
  <c r="AF2" i="18" l="1"/>
  <c r="AB2" i="18"/>
  <c r="V2" i="18"/>
  <c r="P2" i="18"/>
  <c r="J2" i="18"/>
  <c r="AF1" i="18"/>
  <c r="AB1" i="18"/>
  <c r="V1" i="18"/>
  <c r="P1" i="18"/>
  <c r="J1" i="18"/>
  <c r="J194" i="7" l="1"/>
  <c r="AG2" i="4" l="1"/>
  <c r="AG1" i="4"/>
  <c r="AB2" i="4"/>
  <c r="AB1" i="4"/>
  <c r="V2" i="4"/>
  <c r="V1" i="4"/>
  <c r="P2" i="4"/>
  <c r="P1" i="4"/>
  <c r="J2" i="4"/>
  <c r="J1" i="4"/>
  <c r="AF1" i="11"/>
  <c r="Z1" i="11"/>
  <c r="R1" i="11"/>
  <c r="J1" i="11"/>
  <c r="AE1" i="10"/>
  <c r="X1" i="10"/>
  <c r="Q1" i="10"/>
  <c r="J1" i="10"/>
  <c r="AF2" i="1"/>
  <c r="AF1" i="1"/>
  <c r="AB2" i="1"/>
  <c r="AB1" i="1"/>
  <c r="V2" i="1"/>
  <c r="V1" i="1"/>
  <c r="P2" i="1"/>
  <c r="P1" i="1"/>
  <c r="J2" i="1"/>
  <c r="J1" i="1"/>
  <c r="C4" i="10" l="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AA21" i="10"/>
  <c r="AB21" i="10"/>
  <c r="AC21" i="10"/>
  <c r="AD21" i="10"/>
  <c r="AE21" i="10"/>
  <c r="AF21" i="10"/>
  <c r="AG21" i="10"/>
  <c r="AH21" i="10"/>
  <c r="AF2" i="11" l="1"/>
  <c r="Z2" i="11"/>
  <c r="R2" i="11"/>
  <c r="J2" i="11"/>
  <c r="AE2" i="10"/>
  <c r="Q2" i="10"/>
  <c r="X2" i="10"/>
  <c r="J2" i="10"/>
  <c r="F194" i="7" l="1"/>
  <c r="V21" i="10" l="1"/>
  <c r="K21" i="10"/>
  <c r="M21" i="10"/>
  <c r="T21" i="10"/>
  <c r="H21" i="10"/>
  <c r="P21" i="10"/>
  <c r="X21" i="10"/>
  <c r="U21" i="10"/>
  <c r="W21" i="10"/>
  <c r="S21" i="10"/>
  <c r="J21" i="10"/>
  <c r="Q21" i="10"/>
  <c r="O21" i="10"/>
  <c r="R21" i="10"/>
  <c r="Z21" i="10"/>
  <c r="N21" i="10"/>
  <c r="L21" i="10"/>
  <c r="I21" i="10"/>
  <c r="F13" i="10"/>
  <c r="G13" i="10" s="1"/>
  <c r="Y21" i="10"/>
  <c r="G21" i="10" l="1"/>
  <c r="D56" i="7"/>
  <c r="D194" i="7" s="1"/>
  <c r="F21" i="10"/>
  <c r="F57" i="1" l="1"/>
  <c r="G57" i="1" s="1"/>
  <c r="C49" i="7" s="1"/>
  <c r="F56" i="1"/>
  <c r="G56" i="1" s="1"/>
  <c r="C48" i="7" s="1"/>
  <c r="H196" i="1"/>
  <c r="F137" i="1"/>
  <c r="G137" i="1" s="1"/>
  <c r="C129" i="7" s="1"/>
  <c r="F94" i="1"/>
  <c r="G94" i="1" s="1"/>
  <c r="C86" i="7" s="1"/>
  <c r="F99" i="1"/>
  <c r="G99" i="1" s="1"/>
  <c r="C91" i="7" s="1"/>
  <c r="F37" i="1"/>
  <c r="G37" i="1" s="1"/>
  <c r="C29" i="7" s="1"/>
  <c r="F146" i="1"/>
  <c r="G146" i="1" s="1"/>
  <c r="C138" i="7" s="1"/>
  <c r="F98" i="1"/>
  <c r="G98" i="1" s="1"/>
  <c r="C90" i="7" s="1"/>
  <c r="F50" i="1"/>
  <c r="G50" i="1" s="1"/>
  <c r="C42" i="7" s="1"/>
  <c r="F147" i="1"/>
  <c r="G147" i="1" s="1"/>
  <c r="C139" i="7" s="1"/>
  <c r="F149" i="1"/>
  <c r="G149" i="1" s="1"/>
  <c r="C141" i="7" s="1"/>
  <c r="F183" i="1"/>
  <c r="G183" i="1" s="1"/>
  <c r="C175" i="7" s="1"/>
  <c r="F60" i="1"/>
  <c r="G60" i="1" s="1"/>
  <c r="C52" i="7" s="1"/>
  <c r="F17" i="1"/>
  <c r="G17" i="1" s="1"/>
  <c r="C9" i="7" s="1"/>
  <c r="F106" i="1"/>
  <c r="G106" i="1" s="1"/>
  <c r="C98" i="7" s="1"/>
  <c r="F129" i="1"/>
  <c r="G129" i="1" s="1"/>
  <c r="C121" i="7" s="1"/>
  <c r="F167" i="1"/>
  <c r="G167" i="1" s="1"/>
  <c r="C159" i="7" s="1"/>
  <c r="F151" i="1"/>
  <c r="G151" i="1"/>
  <c r="C143" i="7" s="1"/>
  <c r="F49" i="1"/>
  <c r="G49" i="1" s="1"/>
  <c r="C41" i="7" s="1"/>
  <c r="F155" i="1"/>
  <c r="G155" i="1" s="1"/>
  <c r="C147" i="7" s="1"/>
  <c r="F124" i="1"/>
  <c r="G124" i="1" s="1"/>
  <c r="C116" i="7" s="1"/>
  <c r="F84" i="1"/>
  <c r="G84" i="1" s="1"/>
  <c r="C76" i="7" s="1"/>
  <c r="F191" i="1"/>
  <c r="G191" i="1" s="1"/>
  <c r="C183" i="7" s="1"/>
  <c r="F95" i="1"/>
  <c r="G95" i="1" s="1"/>
  <c r="C87" i="7" s="1"/>
  <c r="F52" i="1"/>
  <c r="G52" i="1" s="1"/>
  <c r="C44" i="7" s="1"/>
  <c r="F159" i="1"/>
  <c r="G159" i="1" s="1"/>
  <c r="C151" i="7" s="1"/>
  <c r="F175" i="1"/>
  <c r="G175" i="1" s="1"/>
  <c r="C167" i="7" s="1"/>
  <c r="F69" i="1"/>
  <c r="G69" i="1" s="1"/>
  <c r="C61" i="7" s="1"/>
  <c r="F142" i="1"/>
  <c r="G142" i="1" s="1"/>
  <c r="C134" i="7" s="1"/>
  <c r="F190" i="1"/>
  <c r="G190" i="1" s="1"/>
  <c r="C182" i="7" s="1"/>
  <c r="F87" i="1"/>
  <c r="G87" i="1" s="1"/>
  <c r="C79" i="7" s="1"/>
  <c r="F162" i="1"/>
  <c r="G162" i="1" s="1"/>
  <c r="C154" i="7" s="1"/>
  <c r="F90" i="1"/>
  <c r="G90" i="1" s="1"/>
  <c r="C82" i="7" s="1"/>
  <c r="F148" i="1"/>
  <c r="G148" i="1" s="1"/>
  <c r="C140" i="7" s="1"/>
  <c r="F153" i="1"/>
  <c r="G153" i="1" s="1"/>
  <c r="C145" i="7" s="1"/>
  <c r="F41" i="1"/>
  <c r="G41" i="1" s="1"/>
  <c r="C33" i="7" s="1"/>
  <c r="F101" i="1"/>
  <c r="G101" i="1" s="1"/>
  <c r="C93" i="7" s="1"/>
  <c r="F55" i="1"/>
  <c r="G55" i="1" s="1"/>
  <c r="C47" i="7" s="1"/>
  <c r="F131" i="1"/>
  <c r="G131" i="1" s="1"/>
  <c r="C123" i="7" s="1"/>
  <c r="F123" i="1"/>
  <c r="G123" i="1" s="1"/>
  <c r="C115" i="7" s="1"/>
  <c r="F134" i="1"/>
  <c r="G134" i="1" s="1"/>
  <c r="C126" i="7" s="1"/>
  <c r="F158" i="1"/>
  <c r="G158" i="1" s="1"/>
  <c r="C150" i="7" s="1"/>
  <c r="F46" i="1"/>
  <c r="G46" i="1" s="1"/>
  <c r="C38" i="7" s="1"/>
  <c r="F85" i="1"/>
  <c r="G85" i="1" s="1"/>
  <c r="C77" i="7" s="1"/>
  <c r="F43" i="1"/>
  <c r="G43" i="1" s="1"/>
  <c r="C35" i="7" s="1"/>
  <c r="F117" i="1"/>
  <c r="G117" i="1" s="1"/>
  <c r="C109" i="7" s="1"/>
  <c r="F32" i="1"/>
  <c r="G32" i="1" s="1"/>
  <c r="C24" i="7" s="1"/>
  <c r="F178" i="1"/>
  <c r="G178" i="1" s="1"/>
  <c r="C170" i="7" s="1"/>
  <c r="F23" i="1"/>
  <c r="G23" i="1" s="1"/>
  <c r="C15" i="7" s="1"/>
  <c r="F187" i="1"/>
  <c r="G187" i="1" s="1"/>
  <c r="C179" i="7" s="1"/>
  <c r="F102" i="1"/>
  <c r="G102" i="1" s="1"/>
  <c r="C94" i="7" s="1"/>
  <c r="F115" i="1"/>
  <c r="G115" i="1" s="1"/>
  <c r="C107" i="7" s="1"/>
  <c r="F189" i="1"/>
  <c r="G189" i="1" s="1"/>
  <c r="C181" i="7" s="1"/>
  <c r="F184" i="1"/>
  <c r="G184" i="1" s="1"/>
  <c r="C176" i="7" s="1"/>
  <c r="F173" i="1"/>
  <c r="G173" i="1" s="1"/>
  <c r="C165" i="7" s="1"/>
  <c r="F58" i="1"/>
  <c r="G58" i="1" s="1"/>
  <c r="C50" i="7" s="1"/>
  <c r="F77" i="1"/>
  <c r="G77" i="1" s="1"/>
  <c r="C69" i="7" s="1"/>
  <c r="F31" i="1"/>
  <c r="G31" i="1" s="1"/>
  <c r="C23" i="7" s="1"/>
  <c r="F141" i="1"/>
  <c r="G141" i="1" s="1"/>
  <c r="C133" i="7" s="1"/>
  <c r="F119" i="1"/>
  <c r="G119" i="1" s="1"/>
  <c r="C111" i="7" s="1"/>
  <c r="F70" i="1"/>
  <c r="G70" i="1" s="1"/>
  <c r="C62" i="7" s="1"/>
  <c r="F109" i="1"/>
  <c r="G109" i="1" s="1"/>
  <c r="C101" i="7" s="1"/>
  <c r="F104" i="1"/>
  <c r="G104" i="1" s="1"/>
  <c r="C96" i="7" s="1"/>
  <c r="F82" i="1"/>
  <c r="G82" i="1" s="1"/>
  <c r="C74" i="7" s="1"/>
  <c r="F143" i="1"/>
  <c r="G143" i="1" s="1"/>
  <c r="C135" i="7" s="1"/>
  <c r="F177" i="1"/>
  <c r="G177" i="1" s="1"/>
  <c r="C169" i="7" s="1"/>
  <c r="F136" i="1"/>
  <c r="G136" i="1" s="1"/>
  <c r="C128" i="7" s="1"/>
  <c r="F59" i="1"/>
  <c r="G59" i="1" s="1"/>
  <c r="C51" i="7" s="1"/>
  <c r="F96" i="1"/>
  <c r="G96" i="1" s="1"/>
  <c r="C88" i="7" s="1"/>
  <c r="F89" i="1"/>
  <c r="G89" i="1" s="1"/>
  <c r="C81" i="7" s="1"/>
  <c r="F194" i="1"/>
  <c r="G194" i="1" s="1"/>
  <c r="C186" i="7" s="1"/>
  <c r="F150" i="1"/>
  <c r="G150" i="1" s="1"/>
  <c r="C142" i="7" s="1"/>
  <c r="F180" i="1"/>
  <c r="G180" i="1" s="1"/>
  <c r="C172" i="7" s="1"/>
  <c r="F62" i="1"/>
  <c r="G62" i="1" s="1"/>
  <c r="C54" i="7" s="1"/>
  <c r="F39" i="1"/>
  <c r="G39" i="1" s="1"/>
  <c r="C31" i="7" s="1"/>
  <c r="F111" i="1"/>
  <c r="G111" i="1"/>
  <c r="C103" i="7" s="1"/>
  <c r="F163" i="1"/>
  <c r="G163" i="1" s="1"/>
  <c r="C155" i="7" s="1"/>
  <c r="F91" i="1"/>
  <c r="G91" i="1" s="1"/>
  <c r="C83" i="7" s="1"/>
  <c r="F83" i="1"/>
  <c r="G83" i="1" s="1"/>
  <c r="C75" i="7" s="1"/>
  <c r="F81" i="1"/>
  <c r="G81" i="1" s="1"/>
  <c r="C73" i="7" s="1"/>
  <c r="F138" i="1"/>
  <c r="G138" i="1" s="1"/>
  <c r="C130" i="7" s="1"/>
  <c r="F126" i="1"/>
  <c r="G126" i="1" s="1"/>
  <c r="C118" i="7" s="1"/>
  <c r="F128" i="1"/>
  <c r="G128" i="1" s="1"/>
  <c r="C120" i="7" s="1"/>
  <c r="F164" i="1"/>
  <c r="G164" i="1" s="1"/>
  <c r="C156" i="7" s="1"/>
  <c r="F188" i="1"/>
  <c r="G188" i="1" s="1"/>
  <c r="C180" i="7" s="1"/>
  <c r="F170" i="1"/>
  <c r="G170" i="1" s="1"/>
  <c r="C162" i="7" s="1"/>
  <c r="F38" i="1"/>
  <c r="G38" i="1" s="1"/>
  <c r="C30" i="7" s="1"/>
  <c r="F25" i="1"/>
  <c r="G25" i="1" s="1"/>
  <c r="C17" i="7" s="1"/>
  <c r="F139" i="1"/>
  <c r="G139" i="1" s="1"/>
  <c r="C131" i="7" s="1"/>
  <c r="F36" i="1"/>
  <c r="G36" i="1" s="1"/>
  <c r="C28" i="7" s="1"/>
  <c r="F185" i="1"/>
  <c r="G185" i="1" s="1"/>
  <c r="C177" i="7" s="1"/>
  <c r="F34" i="1"/>
  <c r="G34" i="1" s="1"/>
  <c r="C26" i="7" s="1"/>
  <c r="F40" i="1"/>
  <c r="G40" i="1" s="1"/>
  <c r="C32" i="7" s="1"/>
  <c r="F165" i="1"/>
  <c r="G165" i="1" s="1"/>
  <c r="C157" i="7" s="1"/>
  <c r="F93" i="1"/>
  <c r="G93" i="1" s="1"/>
  <c r="C85" i="7" s="1"/>
  <c r="F97" i="1"/>
  <c r="G97" i="1" s="1"/>
  <c r="C89" i="7" s="1"/>
  <c r="F152" i="1"/>
  <c r="G152" i="1" s="1"/>
  <c r="C144" i="7" s="1"/>
  <c r="F105" i="1"/>
  <c r="G105" i="1" s="1"/>
  <c r="C97" i="7" s="1"/>
  <c r="F114" i="1"/>
  <c r="G114" i="1" s="1"/>
  <c r="C106" i="7" s="1"/>
  <c r="F110" i="1"/>
  <c r="G110" i="1" s="1"/>
  <c r="C102" i="7" s="1"/>
  <c r="F20" i="1"/>
  <c r="G20" i="1" s="1"/>
  <c r="C12" i="7" s="1"/>
  <c r="F156" i="1"/>
  <c r="G156" i="1" s="1"/>
  <c r="C148" i="7" s="1"/>
  <c r="F53" i="1"/>
  <c r="G53" i="1" s="1"/>
  <c r="C45" i="7" s="1"/>
  <c r="F12" i="1"/>
  <c r="G12" i="1" s="1"/>
  <c r="C4" i="7" s="1"/>
  <c r="F61" i="1"/>
  <c r="G61" i="1" s="1"/>
  <c r="C53" i="7" s="1"/>
  <c r="F133" i="1"/>
  <c r="G133" i="1" s="1"/>
  <c r="C125" i="7" s="1"/>
  <c r="F64" i="1"/>
  <c r="G64" i="1" s="1"/>
  <c r="C56" i="7" s="1"/>
  <c r="F26" i="1"/>
  <c r="G26" i="1" s="1"/>
  <c r="C18" i="7" s="1"/>
  <c r="F176" i="1"/>
  <c r="G176" i="1" s="1"/>
  <c r="C168" i="7" s="1"/>
  <c r="F120" i="1"/>
  <c r="G120" i="1" s="1"/>
  <c r="C112" i="7" s="1"/>
  <c r="F22" i="1"/>
  <c r="G22" i="1" s="1"/>
  <c r="C14" i="7" s="1"/>
  <c r="F72" i="1"/>
  <c r="G72" i="1" s="1"/>
  <c r="C64" i="7" s="1"/>
  <c r="F71" i="1"/>
  <c r="G71" i="1" s="1"/>
  <c r="C63" i="7" s="1"/>
  <c r="F47" i="1"/>
  <c r="G47" i="1" s="1"/>
  <c r="C39" i="7" s="1"/>
  <c r="F45" i="1"/>
  <c r="G45" i="1" s="1"/>
  <c r="C37" i="7" s="1"/>
  <c r="F13" i="1"/>
  <c r="G13" i="1" s="1"/>
  <c r="C5" i="7" s="1"/>
  <c r="F29" i="1"/>
  <c r="G29" i="1" s="1"/>
  <c r="C21" i="7" s="1"/>
  <c r="F186" i="1"/>
  <c r="G186" i="1" s="1"/>
  <c r="C178" i="7" s="1"/>
  <c r="F121" i="1"/>
  <c r="G121" i="1" s="1"/>
  <c r="C113" i="7" s="1"/>
  <c r="F18" i="1"/>
  <c r="G18" i="1" s="1"/>
  <c r="C10" i="7" s="1"/>
  <c r="F122" i="1"/>
  <c r="G122" i="1" s="1"/>
  <c r="C114" i="7" s="1"/>
  <c r="F66" i="1"/>
  <c r="G66" i="1" s="1"/>
  <c r="C58" i="7" s="1"/>
  <c r="F30" i="1"/>
  <c r="G30" i="1" s="1"/>
  <c r="C22" i="7" s="1"/>
  <c r="F168" i="1"/>
  <c r="G168" i="1" s="1"/>
  <c r="C160" i="7" s="1"/>
  <c r="F100" i="1"/>
  <c r="G100" i="1" s="1"/>
  <c r="C92" i="7" s="1"/>
  <c r="F21" i="1"/>
  <c r="G21" i="1" s="1"/>
  <c r="C13" i="7" s="1"/>
  <c r="F73" i="1"/>
  <c r="G73" i="1" s="1"/>
  <c r="C65" i="7" s="1"/>
  <c r="F78" i="1"/>
  <c r="G78" i="1" s="1"/>
  <c r="C70" i="7" s="1"/>
  <c r="F19" i="1"/>
  <c r="G19" i="1" s="1"/>
  <c r="C11" i="7" s="1"/>
  <c r="F107" i="1"/>
  <c r="G107" i="1" s="1"/>
  <c r="C99" i="7" s="1"/>
  <c r="F28" i="1"/>
  <c r="G28" i="1" s="1"/>
  <c r="C20" i="7" s="1"/>
  <c r="F65" i="1"/>
  <c r="G65" i="1"/>
  <c r="C57" i="7" s="1"/>
  <c r="F54" i="1"/>
  <c r="G54" i="1" s="1"/>
  <c r="C46" i="7" s="1"/>
  <c r="F27" i="1"/>
  <c r="G27" i="1" s="1"/>
  <c r="C19" i="7" s="1"/>
  <c r="F113" i="1"/>
  <c r="G113" i="1" s="1"/>
  <c r="C105" i="7" s="1"/>
  <c r="F157" i="1"/>
  <c r="G157" i="1" s="1"/>
  <c r="C149" i="7" s="1"/>
  <c r="F103" i="1"/>
  <c r="G103" i="1" s="1"/>
  <c r="C95" i="7" s="1"/>
  <c r="F108" i="1"/>
  <c r="G108" i="1" s="1"/>
  <c r="C100" i="7" s="1"/>
  <c r="F179" i="1"/>
  <c r="G179" i="1" s="1"/>
  <c r="C171" i="7" s="1"/>
  <c r="F118" i="1"/>
  <c r="G118" i="1" s="1"/>
  <c r="C110" i="7" s="1"/>
  <c r="F161" i="1"/>
  <c r="G161" i="1" s="1"/>
  <c r="C153" i="7" s="1"/>
  <c r="F154" i="1"/>
  <c r="G154" i="1" s="1"/>
  <c r="C146" i="7" s="1"/>
  <c r="F75" i="1"/>
  <c r="G75" i="1" s="1"/>
  <c r="C67" i="7" s="1"/>
  <c r="F169" i="1"/>
  <c r="G169" i="1" s="1"/>
  <c r="C161" i="7" s="1"/>
  <c r="F48" i="1"/>
  <c r="G48" i="1" s="1"/>
  <c r="C40" i="7" s="1"/>
  <c r="F127" i="1"/>
  <c r="G127" i="1" s="1"/>
  <c r="C119" i="7" s="1"/>
  <c r="F15" i="1"/>
  <c r="G15" i="1" s="1"/>
  <c r="C7" i="7" s="1"/>
  <c r="F42" i="1"/>
  <c r="G42" i="1" s="1"/>
  <c r="C34" i="7" s="1"/>
  <c r="F74" i="1"/>
  <c r="G74" i="1" s="1"/>
  <c r="C66" i="7" s="1"/>
  <c r="F14" i="1"/>
  <c r="G14" i="1" s="1"/>
  <c r="C6" i="7" s="1"/>
  <c r="F130" i="1"/>
  <c r="G130" i="1" s="1"/>
  <c r="C122" i="7" s="1"/>
  <c r="F145" i="1"/>
  <c r="G145" i="1" s="1"/>
  <c r="C137" i="7" s="1"/>
  <c r="F76" i="1"/>
  <c r="G76" i="1" s="1"/>
  <c r="C68" i="7" s="1"/>
  <c r="F160" i="1"/>
  <c r="G160" i="1" s="1"/>
  <c r="C152" i="7" s="1"/>
  <c r="F86" i="1"/>
  <c r="G86" i="1" s="1"/>
  <c r="C78" i="7" s="1"/>
  <c r="F112" i="1"/>
  <c r="G112" i="1" s="1"/>
  <c r="C104" i="7" s="1"/>
  <c r="F35" i="1"/>
  <c r="G35" i="1" s="1"/>
  <c r="C27" i="7" s="1"/>
  <c r="F172" i="1"/>
  <c r="G172" i="1" s="1"/>
  <c r="C164" i="7" s="1"/>
  <c r="F192" i="1"/>
  <c r="G192" i="1" s="1"/>
  <c r="C184" i="7" s="1"/>
  <c r="F171" i="1"/>
  <c r="G171" i="1" s="1"/>
  <c r="C163" i="7" s="1"/>
  <c r="F132" i="1"/>
  <c r="G132" i="1" s="1"/>
  <c r="C124" i="7" s="1"/>
  <c r="F140" i="1"/>
  <c r="G140" i="1" s="1"/>
  <c r="C132" i="7" s="1"/>
  <c r="F166" i="1"/>
  <c r="G166" i="1" s="1"/>
  <c r="C158" i="7" s="1"/>
  <c r="F63" i="1"/>
  <c r="G63" i="1" s="1"/>
  <c r="C55" i="7" s="1"/>
  <c r="F125" i="1"/>
  <c r="G125" i="1" s="1"/>
  <c r="C117" i="7" s="1"/>
  <c r="F80" i="1"/>
  <c r="G80" i="1" s="1"/>
  <c r="C72" i="7" s="1"/>
  <c r="F67" i="1"/>
  <c r="G67" i="1" s="1"/>
  <c r="C59" i="7" s="1"/>
  <c r="F68" i="1"/>
  <c r="G68" i="1" s="1"/>
  <c r="C60" i="7" s="1"/>
  <c r="F144" i="1"/>
  <c r="G144" i="1" s="1"/>
  <c r="C136" i="7" s="1"/>
  <c r="F51" i="1"/>
  <c r="G51" i="1" s="1"/>
  <c r="C43" i="7" s="1"/>
  <c r="F116" i="1"/>
  <c r="G116" i="1" s="1"/>
  <c r="C108" i="7" s="1"/>
  <c r="F44" i="1"/>
  <c r="G44" i="1" s="1"/>
  <c r="C36" i="7" s="1"/>
  <c r="F92" i="1"/>
  <c r="G92" i="1" s="1"/>
  <c r="C84" i="7" s="1"/>
  <c r="F174" i="1"/>
  <c r="G174" i="1" s="1"/>
  <c r="C166" i="7" s="1"/>
  <c r="F24" i="1"/>
  <c r="G24" i="1" s="1"/>
  <c r="C16" i="7" s="1"/>
  <c r="F182" i="1"/>
  <c r="G182" i="1" s="1"/>
  <c r="C174" i="7" s="1"/>
  <c r="F181" i="1"/>
  <c r="G181" i="1" s="1"/>
  <c r="C173" i="7" s="1"/>
  <c r="F193" i="1"/>
  <c r="G193" i="1" s="1"/>
  <c r="C185" i="7" s="1"/>
  <c r="F79" i="1"/>
  <c r="G79" i="1" s="1"/>
  <c r="C71" i="7" s="1"/>
  <c r="F88" i="1"/>
  <c r="G88" i="1" s="1"/>
  <c r="C80" i="7" s="1"/>
  <c r="F135" i="1"/>
  <c r="G135" i="1" s="1"/>
  <c r="C127" i="7" s="1"/>
  <c r="C194" i="7" l="1"/>
  <c r="G196" i="1"/>
  <c r="F196" i="1"/>
  <c r="F31" i="4"/>
  <c r="G31" i="4" s="1"/>
  <c r="H184" i="7" l="1"/>
  <c r="H194" i="7" s="1"/>
  <c r="N35" i="4"/>
  <c r="M35" i="4"/>
  <c r="K35" i="4"/>
  <c r="L35" i="4"/>
  <c r="F17" i="4"/>
  <c r="G17" i="4" s="1"/>
  <c r="I35" i="4"/>
  <c r="J35" i="4"/>
  <c r="H35" i="4"/>
  <c r="F19" i="4"/>
  <c r="G19" i="4" s="1"/>
  <c r="F35" i="4"/>
  <c r="G35" i="4" l="1"/>
  <c r="H9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</authors>
  <commentList>
    <comment ref="C32" authorId="0" shapeId="0" xr:uid="{07994D08-5DBD-4F70-81B8-D7F60EE15F25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38" authorId="0" shapeId="0" xr:uid="{3BDD8961-43DC-44E4-8C50-6EFACD8E052A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42" authorId="0" shapeId="0" xr:uid="{8C663453-1674-4442-933F-91B9B181795F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E53" authorId="0" shapeId="0" xr:uid="{BC2AF180-0622-44BA-942E-977F84A6338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#0920 Elizabeth C-1</t>
        </r>
      </text>
    </comment>
    <comment ref="C60" authorId="0" shapeId="0" xr:uid="{D06680F9-FAD3-401E-8486-E343FF2C559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E65" authorId="0" shapeId="0" xr:uid="{F65113D5-3CBF-4E91-9981-BE44E8A40408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Woodland Park #3020</t>
        </r>
      </text>
    </comment>
    <comment ref="C66" authorId="0" shapeId="0" xr:uid="{53E0542D-A69D-4134-93E2-27B25F75B0A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69" authorId="0" shapeId="0" xr:uid="{E113AF28-A488-4256-9CBC-0F4D5978FE2C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0" authorId="0" shapeId="0" xr:uid="{F7BB10EB-466E-448D-8B8C-0BB01269222D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3" authorId="0" shapeId="0" xr:uid="{E21A0C8E-C1D3-49B1-89F0-F1B8FC161F1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4" authorId="0" shapeId="0" xr:uid="{E38E1086-4E44-423C-80DE-559C7D33203C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5" authorId="0" shapeId="0" xr:uid="{87DEF508-51E1-42C1-8F6A-D6F8283A3682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6" authorId="0" shapeId="0" xr:uid="{365C9CA4-BA25-433F-A036-2BECFCCCD3F5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7" authorId="0" shapeId="0" xr:uid="{3C755DFA-B77F-4C14-86F3-94916119171B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81" authorId="0" shapeId="0" xr:uid="{88CD5A61-6819-405D-AF95-1A4523992439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86" authorId="0" shapeId="0" xr:uid="{538DA419-6C44-4A23-9B9A-219D06193509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4" authorId="0" shapeId="0" xr:uid="{9765A3DD-10FE-413E-98FA-894FAE37F7B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5" authorId="0" shapeId="0" xr:uid="{D0E0F9D9-95BF-4DF8-AD29-E9F9494F2EB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6" authorId="0" shapeId="0" xr:uid="{6277BC3F-8760-483A-9355-9308F050F2AD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7" authorId="0" shapeId="0" xr:uid="{5239C780-01DF-4430-A9D4-38730E14A4A9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15" authorId="0" shapeId="0" xr:uid="{26970EF5-82D2-4E9E-9AF5-BA8D7A8F78A1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17" authorId="0" shapeId="0" xr:uid="{122D6E0A-81C9-46D6-9D8E-87F8D291DD67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18" authorId="0" shapeId="0" xr:uid="{4750AB0D-272F-431F-8D0C-55FAF5AD2A71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23" authorId="0" shapeId="0" xr:uid="{C578F595-00D5-423B-B3E8-D08C00EC82AF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24" authorId="0" shapeId="0" xr:uid="{EC8836F1-9CB5-4DA3-9B45-F06EE9608A1F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26" authorId="0" shapeId="0" xr:uid="{1B4B0280-C9E7-48E8-8EB5-06618CBCFC2F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4" authorId="0" shapeId="0" xr:uid="{9E407C98-0938-424B-8AE2-321C822D2952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7" authorId="0" shapeId="0" xr:uid="{A159BA07-86ED-4303-AB62-8B79D495AB38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8" authorId="0" shapeId="0" xr:uid="{7BA432FC-A7B3-42EE-B7BD-F3104CFF2268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9" authorId="0" shapeId="0" xr:uid="{BC867116-F3C8-473B-9464-AD43959C75C4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40" authorId="0" shapeId="0" xr:uid="{F6C21A53-5C47-4600-A6E6-4652BC914116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42" authorId="0" shapeId="0" xr:uid="{A45F78BA-C6F7-4A35-A551-AB10469D4A2C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43" authorId="0" shapeId="0" xr:uid="{57DB8634-121F-4FE0-8840-2753AFFC5B67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</t>
        </r>
      </text>
    </comment>
    <comment ref="C151" authorId="0" shapeId="0" xr:uid="{6FDE693F-11B6-48B3-BFD8-8A7D26AF144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E156" authorId="0" shapeId="0" xr:uid="{BE07EC08-23A4-41E1-93AB-1D947AA97252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#2760 Hayden and #2780 South Routt</t>
        </r>
      </text>
    </comment>
    <comment ref="C161" authorId="0" shapeId="0" xr:uid="{7C9D50F7-DA4D-408B-BB20-609BA2BD0F09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E162" authorId="0" shapeId="0" xr:uid="{11A28A93-29E6-4D3F-8FF7-D79B51B356C6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#0220 Archuleta County 50.
</t>
        </r>
      </text>
    </comment>
    <comment ref="C163" authorId="0" shapeId="0" xr:uid="{658DF2FB-219C-4737-BB3E-60DD6197EC46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69" authorId="0" shapeId="0" xr:uid="{462A438A-BE31-43AB-8719-27CD4660CB13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72" authorId="0" shapeId="0" xr:uid="{933F9B08-38A0-4367-A83C-102ACBB0ABF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</t>
        </r>
      </text>
    </comment>
    <comment ref="E198" authorId="0" shapeId="0" xr:uid="{EE5449A4-C2F1-4BC6-863D-3D7534FAC18D}">
      <text>
        <r>
          <rPr>
            <b/>
            <sz val="9"/>
            <color indexed="81"/>
            <rFont val="Tahoma"/>
            <family val="2"/>
          </rPr>
          <t xml:space="preserve">Kaleda, Steven
See "Declines" in Assignments Column for difference in allocation amount
</t>
        </r>
      </text>
    </comment>
  </commentList>
</comments>
</file>

<file path=xl/sharedStrings.xml><?xml version="1.0" encoding="utf-8"?>
<sst xmlns="http://schemas.openxmlformats.org/spreadsheetml/2006/main" count="3103" uniqueCount="665">
  <si>
    <t>Grant:</t>
  </si>
  <si>
    <t>CFDA #</t>
  </si>
  <si>
    <t>FISCAL YEAR:</t>
  </si>
  <si>
    <t>GRANT NUMBER:</t>
  </si>
  <si>
    <t xml:space="preserve">Questions regarding grant: </t>
  </si>
  <si>
    <t>Title I-A Formula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</si>
  <si>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</si>
  <si>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</si>
  <si>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</si>
  <si>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</si>
  <si>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</si>
  <si>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</si>
  <si>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</si>
  <si>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</si>
  <si>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</si>
  <si>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</si>
  <si>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</si>
  <si>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</si>
  <si>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</si>
  <si>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</si>
  <si>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</si>
  <si>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</si>
  <si>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</si>
  <si>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</si>
  <si>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</si>
  <si>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</si>
  <si>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</si>
  <si>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</si>
  <si>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</si>
  <si>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</si>
  <si>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</si>
  <si>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</si>
  <si>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</si>
  <si>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</si>
  <si>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</si>
  <si>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</si>
  <si>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</si>
  <si>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</si>
  <si>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</si>
  <si>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</si>
  <si>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</si>
  <si>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</si>
  <si>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</si>
  <si>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</si>
  <si>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</si>
  <si>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</si>
  <si>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</si>
  <si>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</si>
  <si>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</si>
  <si>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</si>
  <si>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</si>
  <si>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</si>
  <si>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</si>
  <si>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</si>
  <si>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</si>
  <si>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</si>
  <si>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</si>
  <si>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</si>
  <si>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</si>
  <si>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</si>
  <si>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</si>
  <si>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</si>
  <si>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</si>
  <si>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</si>
  <si>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</si>
  <si>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</si>
  <si>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</si>
  <si>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</si>
  <si>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</si>
  <si>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</si>
  <si>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</si>
  <si>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</si>
  <si>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</si>
  <si>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</si>
  <si>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</si>
  <si>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</si>
  <si>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</si>
  <si>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</si>
  <si>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</si>
  <si>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</si>
  <si>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</si>
  <si>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</si>
  <si>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</si>
  <si>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</si>
  <si>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</si>
  <si>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</si>
  <si>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</si>
  <si>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</si>
  <si>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</si>
  <si>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</si>
  <si>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</si>
  <si>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</si>
  <si>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</si>
  <si>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</si>
  <si>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</si>
  <si>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</si>
  <si>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</si>
  <si>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</si>
  <si>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</si>
  <si>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</si>
  <si>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</si>
  <si>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</si>
  <si>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</si>
  <si>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</si>
  <si>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</si>
  <si>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</si>
  <si>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</si>
  <si>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</si>
  <si>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</si>
  <si>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</si>
  <si>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</si>
  <si>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</si>
  <si>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</si>
  <si>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</si>
  <si>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</si>
  <si>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</si>
  <si>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</si>
  <si>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</si>
  <si>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</si>
  <si>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</si>
  <si>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</si>
  <si>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</si>
  <si>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</si>
  <si>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</si>
  <si>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</si>
  <si>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</si>
  <si>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</si>
  <si>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</si>
  <si>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</si>
  <si>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</si>
  <si>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</si>
  <si>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</si>
  <si>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</si>
  <si>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</si>
  <si>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</si>
  <si>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</si>
  <si>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</si>
  <si>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</si>
  <si>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</si>
  <si>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</si>
  <si>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</si>
  <si>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</si>
  <si>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</si>
  <si>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</si>
  <si>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</si>
  <si>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</si>
  <si>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</si>
  <si>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</si>
  <si>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</si>
  <si>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</si>
  <si>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</si>
  <si>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</si>
  <si>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</si>
  <si>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</si>
  <si>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</si>
  <si>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</si>
  <si>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</si>
  <si>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</si>
  <si>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</si>
  <si>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</si>
  <si>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</si>
  <si>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</si>
  <si>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</si>
  <si>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</si>
  <si>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</si>
  <si>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</si>
  <si>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</si>
  <si>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</si>
  <si>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</si>
  <si>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</si>
  <si>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</si>
  <si>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</si>
  <si>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</si>
  <si>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</si>
  <si>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</si>
  <si>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</si>
  <si>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</si>
  <si>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</si>
  <si>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</si>
  <si>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</si>
  <si>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</si>
  <si>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</si>
  <si>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</si>
  <si>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</si>
  <si>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</si>
  <si>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</si>
  <si>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</si>
  <si>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</si>
  <si>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</si>
  <si>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</si>
  <si>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</si>
  <si>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</si>
  <si>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</si>
  <si>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</si>
  <si>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</si>
  <si>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</si>
  <si>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</si>
  <si>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</si>
  <si>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</si>
  <si>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</si>
  <si>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</si>
  <si>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</si>
  <si>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</si>
  <si>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</si>
  <si>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</si>
  <si>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</si>
  <si>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</si>
  <si>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</si>
  <si>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</si>
  <si>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</si>
  <si>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</si>
  <si>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</si>
  <si>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</si>
  <si>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</si>
  <si>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</si>
  <si>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</si>
  <si>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</si>
  <si>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</si>
  <si>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</si>
  <si>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</si>
  <si>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</si>
  <si>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</si>
  <si>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</si>
  <si>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</si>
  <si>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</si>
  <si>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</si>
  <si>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</si>
  <si>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</si>
  <si>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</si>
  <si>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</si>
  <si>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</si>
  <si>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</si>
  <si>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</si>
  <si>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</si>
  <si>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</si>
  <si>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</si>
  <si>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</si>
  <si>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</si>
  <si>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</si>
  <si>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</si>
  <si>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</si>
  <si>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</si>
  <si>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</si>
  <si>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</si>
  <si>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</si>
  <si>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</si>
  <si>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</si>
  <si>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</si>
  <si>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</si>
  <si>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</si>
  <si>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</si>
  <si>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</si>
  <si>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</si>
  <si>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</si>
  <si>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</si>
  <si>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</si>
  <si>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</si>
  <si>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</si>
  <si>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</si>
  <si>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</si>
  <si>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</si>
  <si>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</si>
  <si>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</si>
  <si>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</si>
  <si>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</si>
  <si>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</si>
  <si>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</si>
  <si>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</si>
  <si>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</si>
  <si>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</si>
  <si>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</si>
  <si>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</si>
  <si>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</si>
  <si>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</si>
  <si>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</si>
  <si>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</si>
  <si>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</si>
  <si>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</si>
  <si>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</si>
  <si>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 xml:space="preserve">Aguilar Reorganized 6 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</si>
  <si>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</si>
  <si>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</si>
  <si>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</si>
  <si>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</si>
  <si>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</si>
  <si>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</si>
  <si>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</si>
  <si>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</si>
  <si>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</si>
  <si>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</si>
  <si>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</si>
  <si>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</si>
  <si>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</si>
  <si>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</si>
  <si>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</si>
  <si>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</si>
  <si>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</si>
  <si>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</si>
  <si>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</si>
  <si>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</si>
  <si>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</si>
  <si>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</si>
  <si>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</si>
  <si>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</si>
  <si>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</si>
  <si>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</si>
  <si>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</si>
  <si>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</si>
  <si>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</si>
  <si>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</si>
  <si>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</si>
  <si>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</si>
  <si>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</si>
  <si>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</si>
  <si>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</si>
  <si>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</si>
  <si>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</si>
  <si>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</si>
  <si>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</si>
  <si>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</si>
  <si>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</si>
  <si>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</si>
  <si>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</si>
  <si>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</si>
  <si>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</si>
  <si>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</si>
  <si>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</si>
  <si>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</si>
  <si>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</si>
  <si>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</si>
  <si>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</si>
  <si>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</si>
  <si>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</si>
  <si>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</si>
  <si>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</si>
  <si>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</si>
  <si>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</si>
  <si>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</si>
  <si>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</si>
  <si>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</si>
  <si>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</si>
  <si>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</si>
  <si>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</si>
  <si>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</si>
  <si>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</si>
  <si>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</si>
  <si>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</si>
  <si>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Windsor Re-4</t>
  </si>
  <si>
    <t>Weld County SD Re-5J</t>
  </si>
  <si>
    <t>Greeley 6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</si>
  <si>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</si>
  <si>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</si>
  <si>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</si>
  <si>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</si>
  <si>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</si>
  <si>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</si>
  <si>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</si>
  <si>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</si>
  <si>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</si>
  <si>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</si>
  <si>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CSI</t>
  </si>
  <si>
    <t>CSDB</t>
  </si>
  <si>
    <t>9000</t>
  </si>
  <si>
    <t>84.010</t>
  </si>
  <si>
    <t xml:space="preserve">Robert Hawkins 303-866-6775 or hawkins_r@cde.state.co.us </t>
  </si>
  <si>
    <t>Code</t>
  </si>
  <si>
    <t>District</t>
  </si>
  <si>
    <t>Allocation</t>
  </si>
  <si>
    <t>Payments to Date</t>
  </si>
  <si>
    <t>Balance of Grant</t>
  </si>
  <si>
    <t>9025</t>
  </si>
  <si>
    <t>9035</t>
  </si>
  <si>
    <t>9040</t>
  </si>
  <si>
    <t>9095</t>
  </si>
  <si>
    <t>East Central BOCES</t>
  </si>
  <si>
    <t xml:space="preserve">Centennial BOCES </t>
  </si>
  <si>
    <t>Northeast BOCES</t>
  </si>
  <si>
    <t>Northwest BOCES</t>
  </si>
  <si>
    <t>GBL/ORG</t>
  </si>
  <si>
    <t>PAYMENTS PROCESSED:</t>
  </si>
  <si>
    <t>1ST OF EACH MONTH</t>
  </si>
  <si>
    <t xml:space="preserve">7010 for LEA   </t>
  </si>
  <si>
    <t xml:space="preserve"> </t>
  </si>
  <si>
    <t>84.365</t>
  </si>
  <si>
    <t>Title I-Delinquent</t>
  </si>
  <si>
    <t>Title II-A</t>
  </si>
  <si>
    <t>Title III-SAI</t>
  </si>
  <si>
    <t>Title VI</t>
  </si>
  <si>
    <t>San Juan BOCES</t>
  </si>
  <si>
    <t>San Luis Valley BOCES</t>
  </si>
  <si>
    <t>South Central BOCES</t>
  </si>
  <si>
    <t>Southeastern BOCES</t>
  </si>
  <si>
    <t>Questions regarding payments:</t>
  </si>
  <si>
    <t>GRANT PERIOD:</t>
  </si>
  <si>
    <t>District Name</t>
  </si>
  <si>
    <t>84.031A</t>
  </si>
  <si>
    <t>School District 27J</t>
  </si>
  <si>
    <t>Revere School District</t>
  </si>
  <si>
    <t>Weld County School District RE-3J</t>
  </si>
  <si>
    <t>9060</t>
  </si>
  <si>
    <t>9055</t>
  </si>
  <si>
    <t>9075</t>
  </si>
  <si>
    <t>8001</t>
  </si>
  <si>
    <t>9050</t>
  </si>
  <si>
    <t>CDE Org Name</t>
  </si>
  <si>
    <t>County</t>
  </si>
  <si>
    <t>Title IA</t>
  </si>
  <si>
    <t>Title ID</t>
  </si>
  <si>
    <t>Title II</t>
  </si>
  <si>
    <t>Title III ELL</t>
  </si>
  <si>
    <t>Title III IS</t>
  </si>
  <si>
    <t>Title III SAI</t>
  </si>
  <si>
    <t>Adams</t>
  </si>
  <si>
    <t>Adams 12 Five Star Schools</t>
  </si>
  <si>
    <t>Alamosa RE-11J</t>
  </si>
  <si>
    <t>Alamosa</t>
  </si>
  <si>
    <t>Sangre De Cristo RE-22J</t>
  </si>
  <si>
    <t>Arapahoe</t>
  </si>
  <si>
    <t>Archuleta County 50 JT</t>
  </si>
  <si>
    <t>Archuleta</t>
  </si>
  <si>
    <t>Walsh RE-1</t>
  </si>
  <si>
    <t>Baca</t>
  </si>
  <si>
    <t>Pritchett RE-3</t>
  </si>
  <si>
    <t>Springfield RE-4</t>
  </si>
  <si>
    <t>Vilas RE-5</t>
  </si>
  <si>
    <t>Campo RE-6</t>
  </si>
  <si>
    <t>Las Animas RE-1</t>
  </si>
  <si>
    <t>Bent</t>
  </si>
  <si>
    <t>Mc Clave RE-2</t>
  </si>
  <si>
    <t>St Vrain Valley RE 1J</t>
  </si>
  <si>
    <t>Boulder</t>
  </si>
  <si>
    <t>Boulder Valley RE 2</t>
  </si>
  <si>
    <t>Chaffee</t>
  </si>
  <si>
    <t>Cheyenne</t>
  </si>
  <si>
    <t>Cheyenne County RE-5</t>
  </si>
  <si>
    <t>Clear Creek RE-1</t>
  </si>
  <si>
    <t>Clear Creek</t>
  </si>
  <si>
    <t>North Conejos RE-1J</t>
  </si>
  <si>
    <t>Conejos</t>
  </si>
  <si>
    <t>South Conejos RE-10</t>
  </si>
  <si>
    <t>Costilla</t>
  </si>
  <si>
    <t>Crowley County RE-1-J</t>
  </si>
  <si>
    <t>Crowley</t>
  </si>
  <si>
    <t>Custer County School District C-1</t>
  </si>
  <si>
    <t>Custer</t>
  </si>
  <si>
    <t>Delta</t>
  </si>
  <si>
    <t>Denver</t>
  </si>
  <si>
    <t>Dolores County RE No.2</t>
  </si>
  <si>
    <t>Dolores</t>
  </si>
  <si>
    <t>Douglas County RE 1</t>
  </si>
  <si>
    <t>Douglas</t>
  </si>
  <si>
    <t>Eagle County RE 50</t>
  </si>
  <si>
    <t>Eagle</t>
  </si>
  <si>
    <t>Elbert</t>
  </si>
  <si>
    <t>Calhan Rj-1</t>
  </si>
  <si>
    <t>El Paso</t>
  </si>
  <si>
    <t>Peyton 23 JT</t>
  </si>
  <si>
    <t>Edison 54 JT</t>
  </si>
  <si>
    <t>Miami/Yoder 60 JT</t>
  </si>
  <si>
    <t>Canon City RE-1</t>
  </si>
  <si>
    <t>Fremont</t>
  </si>
  <si>
    <t>Fremont RE-2</t>
  </si>
  <si>
    <t>Cotopaxi RE-3</t>
  </si>
  <si>
    <t>Roaring Fork RE-1</t>
  </si>
  <si>
    <t>Garfield</t>
  </si>
  <si>
    <t>Garfield RE-2</t>
  </si>
  <si>
    <t>Gilpin County RE-1</t>
  </si>
  <si>
    <t>Gilpin</t>
  </si>
  <si>
    <t>West Grand 1-JT</t>
  </si>
  <si>
    <t>Grand</t>
  </si>
  <si>
    <t>Gunnison Watershed RE1J</t>
  </si>
  <si>
    <t>Gunnison</t>
  </si>
  <si>
    <t>Hinsdale County RE 1</t>
  </si>
  <si>
    <t>Hinsdale</t>
  </si>
  <si>
    <t>Huerfano RE-1</t>
  </si>
  <si>
    <t>Huerfano</t>
  </si>
  <si>
    <t>La Veta RE-2</t>
  </si>
  <si>
    <t>Jackson</t>
  </si>
  <si>
    <t>Jefferson</t>
  </si>
  <si>
    <t>Eads RE-1</t>
  </si>
  <si>
    <t>Kiowa</t>
  </si>
  <si>
    <t>Plainview RE-2</t>
  </si>
  <si>
    <t>Kit Carson</t>
  </si>
  <si>
    <t>Burlington RE-6J</t>
  </si>
  <si>
    <t>Lake</t>
  </si>
  <si>
    <t>La Plata</t>
  </si>
  <si>
    <t>Bayfield 10 JT-R</t>
  </si>
  <si>
    <t>Ignacio 11 JT</t>
  </si>
  <si>
    <t>Larimer</t>
  </si>
  <si>
    <t>Thompson R2-J</t>
  </si>
  <si>
    <t>Estes Park R-3</t>
  </si>
  <si>
    <t>Las Animas</t>
  </si>
  <si>
    <t>Aguilar Reorganized 6</t>
  </si>
  <si>
    <t>Lincoln</t>
  </si>
  <si>
    <t>Limon RE-4J</t>
  </si>
  <si>
    <t>Karval RE-23</t>
  </si>
  <si>
    <t>Valley RE-1</t>
  </si>
  <si>
    <t>Logan</t>
  </si>
  <si>
    <t>Frenchman RE-3</t>
  </si>
  <si>
    <t>Buffalo RE-4J</t>
  </si>
  <si>
    <t>Plateau RE-5</t>
  </si>
  <si>
    <t>De Beque 49JT</t>
  </si>
  <si>
    <t>Mesa</t>
  </si>
  <si>
    <t>Creede School District</t>
  </si>
  <si>
    <t>Mineral</t>
  </si>
  <si>
    <t>Moffat County RE:No 1</t>
  </si>
  <si>
    <t>Moffat</t>
  </si>
  <si>
    <t>Montezuma-Cortez RE-1</t>
  </si>
  <si>
    <t>Montezuma</t>
  </si>
  <si>
    <t>Dolores RE-4A</t>
  </si>
  <si>
    <t>Mancos RE-6</t>
  </si>
  <si>
    <t>Montrose County RE-1J</t>
  </si>
  <si>
    <t>Montrose</t>
  </si>
  <si>
    <t>West End RE-2</t>
  </si>
  <si>
    <t>Brush RE-2(J)</t>
  </si>
  <si>
    <t>Morgan</t>
  </si>
  <si>
    <t>Fort Morgan RE-3</t>
  </si>
  <si>
    <t>Weldon Valley RE-20(J)</t>
  </si>
  <si>
    <t>Wiggins RE-50(J)</t>
  </si>
  <si>
    <t>Otero</t>
  </si>
  <si>
    <t>Ouray</t>
  </si>
  <si>
    <t>Park</t>
  </si>
  <si>
    <t>Park County RE-2</t>
  </si>
  <si>
    <t>Holyoke RE-1J</t>
  </si>
  <si>
    <t>Phillips</t>
  </si>
  <si>
    <t>Haxtun RE-2J</t>
  </si>
  <si>
    <t>Pitkin</t>
  </si>
  <si>
    <t>Granada RE-1</t>
  </si>
  <si>
    <t>Prowers</t>
  </si>
  <si>
    <t>Lamar RE-2</t>
  </si>
  <si>
    <t>Holly RE-3</t>
  </si>
  <si>
    <t>Wiley RE-13 JT</t>
  </si>
  <si>
    <t>Pueblo</t>
  </si>
  <si>
    <t>Pueblo County 70</t>
  </si>
  <si>
    <t>Meeker RE1</t>
  </si>
  <si>
    <t>Rio Blanco</t>
  </si>
  <si>
    <t>Rangely RE-4</t>
  </si>
  <si>
    <t>Rio Grande</t>
  </si>
  <si>
    <t>Sargent RE-33J</t>
  </si>
  <si>
    <t>Hayden RE-1</t>
  </si>
  <si>
    <t>Routt</t>
  </si>
  <si>
    <t>Steamboat Springs RE-2</t>
  </si>
  <si>
    <t>South Routt RE 3</t>
  </si>
  <si>
    <t>Mountain Valley RE 1</t>
  </si>
  <si>
    <t>Saguache</t>
  </si>
  <si>
    <t>Center 26 JT</t>
  </si>
  <si>
    <t>San Juan</t>
  </si>
  <si>
    <t>San Miguel</t>
  </si>
  <si>
    <t>Julesburg RE-1</t>
  </si>
  <si>
    <t>Sedgwick</t>
  </si>
  <si>
    <t>REvere School District</t>
  </si>
  <si>
    <t>Summit RE-1</t>
  </si>
  <si>
    <t>Summit</t>
  </si>
  <si>
    <t>Cripple Creek-Victor RE-1</t>
  </si>
  <si>
    <t>Teller</t>
  </si>
  <si>
    <t>Woodland Park RE-2</t>
  </si>
  <si>
    <t>Washington</t>
  </si>
  <si>
    <t>Weld County RE-1</t>
  </si>
  <si>
    <t>Weld</t>
  </si>
  <si>
    <t>Eaton RE-2</t>
  </si>
  <si>
    <t>Windsor RE-4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</si>
  <si>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</si>
  <si>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</si>
  <si>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</si>
  <si>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</si>
  <si>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</si>
  <si>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</si>
  <si>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</si>
  <si>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</t>
  </si>
  <si>
    <t>Wray Rd-2</t>
  </si>
  <si>
    <t>Idalia Rj-3</t>
  </si>
  <si>
    <t>Charter School Institute</t>
  </si>
  <si>
    <t/>
  </si>
  <si>
    <t>Colo School Deaf Blind</t>
  </si>
  <si>
    <t>DistNo</t>
  </si>
  <si>
    <t>Totals</t>
  </si>
  <si>
    <t>Title I-D Delinquent -- State Agencies</t>
  </si>
  <si>
    <t>70XA-7000</t>
  </si>
  <si>
    <t>Title V-B Formula</t>
  </si>
  <si>
    <t>84.358</t>
  </si>
  <si>
    <t>70XB-7000</t>
  </si>
  <si>
    <t>72XD-7000</t>
  </si>
  <si>
    <t>78XA/7000</t>
  </si>
  <si>
    <t>31XF-7000</t>
  </si>
  <si>
    <t>31XG/7000</t>
  </si>
  <si>
    <t>46XD-7000</t>
  </si>
  <si>
    <t>35XC</t>
  </si>
  <si>
    <t>Westminster Public Schools</t>
  </si>
  <si>
    <t>Dolores County RE NO.2</t>
  </si>
  <si>
    <t>Miami/yoder 60 JT</t>
  </si>
  <si>
    <t>Moffat County Re:no 1</t>
  </si>
  <si>
    <t>Dolores RE-4a</t>
  </si>
  <si>
    <t>Colorado School for the Deaf and Blind</t>
  </si>
  <si>
    <t>Centennial BOCES</t>
  </si>
  <si>
    <t>Fremont - Canon City</t>
  </si>
  <si>
    <t>Larimer Poudre R-1</t>
  </si>
  <si>
    <t>Mesa 51</t>
  </si>
  <si>
    <t>X010</t>
  </si>
  <si>
    <t>Division of Youth Corrections</t>
  </si>
  <si>
    <t>Platte Valley Re-3</t>
  </si>
  <si>
    <t>Keenesburg Re-3(J)</t>
  </si>
  <si>
    <t>Total</t>
  </si>
  <si>
    <t>Title ID-Youth</t>
  </si>
  <si>
    <t xml:space="preserve">Title III ELL </t>
  </si>
  <si>
    <t>Title IV</t>
  </si>
  <si>
    <t>Title V-B</t>
  </si>
  <si>
    <t>Declined</t>
  </si>
  <si>
    <t>Total  with Signover and Declines</t>
  </si>
  <si>
    <t>Signed Overs and Declines</t>
  </si>
  <si>
    <t>84.424A</t>
  </si>
  <si>
    <t>Revert</t>
  </si>
  <si>
    <t>Carry Forward</t>
  </si>
  <si>
    <t>Assignments</t>
  </si>
  <si>
    <t>Joe Shields 303-866-6034 or Shields_J@cde.state.co.us</t>
  </si>
  <si>
    <t>August
2021</t>
  </si>
  <si>
    <t>September
2021</t>
  </si>
  <si>
    <t>October
2021</t>
  </si>
  <si>
    <t>Steven Kaleda 303-866-6724 or kaleda_s@cde.state.co.us</t>
  </si>
  <si>
    <t>December
2021</t>
  </si>
  <si>
    <t>Steven Kaleda  303-866-6724 or kaleda_s@cde.state.co.us</t>
  </si>
  <si>
    <t xml:space="preserve">1500 </t>
  </si>
  <si>
    <t>Steven Kaleda 303-866-6724 or kaleda_S@cde.state.co.us</t>
  </si>
  <si>
    <t>Robert Hawkins 303-866-6775 or Hawkins_R@cde.state.co.us</t>
  </si>
  <si>
    <t>Steven Kaleda 303-866-6724 or Kaleda_S@cde.state.co.us</t>
  </si>
  <si>
    <t>Colorado Springs D-11</t>
  </si>
  <si>
    <t>January
2022</t>
  </si>
  <si>
    <t>February
2022</t>
  </si>
  <si>
    <t>March
2022</t>
  </si>
  <si>
    <t>April
2022</t>
  </si>
  <si>
    <t>May
2022</t>
  </si>
  <si>
    <t>June
2022</t>
  </si>
  <si>
    <t>July
2022</t>
  </si>
  <si>
    <t>August
2022</t>
  </si>
  <si>
    <t>September
2022</t>
  </si>
  <si>
    <t>October
2022</t>
  </si>
  <si>
    <t>November
2022</t>
  </si>
  <si>
    <t>December
2022</t>
  </si>
  <si>
    <t>Pourde R-1</t>
  </si>
  <si>
    <t>Delta County 50-J</t>
  </si>
  <si>
    <t>Montezuma Cortez Re-1</t>
  </si>
  <si>
    <t>2021-2022</t>
  </si>
  <si>
    <t>7/1/21 THROUGH 9/30/23 -  This grant does have carryover restrictions</t>
  </si>
  <si>
    <t>7/1/21 THROUGH 9/30/23</t>
  </si>
  <si>
    <t>Wiggins RE-50J</t>
  </si>
  <si>
    <r>
      <t xml:space="preserve">SUMMARY OF CURRENT FUNDS AVAILABLE ACROSS FORMULA GRANT </t>
    </r>
    <r>
      <rPr>
        <b/>
        <sz val="22"/>
        <rFont val="Calibri"/>
        <family val="2"/>
        <scheme val="minor"/>
      </rPr>
      <t xml:space="preserve"> FY 2021-2022</t>
    </r>
  </si>
  <si>
    <t>July 
2021</t>
  </si>
  <si>
    <t>November
2021</t>
  </si>
  <si>
    <t>January
2023</t>
  </si>
  <si>
    <t>February
2023</t>
  </si>
  <si>
    <t>March
2023</t>
  </si>
  <si>
    <t>April
2023</t>
  </si>
  <si>
    <t>May
2023</t>
  </si>
  <si>
    <t>June
2023</t>
  </si>
  <si>
    <t>July
2023</t>
  </si>
  <si>
    <t>August
2023</t>
  </si>
  <si>
    <t>September
2023</t>
  </si>
  <si>
    <t>October
2023</t>
  </si>
  <si>
    <t>November
2023</t>
  </si>
  <si>
    <t>December
2023</t>
  </si>
  <si>
    <t>Title III-A Formula (Revised Final 11/18/21)</t>
  </si>
  <si>
    <t>Title III-A SAI Formula (Revised Final 11/18/21)</t>
  </si>
  <si>
    <t>Title IV Formula (Revised Final 11/18/21)</t>
  </si>
  <si>
    <t>Title I-A Formula  (Revised Final 11/18/21)</t>
  </si>
  <si>
    <t>Title I-D Delinquent (Revised Final 11/18/21)</t>
  </si>
  <si>
    <t>Title II-A Formula  (Revised Final 11/18/21)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</si>
</sst>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rgb="FFFF0000"/>
      <name val="Calibri"/>
      <family val="2"/>
      <scheme val="minor"/>
    </font>
    <font>
      <sz val="11"/>
      <color rgb="FFFF339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6CCFF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rgb="FF66CCFF"/>
      </left>
      <right/>
      <top/>
      <bottom/>
      <diagonal/>
    </border>
    <border>
      <left style="medium">
        <color rgb="FF66CCFF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thin">
        <color indexed="64"/>
      </bottom>
      <diagonal/>
    </border>
  </borders>
  <cellStyleXfs count="8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0" fontId="25" fillId="0" borderId="0"/>
    <xf numFmtId="0" fontId="1" fillId="0" borderId="0"/>
    <xf numFmtId="0" fontId="1" fillId="0" borderId="0"/>
    <xf numFmtId="0" fontId="3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25" applyNumberFormat="0" applyAlignment="0" applyProtection="0"/>
    <xf numFmtId="0" fontId="39" fillId="10" borderId="26" applyNumberFormat="0" applyAlignment="0" applyProtection="0"/>
    <xf numFmtId="0" fontId="40" fillId="10" borderId="25" applyNumberFormat="0" applyAlignment="0" applyProtection="0"/>
    <xf numFmtId="0" fontId="41" fillId="0" borderId="27" applyNumberFormat="0" applyFill="0" applyAlignment="0" applyProtection="0"/>
    <xf numFmtId="0" fontId="42" fillId="11" borderId="28" applyNumberFormat="0" applyAlignment="0" applyProtection="0"/>
    <xf numFmtId="0" fontId="43" fillId="0" borderId="0" applyNumberFormat="0" applyFill="0" applyBorder="0" applyAlignment="0" applyProtection="0"/>
    <xf numFmtId="0" fontId="1" fillId="12" borderId="29" applyNumberFormat="0" applyFont="0" applyAlignment="0" applyProtection="0"/>
    <xf numFmtId="0" fontId="44" fillId="0" borderId="0" applyNumberFormat="0" applyFill="0" applyBorder="0" applyAlignment="0" applyProtection="0"/>
    <xf numFmtId="0" fontId="2" fillId="0" borderId="30" applyNumberFormat="0" applyFill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310">
    <xf numFmtId="0" fontId="0" fillId="0" borderId="0" xfId="0"/>
    <xf numFmtId="0" fontId="0" fillId="0" borderId="0" xfId="0" applyFont="1"/>
    <xf numFmtId="0" fontId="0" fillId="0" borderId="0" xfId="0"/>
    <xf numFmtId="0" fontId="3" fillId="0" borderId="0" xfId="0" applyFont="1" applyFill="1" applyBorder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Alignment="1">
      <alignment horizontal="right"/>
    </xf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Fill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165" fontId="2" fillId="3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/>
    <xf numFmtId="0" fontId="10" fillId="2" borderId="9" xfId="0" applyFont="1" applyFill="1" applyBorder="1"/>
    <xf numFmtId="0" fontId="9" fillId="2" borderId="7" xfId="0" applyFont="1" applyFill="1" applyBorder="1"/>
    <xf numFmtId="164" fontId="9" fillId="2" borderId="9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Border="1"/>
    <xf numFmtId="0" fontId="9" fillId="3" borderId="4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17" fillId="0" borderId="0" xfId="0" applyFont="1"/>
    <xf numFmtId="38" fontId="17" fillId="0" borderId="0" xfId="0" applyNumberFormat="1" applyFont="1"/>
    <xf numFmtId="0" fontId="4" fillId="0" borderId="6" xfId="0" applyFont="1" applyFill="1" applyBorder="1"/>
    <xf numFmtId="38" fontId="4" fillId="0" borderId="0" xfId="0" applyNumberFormat="1" applyFont="1" applyFill="1" applyBorder="1"/>
    <xf numFmtId="0" fontId="4" fillId="0" borderId="5" xfId="0" applyFont="1" applyFill="1" applyBorder="1"/>
    <xf numFmtId="0" fontId="4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/>
    <xf numFmtId="38" fontId="4" fillId="0" borderId="0" xfId="0" applyNumberFormat="1" applyFont="1" applyFill="1"/>
    <xf numFmtId="0" fontId="17" fillId="0" borderId="0" xfId="0" applyFont="1" applyFill="1"/>
    <xf numFmtId="38" fontId="17" fillId="0" borderId="0" xfId="0" applyNumberFormat="1" applyFont="1" applyFill="1"/>
    <xf numFmtId="0" fontId="19" fillId="4" borderId="0" xfId="0" applyFont="1" applyFill="1"/>
    <xf numFmtId="0" fontId="20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19" fillId="2" borderId="0" xfId="0" applyFont="1" applyFill="1" applyAlignment="1">
      <alignment wrapText="1"/>
    </xf>
    <xf numFmtId="0" fontId="13" fillId="2" borderId="0" xfId="0" applyFont="1" applyFill="1"/>
    <xf numFmtId="0" fontId="13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wrapText="1"/>
    </xf>
    <xf numFmtId="38" fontId="3" fillId="0" borderId="0" xfId="0" applyNumberFormat="1" applyFont="1" applyFill="1"/>
    <xf numFmtId="38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Border="1"/>
    <xf numFmtId="164" fontId="0" fillId="0" borderId="0" xfId="0" applyNumberFormat="1"/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9" fillId="5" borderId="19" xfId="0" applyFont="1" applyFill="1" applyBorder="1" applyAlignment="1" applyProtection="1">
      <alignment horizontal="center" vertical="center"/>
    </xf>
    <xf numFmtId="0" fontId="0" fillId="0" borderId="0" xfId="0" applyAlignment="1"/>
    <xf numFmtId="0" fontId="30" fillId="0" borderId="20" xfId="0" applyFont="1" applyFill="1" applyBorder="1" applyAlignment="1" applyProtection="1">
      <alignment vertical="center"/>
    </xf>
    <xf numFmtId="0" fontId="30" fillId="0" borderId="20" xfId="0" applyFont="1" applyFill="1" applyBorder="1" applyAlignment="1" applyProtection="1">
      <alignment horizontal="right" vertical="center"/>
    </xf>
    <xf numFmtId="0" fontId="30" fillId="0" borderId="21" xfId="0" applyFont="1" applyFill="1" applyBorder="1" applyAlignment="1" applyProtection="1">
      <alignment horizontal="right" vertical="center"/>
    </xf>
    <xf numFmtId="3" fontId="0" fillId="0" borderId="0" xfId="0" applyNumberFormat="1" applyFill="1"/>
    <xf numFmtId="166" fontId="0" fillId="0" borderId="0" xfId="2" applyNumberFormat="1" applyFont="1" applyFill="1"/>
    <xf numFmtId="166" fontId="6" fillId="2" borderId="18" xfId="2" applyNumberFormat="1" applyFont="1" applyFill="1" applyBorder="1"/>
    <xf numFmtId="166" fontId="9" fillId="2" borderId="18" xfId="2" applyNumberFormat="1" applyFont="1" applyFill="1" applyBorder="1"/>
    <xf numFmtId="166" fontId="19" fillId="2" borderId="0" xfId="2" applyNumberFormat="1" applyFont="1" applyFill="1" applyAlignment="1">
      <alignment wrapText="1"/>
    </xf>
    <xf numFmtId="166" fontId="13" fillId="2" borderId="0" xfId="2" applyNumberFormat="1" applyFont="1" applyFill="1"/>
    <xf numFmtId="166" fontId="19" fillId="2" borderId="0" xfId="2" applyNumberFormat="1" applyFont="1" applyFill="1" applyAlignment="1">
      <alignment horizont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166" fontId="2" fillId="0" borderId="1" xfId="2" quotePrefix="1" applyNumberFormat="1" applyFont="1" applyFill="1" applyBorder="1" applyAlignment="1">
      <alignment horizontal="center" vertical="center" wrapText="1"/>
    </xf>
    <xf numFmtId="49" fontId="10" fillId="2" borderId="8" xfId="2" applyNumberFormat="1" applyFont="1" applyFill="1" applyBorder="1" applyAlignment="1">
      <alignment horizontal="center"/>
    </xf>
    <xf numFmtId="49" fontId="20" fillId="2" borderId="0" xfId="0" applyNumberFormat="1" applyFont="1" applyFill="1" applyAlignment="1">
      <alignment horizontal="left"/>
    </xf>
    <xf numFmtId="49" fontId="13" fillId="2" borderId="0" xfId="0" quotePrefix="1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49" fontId="13" fillId="2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ill="1"/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164" fontId="9" fillId="2" borderId="7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166" fontId="10" fillId="2" borderId="8" xfId="2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Border="1"/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6" fontId="0" fillId="0" borderId="0" xfId="0" applyNumberFormat="1" applyBorder="1"/>
    <xf numFmtId="0" fontId="0" fillId="0" borderId="0" xfId="0" applyFont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166" fontId="10" fillId="2" borderId="7" xfId="2" applyNumberFormat="1" applyFont="1" applyFill="1" applyBorder="1" applyAlignment="1">
      <alignment horizontal="center"/>
    </xf>
    <xf numFmtId="49" fontId="9" fillId="2" borderId="0" xfId="0" quotePrefix="1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38" fontId="4" fillId="0" borderId="0" xfId="0" applyNumberFormat="1" applyFont="1" applyFill="1" applyBorder="1"/>
    <xf numFmtId="166" fontId="10" fillId="2" borderId="7" xfId="2" applyNumberFormat="1" applyFont="1" applyFill="1" applyBorder="1"/>
    <xf numFmtId="49" fontId="10" fillId="2" borderId="7" xfId="2" applyNumberFormat="1" applyFont="1" applyFill="1" applyBorder="1" applyAlignment="1">
      <alignment horizontal="center"/>
    </xf>
    <xf numFmtId="166" fontId="0" fillId="0" borderId="0" xfId="0" applyNumberFormat="1" applyFill="1"/>
    <xf numFmtId="49" fontId="10" fillId="2" borderId="9" xfId="0" quotePrefix="1" applyNumberFormat="1" applyFont="1" applyFill="1" applyBorder="1"/>
    <xf numFmtId="49" fontId="7" fillId="2" borderId="0" xfId="0" applyNumberFormat="1" applyFont="1" applyFill="1"/>
    <xf numFmtId="49" fontId="0" fillId="2" borderId="0" xfId="0" applyNumberFormat="1" applyFill="1"/>
    <xf numFmtId="49" fontId="9" fillId="2" borderId="0" xfId="0" applyNumberFormat="1" applyFont="1" applyFill="1"/>
    <xf numFmtId="49" fontId="10" fillId="2" borderId="7" xfId="2" applyNumberFormat="1" applyFont="1" applyFill="1" applyBorder="1"/>
    <xf numFmtId="49" fontId="0" fillId="0" borderId="0" xfId="0" applyNumberFormat="1"/>
    <xf numFmtId="43" fontId="10" fillId="2" borderId="7" xfId="2" applyNumberFormat="1" applyFont="1" applyFill="1" applyBorder="1"/>
    <xf numFmtId="166" fontId="10" fillId="0" borderId="32" xfId="2" applyNumberFormat="1" applyFont="1" applyFill="1" applyBorder="1"/>
    <xf numFmtId="0" fontId="0" fillId="0" borderId="0" xfId="0" applyFill="1" applyBorder="1"/>
    <xf numFmtId="49" fontId="9" fillId="2" borderId="7" xfId="0" applyNumberFormat="1" applyFont="1" applyFill="1" applyBorder="1" applyAlignment="1">
      <alignment horizontal="left"/>
    </xf>
    <xf numFmtId="49" fontId="10" fillId="2" borderId="7" xfId="2" applyNumberFormat="1" applyFont="1" applyFill="1" applyBorder="1" applyAlignment="1">
      <alignment horizontal="left"/>
    </xf>
    <xf numFmtId="49" fontId="10" fillId="0" borderId="32" xfId="2" applyNumberFormat="1" applyFont="1" applyFill="1" applyBorder="1" applyAlignment="1">
      <alignment horizontal="left"/>
    </xf>
    <xf numFmtId="49" fontId="10" fillId="0" borderId="31" xfId="0" applyNumberFormat="1" applyFont="1" applyFill="1" applyBorder="1"/>
    <xf numFmtId="0" fontId="10" fillId="0" borderId="31" xfId="0" applyFont="1" applyFill="1" applyBorder="1"/>
    <xf numFmtId="166" fontId="6" fillId="0" borderId="31" xfId="2" applyNumberFormat="1" applyFont="1" applyFill="1" applyBorder="1"/>
    <xf numFmtId="0" fontId="12" fillId="0" borderId="31" xfId="0" quotePrefix="1" applyFont="1" applyFill="1" applyBorder="1" applyAlignment="1" applyProtection="1">
      <alignment horizontal="left"/>
    </xf>
    <xf numFmtId="0" fontId="6" fillId="0" borderId="31" xfId="0" applyFont="1" applyFill="1" applyBorder="1" applyAlignment="1" applyProtection="1">
      <alignment horizontal="left"/>
    </xf>
    <xf numFmtId="166" fontId="6" fillId="0" borderId="17" xfId="2" applyNumberFormat="1" applyFont="1" applyFill="1" applyBorder="1"/>
    <xf numFmtId="49" fontId="10" fillId="0" borderId="32" xfId="0" applyNumberFormat="1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166" fontId="3" fillId="0" borderId="0" xfId="2" applyNumberFormat="1" applyFont="1" applyFill="1" applyBorder="1"/>
    <xf numFmtId="49" fontId="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9" fontId="11" fillId="2" borderId="0" xfId="0" quotePrefix="1" applyNumberFormat="1" applyFont="1" applyFill="1" applyAlignment="1">
      <alignment horizontal="center"/>
    </xf>
    <xf numFmtId="43" fontId="0" fillId="0" borderId="0" xfId="0" applyNumberFormat="1"/>
    <xf numFmtId="44" fontId="6" fillId="2" borderId="0" xfId="0" applyNumberFormat="1" applyFont="1" applyFill="1"/>
    <xf numFmtId="0" fontId="0" fillId="37" borderId="0" xfId="0" applyFill="1"/>
    <xf numFmtId="0" fontId="15" fillId="2" borderId="0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1" fontId="0" fillId="0" borderId="0" xfId="1" applyNumberFormat="1" applyFont="1" applyAlignment="1">
      <alignment horizontal="left"/>
    </xf>
    <xf numFmtId="2" fontId="5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right"/>
    </xf>
    <xf numFmtId="49" fontId="14" fillId="2" borderId="0" xfId="2" applyNumberFormat="1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1" fontId="0" fillId="0" borderId="0" xfId="0" applyNumberFormat="1" applyFill="1"/>
    <xf numFmtId="49" fontId="20" fillId="2" borderId="0" xfId="0" applyNumberFormat="1" applyFont="1" applyFill="1" applyAlignment="1">
      <alignment horizontal="center"/>
    </xf>
    <xf numFmtId="49" fontId="13" fillId="2" borderId="0" xfId="0" quotePrefix="1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0" fillId="0" borderId="32" xfId="2" applyNumberFormat="1" applyFont="1" applyFill="1" applyBorder="1" applyAlignment="1">
      <alignment horizontal="center"/>
    </xf>
    <xf numFmtId="49" fontId="14" fillId="2" borderId="7" xfId="2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3" fontId="2" fillId="2" borderId="0" xfId="0" applyNumberFormat="1" applyFont="1" applyFill="1" applyAlignment="1">
      <alignment horizontal="left"/>
    </xf>
    <xf numFmtId="43" fontId="2" fillId="2" borderId="0" xfId="0" applyNumberFormat="1" applyFont="1" applyFill="1"/>
    <xf numFmtId="166" fontId="0" fillId="0" borderId="0" xfId="0" applyNumberFormat="1" applyFont="1"/>
    <xf numFmtId="4" fontId="10" fillId="2" borderId="7" xfId="2" applyNumberFormat="1" applyFont="1" applyFill="1" applyBorder="1"/>
    <xf numFmtId="4" fontId="10" fillId="0" borderId="32" xfId="2" applyNumberFormat="1" applyFont="1" applyFill="1" applyBorder="1"/>
    <xf numFmtId="4" fontId="14" fillId="2" borderId="7" xfId="2" applyNumberFormat="1" applyFont="1" applyFill="1" applyBorder="1"/>
    <xf numFmtId="4" fontId="6" fillId="0" borderId="0" xfId="2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6" fillId="0" borderId="0" xfId="2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2" borderId="18" xfId="2" applyNumberFormat="1" applyFont="1" applyFill="1" applyBorder="1"/>
    <xf numFmtId="4" fontId="6" fillId="2" borderId="9" xfId="2" applyNumberFormat="1" applyFont="1" applyFill="1" applyBorder="1"/>
    <xf numFmtId="4" fontId="6" fillId="2" borderId="10" xfId="2" applyNumberFormat="1" applyFont="1" applyFill="1" applyBorder="1"/>
    <xf numFmtId="4" fontId="0" fillId="0" borderId="0" xfId="2" applyNumberFormat="1" applyFont="1"/>
    <xf numFmtId="4" fontId="6" fillId="0" borderId="0" xfId="2" applyNumberFormat="1" applyFont="1"/>
    <xf numFmtId="4" fontId="0" fillId="0" borderId="0" xfId="0" applyNumberFormat="1"/>
    <xf numFmtId="4" fontId="6" fillId="0" borderId="31" xfId="2" applyNumberFormat="1" applyFont="1" applyFill="1" applyBorder="1"/>
    <xf numFmtId="4" fontId="0" fillId="0" borderId="0" xfId="2" applyNumberFormat="1" applyFont="1" applyFill="1" applyBorder="1"/>
    <xf numFmtId="4" fontId="6" fillId="0" borderId="0" xfId="2" applyNumberFormat="1" applyFont="1" applyFill="1" applyBorder="1"/>
    <xf numFmtId="4" fontId="0" fillId="0" borderId="0" xfId="0" applyNumberFormat="1" applyFill="1" applyBorder="1"/>
    <xf numFmtId="4" fontId="9" fillId="2" borderId="18" xfId="2" applyNumberFormat="1" applyFont="1" applyFill="1" applyBorder="1"/>
    <xf numFmtId="39" fontId="6" fillId="2" borderId="18" xfId="2" applyNumberFormat="1" applyFont="1" applyFill="1" applyBorder="1"/>
    <xf numFmtId="39" fontId="6" fillId="0" borderId="31" xfId="2" applyNumberFormat="1" applyFont="1" applyFill="1" applyBorder="1"/>
    <xf numFmtId="39" fontId="9" fillId="2" borderId="18" xfId="2" applyNumberFormat="1" applyFont="1" applyFill="1" applyBorder="1"/>
    <xf numFmtId="4" fontId="6" fillId="0" borderId="17" xfId="2" applyNumberFormat="1" applyFont="1" applyFill="1" applyBorder="1"/>
    <xf numFmtId="39" fontId="6" fillId="0" borderId="17" xfId="2" applyNumberFormat="1" applyFont="1" applyFill="1" applyBorder="1"/>
    <xf numFmtId="39" fontId="10" fillId="0" borderId="32" xfId="2" applyNumberFormat="1" applyFont="1" applyFill="1" applyBorder="1"/>
    <xf numFmtId="39" fontId="9" fillId="2" borderId="7" xfId="2" applyNumberFormat="1" applyFont="1" applyFill="1" applyBorder="1"/>
    <xf numFmtId="4" fontId="3" fillId="0" borderId="0" xfId="2" applyNumberFormat="1" applyFont="1" applyBorder="1"/>
    <xf numFmtId="4" fontId="6" fillId="0" borderId="0" xfId="2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2" applyNumberFormat="1" applyFont="1" applyFill="1" applyBorder="1"/>
    <xf numFmtId="4" fontId="9" fillId="2" borderId="9" xfId="2" applyNumberFormat="1" applyFont="1" applyFill="1" applyBorder="1"/>
    <xf numFmtId="4" fontId="0" fillId="0" borderId="0" xfId="0" applyNumberFormat="1" applyFont="1" applyAlignment="1">
      <alignment horizontal="right"/>
    </xf>
    <xf numFmtId="4" fontId="14" fillId="2" borderId="7" xfId="2" applyNumberFormat="1" applyFont="1" applyFill="1" applyBorder="1" applyAlignment="1">
      <alignment horizontal="center"/>
    </xf>
    <xf numFmtId="4" fontId="10" fillId="2" borderId="7" xfId="2" applyNumberFormat="1" applyFont="1" applyFill="1" applyBorder="1" applyAlignment="1">
      <alignment horizontal="right"/>
    </xf>
    <xf numFmtId="4" fontId="14" fillId="2" borderId="7" xfId="2" applyNumberFormat="1" applyFont="1" applyFill="1" applyBorder="1" applyAlignment="1">
      <alignment horizontal="right"/>
    </xf>
    <xf numFmtId="4" fontId="6" fillId="37" borderId="0" xfId="2" applyNumberFormat="1" applyFont="1" applyFill="1" applyBorder="1" applyAlignment="1">
      <alignment horizontal="right"/>
    </xf>
    <xf numFmtId="4" fontId="6" fillId="0" borderId="0" xfId="0" applyNumberFormat="1" applyFont="1"/>
    <xf numFmtId="4" fontId="0" fillId="0" borderId="0" xfId="0" applyNumberFormat="1" applyFont="1"/>
    <xf numFmtId="39" fontId="10" fillId="2" borderId="7" xfId="2" applyNumberFormat="1" applyFont="1" applyFill="1" applyBorder="1" applyAlignment="1">
      <alignment horizontal="right"/>
    </xf>
    <xf numFmtId="39" fontId="0" fillId="0" borderId="0" xfId="0" applyNumberFormat="1" applyFill="1"/>
    <xf numFmtId="39" fontId="2" fillId="2" borderId="0" xfId="1" applyNumberFormat="1" applyFont="1" applyFill="1" applyAlignment="1">
      <alignment horizontal="right"/>
    </xf>
    <xf numFmtId="4" fontId="10" fillId="37" borderId="7" xfId="2" applyNumberFormat="1" applyFont="1" applyFill="1" applyBorder="1"/>
    <xf numFmtId="4" fontId="0" fillId="0" borderId="0" xfId="0" applyNumberFormat="1" applyFill="1"/>
    <xf numFmtId="4" fontId="0" fillId="0" borderId="0" xfId="2" applyNumberFormat="1" applyFont="1" applyFill="1"/>
    <xf numFmtId="4" fontId="2" fillId="2" borderId="0" xfId="1" applyNumberFormat="1" applyFont="1" applyFill="1" applyAlignment="1">
      <alignment horizontal="left"/>
    </xf>
    <xf numFmtId="4" fontId="2" fillId="2" borderId="0" xfId="0" applyNumberFormat="1" applyFont="1" applyFill="1"/>
    <xf numFmtId="4" fontId="10" fillId="2" borderId="8" xfId="2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2" fillId="2" borderId="0" xfId="2" applyNumberFormat="1" applyFont="1" applyFill="1"/>
    <xf numFmtId="4" fontId="0" fillId="0" borderId="0" xfId="0" applyNumberFormat="1" applyBorder="1"/>
    <xf numFmtId="4" fontId="10" fillId="37" borderId="8" xfId="2" applyNumberFormat="1" applyFont="1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 wrapText="1"/>
    </xf>
    <xf numFmtId="4" fontId="10" fillId="37" borderId="7" xfId="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0" fillId="0" borderId="0" xfId="2" applyNumberFormat="1" applyFont="1" applyFill="1"/>
    <xf numFmtId="2" fontId="10" fillId="2" borderId="7" xfId="2" applyNumberFormat="1" applyFont="1" applyFill="1" applyBorder="1"/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/>
    </xf>
    <xf numFmtId="0" fontId="4" fillId="0" borderId="15" xfId="0" quotePrefix="1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2" borderId="0" xfId="0" applyFont="1" applyFill="1" applyAlignment="1"/>
    <xf numFmtId="0" fontId="13" fillId="2" borderId="0" xfId="0" applyFont="1" applyFill="1" applyAlignment="1"/>
    <xf numFmtId="4" fontId="0" fillId="0" borderId="0" xfId="0" applyNumberFormat="1" applyFill="1" applyAlignment="1"/>
    <xf numFmtId="0" fontId="0" fillId="0" borderId="0" xfId="0" applyFill="1" applyAlignment="1"/>
    <xf numFmtId="49" fontId="10" fillId="2" borderId="7" xfId="2" quotePrefix="1" applyNumberFormat="1" applyFont="1" applyFill="1" applyBorder="1" applyAlignment="1">
      <alignment horizontal="center"/>
    </xf>
    <xf numFmtId="167" fontId="0" fillId="0" borderId="0" xfId="0" applyNumberFormat="1" applyBorder="1"/>
    <xf numFmtId="44" fontId="0" fillId="0" borderId="0" xfId="0" applyNumberFormat="1" applyFill="1"/>
    <xf numFmtId="4" fontId="10" fillId="37" borderId="38" xfId="2" applyNumberFormat="1" applyFont="1" applyFill="1" applyBorder="1" applyAlignment="1">
      <alignment horizontal="right"/>
    </xf>
    <xf numFmtId="4" fontId="10" fillId="37" borderId="39" xfId="2" applyNumberFormat="1" applyFont="1" applyFill="1" applyBorder="1" applyAlignment="1">
      <alignment horizontal="right"/>
    </xf>
    <xf numFmtId="4" fontId="10" fillId="37" borderId="40" xfId="2" applyNumberFormat="1" applyFont="1" applyFill="1" applyBorder="1" applyAlignment="1">
      <alignment horizontal="right"/>
    </xf>
    <xf numFmtId="4" fontId="10" fillId="37" borderId="9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37" borderId="9" xfId="0" applyFont="1" applyFill="1" applyBorder="1" applyAlignment="1">
      <alignment horizontal="right"/>
    </xf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12" fillId="2" borderId="7" xfId="2" applyNumberFormat="1" applyFont="1" applyFill="1" applyBorder="1" applyAlignment="1">
      <alignment horizontal="right"/>
    </xf>
    <xf numFmtId="49" fontId="47" fillId="2" borderId="7" xfId="2" applyNumberFormat="1" applyFont="1" applyFill="1" applyBorder="1" applyAlignment="1">
      <alignment horizontal="center"/>
    </xf>
    <xf numFmtId="39" fontId="12" fillId="2" borderId="0" xfId="1" applyNumberFormat="1" applyFont="1" applyFill="1" applyBorder="1"/>
    <xf numFmtId="4" fontId="10" fillId="0" borderId="8" xfId="2" applyNumberFormat="1" applyFont="1" applyFill="1" applyBorder="1" applyAlignment="1">
      <alignment horizontal="right"/>
    </xf>
    <xf numFmtId="4" fontId="6" fillId="0" borderId="0" xfId="0" applyNumberFormat="1" applyFont="1" applyBorder="1"/>
    <xf numFmtId="166" fontId="6" fillId="2" borderId="18" xfId="2" quotePrefix="1" applyNumberFormat="1" applyFont="1" applyFill="1" applyBorder="1" applyAlignment="1">
      <alignment horizontal="center"/>
    </xf>
    <xf numFmtId="49" fontId="10" fillId="2" borderId="8" xfId="2" quotePrefix="1" applyNumberFormat="1" applyFont="1" applyFill="1" applyBorder="1" applyAlignment="1">
      <alignment horizontal="center"/>
    </xf>
    <xf numFmtId="4" fontId="10" fillId="2" borderId="8" xfId="2" applyNumberFormat="1" applyFont="1" applyFill="1" applyBorder="1" applyAlignment="1">
      <alignment horizontal="center"/>
    </xf>
    <xf numFmtId="4" fontId="12" fillId="2" borderId="7" xfId="2" applyNumberFormat="1" applyFont="1" applyFill="1" applyBorder="1"/>
    <xf numFmtId="0" fontId="48" fillId="0" borderId="0" xfId="0" applyFont="1" applyAlignment="1">
      <alignment horizontal="right"/>
    </xf>
    <xf numFmtId="49" fontId="6" fillId="2" borderId="7" xfId="2" applyNumberFormat="1" applyFont="1" applyFill="1" applyBorder="1" applyAlignment="1">
      <alignment horizontal="center"/>
    </xf>
    <xf numFmtId="39" fontId="12" fillId="2" borderId="7" xfId="2" applyNumberFormat="1" applyFont="1" applyFill="1" applyBorder="1" applyAlignment="1">
      <alignment horizontal="right"/>
    </xf>
    <xf numFmtId="49" fontId="10" fillId="0" borderId="7" xfId="2" applyNumberFormat="1" applyFont="1" applyFill="1" applyBorder="1"/>
    <xf numFmtId="43" fontId="10" fillId="0" borderId="7" xfId="2" applyNumberFormat="1" applyFont="1" applyFill="1" applyBorder="1"/>
    <xf numFmtId="4" fontId="10" fillId="0" borderId="7" xfId="2" applyNumberFormat="1" applyFont="1" applyFill="1" applyBorder="1"/>
    <xf numFmtId="49" fontId="10" fillId="0" borderId="7" xfId="2" applyNumberFormat="1" applyFont="1" applyFill="1" applyBorder="1" applyAlignment="1">
      <alignment horizontal="center"/>
    </xf>
    <xf numFmtId="166" fontId="10" fillId="2" borderId="42" xfId="2" applyNumberFormat="1" applyFont="1" applyFill="1" applyBorder="1"/>
    <xf numFmtId="49" fontId="10" fillId="2" borderId="43" xfId="2" applyNumberFormat="1" applyFont="1" applyFill="1" applyBorder="1" applyAlignment="1">
      <alignment horizontal="center"/>
    </xf>
    <xf numFmtId="39" fontId="6" fillId="2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4" fontId="10" fillId="0" borderId="44" xfId="2" applyNumberFormat="1" applyFont="1" applyFill="1" applyBorder="1"/>
    <xf numFmtId="39" fontId="6" fillId="2" borderId="45" xfId="0" applyNumberFormat="1" applyFont="1" applyFill="1" applyBorder="1" applyAlignment="1">
      <alignment horizontal="right" vertical="center"/>
    </xf>
    <xf numFmtId="39" fontId="6" fillId="2" borderId="46" xfId="0" applyNumberFormat="1" applyFont="1" applyFill="1" applyBorder="1" applyAlignment="1">
      <alignment horizontal="right" vertical="center"/>
    </xf>
    <xf numFmtId="39" fontId="12" fillId="2" borderId="46" xfId="1" applyNumberFormat="1" applyFont="1" applyFill="1" applyBorder="1"/>
    <xf numFmtId="4" fontId="12" fillId="2" borderId="47" xfId="2" applyNumberFormat="1" applyFont="1" applyFill="1" applyBorder="1"/>
    <xf numFmtId="4" fontId="12" fillId="2" borderId="48" xfId="2" applyNumberFormat="1" applyFont="1" applyFill="1" applyBorder="1"/>
    <xf numFmtId="4" fontId="12" fillId="2" borderId="49" xfId="2" applyNumberFormat="1" applyFont="1" applyFill="1" applyBorder="1"/>
    <xf numFmtId="39" fontId="12" fillId="2" borderId="0" xfId="2" applyNumberFormat="1" applyFont="1" applyFill="1" applyBorder="1"/>
    <xf numFmtId="4" fontId="12" fillId="2" borderId="0" xfId="2" applyNumberFormat="1" applyFont="1" applyFill="1" applyBorder="1" applyAlignment="1">
      <alignment horizontal="right"/>
    </xf>
    <xf numFmtId="0" fontId="6" fillId="0" borderId="0" xfId="0" applyFont="1" applyBorder="1"/>
    <xf numFmtId="49" fontId="10" fillId="2" borderId="7" xfId="2" quotePrefix="1" applyNumberFormat="1" applyFont="1" applyFill="1" applyBorder="1"/>
    <xf numFmtId="49" fontId="12" fillId="2" borderId="7" xfId="2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0" fontId="15" fillId="2" borderId="1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</cellXfs>
  <cellStyles count="85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4" builtinId="27" customBuiltin="1"/>
    <cellStyle name="Calculation" xfId="48" builtinId="22" customBuiltin="1"/>
    <cellStyle name="Check Cell" xfId="50" builtinId="23" customBuiltin="1"/>
    <cellStyle name="Comma" xfId="2" builtinId="3"/>
    <cellStyle name="Comma 2" xfId="3" xr:uid="{00000000-0005-0000-0000-00001C000000}"/>
    <cellStyle name="Comma 2 2" xfId="6" xr:uid="{00000000-0005-0000-0000-00001D000000}"/>
    <cellStyle name="Comma 2 2 2" xfId="29" xr:uid="{00000000-0005-0000-0000-00001E000000}"/>
    <cellStyle name="Comma 3" xfId="14" xr:uid="{00000000-0005-0000-0000-00001F000000}"/>
    <cellStyle name="Comma 3 2" xfId="35" xr:uid="{00000000-0005-0000-0000-000020000000}"/>
    <cellStyle name="Comma 4" xfId="21" xr:uid="{00000000-0005-0000-0000-000021000000}"/>
    <cellStyle name="Comma 4 2" xfId="38" xr:uid="{00000000-0005-0000-0000-000022000000}"/>
    <cellStyle name="Comma 5" xfId="5" xr:uid="{00000000-0005-0000-0000-000023000000}"/>
    <cellStyle name="Comma 5 2" xfId="28" xr:uid="{00000000-0005-0000-0000-000024000000}"/>
    <cellStyle name="Comma 6" xfId="83" xr:uid="{00000000-0005-0000-0000-000025000000}"/>
    <cellStyle name="Currency" xfId="1" builtinId="4"/>
    <cellStyle name="Currency 2" xfId="8" xr:uid="{00000000-0005-0000-0000-000027000000}"/>
    <cellStyle name="Currency 2 2" xfId="31" xr:uid="{00000000-0005-0000-0000-000028000000}"/>
    <cellStyle name="Currency 3" xfId="7" xr:uid="{00000000-0005-0000-0000-000029000000}"/>
    <cellStyle name="Currency 3 2" xfId="30" xr:uid="{00000000-0005-0000-0000-00002A000000}"/>
    <cellStyle name="Currency 4" xfId="82" xr:uid="{00000000-0005-0000-0000-00002B000000}"/>
    <cellStyle name="Explanatory Text" xfId="53" builtinId="53" customBuiltin="1"/>
    <cellStyle name="Good" xfId="43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 2" xfId="20" xr:uid="{00000000-0005-0000-0000-000032000000}"/>
    <cellStyle name="Input" xfId="46" builtinId="20" customBuiltin="1"/>
    <cellStyle name="Linked Cell" xfId="49" builtinId="24" customBuiltin="1"/>
    <cellStyle name="Neutral" xfId="45" builtinId="28" customBuiltin="1"/>
    <cellStyle name="Normal" xfId="0" builtinId="0"/>
    <cellStyle name="Normal 10" xfId="25" xr:uid="{00000000-0005-0000-0000-000037000000}"/>
    <cellStyle name="Normal 10 2" xfId="26" xr:uid="{00000000-0005-0000-0000-000038000000}"/>
    <cellStyle name="Normal 11" xfId="4" xr:uid="{00000000-0005-0000-0000-000039000000}"/>
    <cellStyle name="Normal 12" xfId="27" xr:uid="{00000000-0005-0000-0000-00003A000000}"/>
    <cellStyle name="Normal 12 2" xfId="84" xr:uid="{00000000-0005-0000-0000-00003B000000}"/>
    <cellStyle name="Normal 13" xfId="81" xr:uid="{00000000-0005-0000-0000-00003C000000}"/>
    <cellStyle name="Normal 14" xfId="79" xr:uid="{00000000-0005-0000-0000-00003D000000}"/>
    <cellStyle name="Normal 2" xfId="9" xr:uid="{00000000-0005-0000-0000-00003E000000}"/>
    <cellStyle name="Normal 2 2" xfId="24" xr:uid="{00000000-0005-0000-0000-00003F000000}"/>
    <cellStyle name="Normal 3" xfId="10" xr:uid="{00000000-0005-0000-0000-000040000000}"/>
    <cellStyle name="Normal 3 2" xfId="11" xr:uid="{00000000-0005-0000-0000-000041000000}"/>
    <cellStyle name="Normal 3 2 2" xfId="32" xr:uid="{00000000-0005-0000-0000-000042000000}"/>
    <cellStyle name="Normal 4" xfId="16" xr:uid="{00000000-0005-0000-0000-000043000000}"/>
    <cellStyle name="Normal 4 2" xfId="37" xr:uid="{00000000-0005-0000-0000-000044000000}"/>
    <cellStyle name="Normal 5" xfId="17" xr:uid="{00000000-0005-0000-0000-000045000000}"/>
    <cellStyle name="Normal 6" xfId="18" xr:uid="{00000000-0005-0000-0000-000046000000}"/>
    <cellStyle name="Normal 7" xfId="19" xr:uid="{00000000-0005-0000-0000-000047000000}"/>
    <cellStyle name="Normal 8" xfId="22" xr:uid="{00000000-0005-0000-0000-000048000000}"/>
    <cellStyle name="Normal 9" xfId="23" xr:uid="{00000000-0005-0000-0000-000049000000}"/>
    <cellStyle name="Note" xfId="52" builtinId="10" customBuiltin="1"/>
    <cellStyle name="Output" xfId="47" builtinId="21" customBuiltin="1"/>
    <cellStyle name="Percent 2" xfId="13" xr:uid="{00000000-0005-0000-0000-00004C000000}"/>
    <cellStyle name="Percent 2 2" xfId="34" xr:uid="{00000000-0005-0000-0000-00004D000000}"/>
    <cellStyle name="Percent 3" xfId="15" xr:uid="{00000000-0005-0000-0000-00004E000000}"/>
    <cellStyle name="Percent 3 2" xfId="36" xr:uid="{00000000-0005-0000-0000-00004F000000}"/>
    <cellStyle name="Percent 4" xfId="12" xr:uid="{00000000-0005-0000-0000-000050000000}"/>
    <cellStyle name="Percent 4 2" xfId="33" xr:uid="{00000000-0005-0000-0000-000051000000}"/>
    <cellStyle name="Title 2" xfId="80" xr:uid="{00000000-0005-0000-0000-000052000000}"/>
    <cellStyle name="Total" xfId="54" builtinId="25" customBuiltin="1"/>
    <cellStyle name="Warning Text" xfId="51" builtinId="11" customBuiltin="1"/>
  </cellStyles>
  <dxfs count="0"/>
  <tableStyles count="0" defaultTableStyle="TableStyleMedium2" defaultPivotStyle="PivotStyleLight16"/>
  <colors>
    <mruColors>
      <color rgb="FF99CCFF"/>
      <color rgb="FFCCECFF"/>
      <color rgb="FF66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leda_S\Desktop\ESSA%20Allocations\FY20-21\Granted%20Final\ESSA%20Preliminary%20Allocations%20FY2021%20-%20Jo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A Title I-A Formula"/>
      <sheetName val="ESSA Title I-Delinquent"/>
      <sheetName val="StateAgenciesTitle I-Delinquent"/>
      <sheetName val="ESSA Title II-A Formula"/>
      <sheetName val="ESSA Title III-ELL "/>
      <sheetName val="ESSA Title III SAI"/>
      <sheetName val="ESSA Title IV"/>
      <sheetName val="ESSA Title V-B"/>
      <sheetName val="NCLB Allocations"/>
    </sheetNames>
    <sheetDataSet>
      <sheetData sheetId="0">
        <row r="4">
          <cell r="C4" t="str">
            <v>2020-2021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66FF"/>
    <pageSetUpPr fitToPage="1"/>
  </sheetPr>
  <dimension ref="A1:J225"/>
  <sheetViews>
    <sheetView zoomScale="85" zoomScaleNormal="85" workbookViewId="0">
      <pane ySplit="3" topLeftCell="A4" activePane="bottomLeft" state="frozen"/>
      <selection activeCell="G13" sqref="G13:G135"/>
      <selection pane="bottomLeft" activeCell="I23" sqref="I23"/>
    </sheetView>
  </sheetViews>
  <sheetFormatPr defaultColWidth="9.140625" defaultRowHeight="15" x14ac:dyDescent="0.25"/>
  <cols>
    <col min="1" max="1" width="9.140625" style="253"/>
    <col min="2" max="2" width="30.85546875" style="51" customWidth="1"/>
    <col min="3" max="3" width="20.42578125" style="51" customWidth="1"/>
    <col min="4" max="4" width="21.7109375" style="51" customWidth="1"/>
    <col min="5" max="5" width="24.42578125" style="51" customWidth="1"/>
    <col min="6" max="6" width="17.7109375" style="51" customWidth="1"/>
    <col min="7" max="7" width="15" style="51" customWidth="1"/>
    <col min="8" max="8" width="15.85546875" style="51" customWidth="1"/>
    <col min="9" max="9" width="19.85546875" style="51" customWidth="1"/>
    <col min="10" max="10" width="18.140625" style="51" customWidth="1"/>
    <col min="11" max="16384" width="9.140625" style="51"/>
  </cols>
  <sheetData>
    <row r="1" spans="1:10" ht="15.75" customHeight="1" x14ac:dyDescent="0.25">
      <c r="A1" s="304" t="s">
        <v>644</v>
      </c>
      <c r="B1" s="305"/>
      <c r="C1" s="305"/>
      <c r="D1" s="305"/>
      <c r="E1" s="305"/>
      <c r="F1" s="305"/>
      <c r="G1" s="305"/>
      <c r="H1" s="305"/>
      <c r="I1" s="306"/>
      <c r="J1" s="165"/>
    </row>
    <row r="2" spans="1:10" ht="15.75" customHeight="1" thickBot="1" x14ac:dyDescent="0.3">
      <c r="A2" s="307"/>
      <c r="B2" s="308"/>
      <c r="C2" s="308"/>
      <c r="D2" s="308"/>
      <c r="E2" s="308"/>
      <c r="F2" s="308"/>
      <c r="G2" s="308"/>
      <c r="H2" s="308"/>
      <c r="I2" s="309"/>
      <c r="J2" s="165"/>
    </row>
    <row r="3" spans="1:10" ht="19.5" thickBot="1" x14ac:dyDescent="0.35">
      <c r="A3" s="166" t="s">
        <v>365</v>
      </c>
      <c r="B3" s="167" t="s">
        <v>394</v>
      </c>
      <c r="C3" s="167" t="s">
        <v>5</v>
      </c>
      <c r="D3" s="167" t="s">
        <v>384</v>
      </c>
      <c r="E3" s="167" t="s">
        <v>602</v>
      </c>
      <c r="F3" s="167" t="s">
        <v>385</v>
      </c>
      <c r="G3" s="167" t="s">
        <v>603</v>
      </c>
      <c r="H3" s="167" t="s">
        <v>386</v>
      </c>
      <c r="I3" s="167" t="s">
        <v>604</v>
      </c>
      <c r="J3" s="168" t="s">
        <v>605</v>
      </c>
    </row>
    <row r="4" spans="1:10" ht="18.75" x14ac:dyDescent="0.3">
      <c r="A4" s="246" t="s">
        <v>6</v>
      </c>
      <c r="B4" s="53" t="s">
        <v>184</v>
      </c>
      <c r="C4" s="54">
        <f>VLOOKUP(A4,'ESSA Title I-A Formula'!A12:G194,7,FALSE)</f>
        <v>104624.74000000022</v>
      </c>
      <c r="D4" s="54">
        <v>0</v>
      </c>
      <c r="E4" s="134">
        <v>0</v>
      </c>
      <c r="F4" s="54">
        <f>VLOOKUP(A4,'ESSA Title II-A Formula'!A12:G194,7,FALSE)</f>
        <v>15822.859999999986</v>
      </c>
      <c r="G4" s="54">
        <f>VLOOKUP(A4,'ESSA Title III-ELL '!A12:G196,7,FALSE)</f>
        <v>19677.999999999971</v>
      </c>
      <c r="H4" s="54">
        <v>0</v>
      </c>
      <c r="I4" s="54">
        <f>VLOOKUP(A4,'ESSA Title IV'!A12:G194,7,FALSE)</f>
        <v>8288</v>
      </c>
      <c r="J4" s="134">
        <v>0</v>
      </c>
    </row>
    <row r="5" spans="1:10" ht="18.75" x14ac:dyDescent="0.3">
      <c r="A5" s="247" t="s">
        <v>7</v>
      </c>
      <c r="B5" s="55" t="s">
        <v>185</v>
      </c>
      <c r="C5" s="134">
        <f>VLOOKUP(A5,'ESSA Title I-A Formula'!A13:G195,7,FALSE)</f>
        <v>671381.31000000052</v>
      </c>
      <c r="D5" s="134">
        <v>0</v>
      </c>
      <c r="E5" s="134">
        <v>0</v>
      </c>
      <c r="F5" s="134">
        <f>VLOOKUP(A5,'ESSA Title II-A Formula'!A13:G195,7,FALSE)</f>
        <v>286466.20999999996</v>
      </c>
      <c r="G5" s="134">
        <f>VLOOKUP(A5,'ESSA Title III-ELL '!A13:G197,7,FALSE)</f>
        <v>89108.289999999979</v>
      </c>
      <c r="H5" s="134">
        <f>'ESSA Title III SAI'!G12</f>
        <v>49903.07</v>
      </c>
      <c r="I5" s="134">
        <f>VLOOKUP(A5,'ESSA Title IV'!A13:G195,7,FALSE)</f>
        <v>150553.44</v>
      </c>
      <c r="J5" s="134">
        <v>0</v>
      </c>
    </row>
    <row r="6" spans="1:10" ht="18.75" x14ac:dyDescent="0.3">
      <c r="A6" s="247" t="s">
        <v>8</v>
      </c>
      <c r="B6" s="55" t="s">
        <v>186</v>
      </c>
      <c r="C6" s="134">
        <f>VLOOKUP(A6,'ESSA Title I-A Formula'!A14:G196,7,FALSE)</f>
        <v>476348.76999999979</v>
      </c>
      <c r="D6" s="134">
        <v>0</v>
      </c>
      <c r="E6" s="134">
        <v>0</v>
      </c>
      <c r="F6" s="134">
        <f>VLOOKUP(A6,'ESSA Title II-A Formula'!A14:G196,7,FALSE)</f>
        <v>183924.22999999998</v>
      </c>
      <c r="G6" s="134">
        <f>VLOOKUP(A6,'ESSA Title III-ELL '!A14:G198,7,FALSE)</f>
        <v>63944.040000000008</v>
      </c>
      <c r="H6" s="134">
        <v>0</v>
      </c>
      <c r="I6" s="134">
        <f>VLOOKUP(A6,'ESSA Title IV'!A14:G196,7,FALSE)</f>
        <v>133856.5</v>
      </c>
      <c r="J6" s="134">
        <v>0</v>
      </c>
    </row>
    <row r="7" spans="1:10" ht="18.75" x14ac:dyDescent="0.3">
      <c r="A7" s="247" t="s">
        <v>9</v>
      </c>
      <c r="B7" s="55" t="s">
        <v>187</v>
      </c>
      <c r="C7" s="134">
        <f>VLOOKUP(A7,'ESSA Title I-A Formula'!A15:G197,7,FALSE)</f>
        <v>164769.58999999985</v>
      </c>
      <c r="D7" s="134">
        <v>0</v>
      </c>
      <c r="E7" s="134">
        <v>0</v>
      </c>
      <c r="F7" s="134">
        <f>VLOOKUP(A7,'ESSA Title II-A Formula'!A15:G197,7,FALSE)</f>
        <v>199075.48</v>
      </c>
      <c r="G7" s="134">
        <f>VLOOKUP(A7,'ESSA Title III-ELL '!A15:G199,7,FALSE)</f>
        <v>219624</v>
      </c>
      <c r="H7" s="134">
        <v>0</v>
      </c>
      <c r="I7" s="134">
        <f>VLOOKUP(A7,'ESSA Title IV'!A15:G197,7,FALSE)</f>
        <v>89957</v>
      </c>
      <c r="J7" s="134">
        <v>0</v>
      </c>
    </row>
    <row r="8" spans="1:10" ht="18.75" x14ac:dyDescent="0.3">
      <c r="A8" s="247" t="s">
        <v>10</v>
      </c>
      <c r="B8" s="55" t="s">
        <v>188</v>
      </c>
      <c r="C8" s="134">
        <f>VLOOKUP(A8,'ESSA Title I-A Formula'!A16:G198,7,FALSE)</f>
        <v>0</v>
      </c>
      <c r="D8" s="134">
        <v>0</v>
      </c>
      <c r="E8" s="134">
        <v>0</v>
      </c>
      <c r="F8" s="134">
        <f>VLOOKUP(A8,'ESSA Title II-A Formula'!A16:G198,7,FALSE)</f>
        <v>0</v>
      </c>
      <c r="G8" s="134">
        <f>VLOOKUP(A8,'ESSA Title III-ELL '!A16:G200,7,FALSE)</f>
        <v>0</v>
      </c>
      <c r="H8" s="134">
        <v>0</v>
      </c>
      <c r="I8" s="134">
        <f>VLOOKUP(A8,'ESSA Title IV'!A16:G198,7,FALSE)</f>
        <v>0</v>
      </c>
      <c r="J8" s="134">
        <v>0</v>
      </c>
    </row>
    <row r="9" spans="1:10" ht="18.75" x14ac:dyDescent="0.3">
      <c r="A9" s="247" t="s">
        <v>11</v>
      </c>
      <c r="B9" s="55" t="s">
        <v>189</v>
      </c>
      <c r="C9" s="134">
        <f>VLOOKUP(A9,'ESSA Title I-A Formula'!A17:G199,7,FALSE)</f>
        <v>0</v>
      </c>
      <c r="D9" s="134">
        <v>0</v>
      </c>
      <c r="E9" s="134">
        <v>0</v>
      </c>
      <c r="F9" s="134">
        <f>VLOOKUP(A9,'ESSA Title II-A Formula'!A17:G199,7,FALSE)</f>
        <v>0</v>
      </c>
      <c r="G9" s="134">
        <f>VLOOKUP(A9,'ESSA Title III-ELL '!A17:G201,7,FALSE)</f>
        <v>0</v>
      </c>
      <c r="H9" s="134">
        <v>0</v>
      </c>
      <c r="I9" s="134">
        <f>VLOOKUP(A9,'ESSA Title IV'!A17:G199,7,FALSE)</f>
        <v>0</v>
      </c>
      <c r="J9" s="134">
        <v>0</v>
      </c>
    </row>
    <row r="10" spans="1:10" ht="18.75" x14ac:dyDescent="0.3">
      <c r="A10" s="247" t="s">
        <v>12</v>
      </c>
      <c r="B10" s="55" t="s">
        <v>190</v>
      </c>
      <c r="C10" s="134">
        <f>VLOOKUP(A10,'ESSA Title I-A Formula'!A18:G200,7,FALSE)</f>
        <v>440728.64999999991</v>
      </c>
      <c r="D10" s="134">
        <v>0</v>
      </c>
      <c r="E10" s="134">
        <v>0</v>
      </c>
      <c r="F10" s="134">
        <f>VLOOKUP(A10,'ESSA Title II-A Formula'!A18:G200,7,FALSE)</f>
        <v>21349.239999999991</v>
      </c>
      <c r="G10" s="134">
        <f>VLOOKUP(A10,'ESSA Title III-ELL '!A18:G202,7,FALSE)</f>
        <v>96572.98000000001</v>
      </c>
      <c r="H10" s="134">
        <v>0</v>
      </c>
      <c r="I10" s="134">
        <f>VLOOKUP(A10,'ESSA Title IV'!A18:G200,7,FALSE)</f>
        <v>113172.33</v>
      </c>
      <c r="J10" s="134">
        <v>0</v>
      </c>
    </row>
    <row r="11" spans="1:10" ht="18.75" x14ac:dyDescent="0.3">
      <c r="A11" s="247" t="s">
        <v>13</v>
      </c>
      <c r="B11" s="55" t="s">
        <v>191</v>
      </c>
      <c r="C11" s="134">
        <f>VLOOKUP(A11,'ESSA Title I-A Formula'!A19:G201,7,FALSE)</f>
        <v>445480.25</v>
      </c>
      <c r="D11" s="134">
        <v>0</v>
      </c>
      <c r="E11" s="134">
        <v>0</v>
      </c>
      <c r="F11" s="134">
        <f>VLOOKUP(A11,'ESSA Title II-A Formula'!A19:G201,7,FALSE)</f>
        <v>68742.820000000007</v>
      </c>
      <c r="G11" s="134">
        <f>VLOOKUP(A11,'ESSA Title III-ELL '!A19:G203,7,FALSE)</f>
        <v>25291</v>
      </c>
      <c r="H11" s="134">
        <f>'ESSA Title III SAI'!G13</f>
        <v>15968</v>
      </c>
      <c r="I11" s="134">
        <f>VLOOKUP(A11,'ESSA Title IV'!A19:G201,7,FALSE)</f>
        <v>32052.33</v>
      </c>
      <c r="J11" s="134">
        <f>VLOOKUP(A11,'ESSA Title V-B'!$A$12:$G$29,7,FALSE)</f>
        <v>32276.62</v>
      </c>
    </row>
    <row r="12" spans="1:10" ht="18.75" x14ac:dyDescent="0.3">
      <c r="A12" s="247" t="s">
        <v>14</v>
      </c>
      <c r="B12" s="55" t="s">
        <v>192</v>
      </c>
      <c r="C12" s="134">
        <f>VLOOKUP(A12,'ESSA Title I-A Formula'!A20:G202,7,FALSE)</f>
        <v>1265</v>
      </c>
      <c r="D12" s="134">
        <v>0</v>
      </c>
      <c r="E12" s="134">
        <v>0</v>
      </c>
      <c r="F12" s="134">
        <f>VLOOKUP(A12,'ESSA Title II-A Formula'!A20:G202,7,FALSE)</f>
        <v>337</v>
      </c>
      <c r="G12" s="134">
        <f>VLOOKUP(A12,'ESSA Title III-ELL '!A20:G204,7,FALSE)</f>
        <v>0</v>
      </c>
      <c r="H12" s="134">
        <v>0</v>
      </c>
      <c r="I12" s="134">
        <f>VLOOKUP(A12,'ESSA Title IV'!A20:G202,7,FALSE)</f>
        <v>0</v>
      </c>
      <c r="J12" s="134">
        <v>0</v>
      </c>
    </row>
    <row r="13" spans="1:10" ht="18.75" x14ac:dyDescent="0.3">
      <c r="A13" s="247" t="s">
        <v>15</v>
      </c>
      <c r="B13" s="55" t="s">
        <v>193</v>
      </c>
      <c r="C13" s="134">
        <f>VLOOKUP(A13,'ESSA Title I-A Formula'!A21:G203,7,FALSE)</f>
        <v>148495.82999999996</v>
      </c>
      <c r="D13" s="134">
        <v>0</v>
      </c>
      <c r="E13" s="134">
        <v>0</v>
      </c>
      <c r="F13" s="134">
        <f>VLOOKUP(A13,'ESSA Title II-A Formula'!A21:G203,7,FALSE)</f>
        <v>3142</v>
      </c>
      <c r="G13" s="134">
        <f>VLOOKUP(A13,'ESSA Title III-ELL '!A21:G205,7,FALSE)</f>
        <v>5779.6999999999989</v>
      </c>
      <c r="H13" s="134">
        <v>0</v>
      </c>
      <c r="I13" s="134">
        <f>VLOOKUP(A13,'ESSA Title IV'!A21:G203,7,FALSE)</f>
        <v>29884.959999999999</v>
      </c>
      <c r="J13" s="134">
        <v>0</v>
      </c>
    </row>
    <row r="14" spans="1:10" ht="18.75" x14ac:dyDescent="0.3">
      <c r="A14" s="247" t="s">
        <v>16</v>
      </c>
      <c r="B14" s="55" t="s">
        <v>194</v>
      </c>
      <c r="C14" s="134">
        <f>VLOOKUP(A14,'ESSA Title I-A Formula'!A22:G204,7,FALSE)</f>
        <v>77557.37</v>
      </c>
      <c r="D14" s="134">
        <v>0</v>
      </c>
      <c r="E14" s="134">
        <v>0</v>
      </c>
      <c r="F14" s="134">
        <f>VLOOKUP(A14,'ESSA Title II-A Formula'!A22:G204,7,FALSE)</f>
        <v>18071.770000000004</v>
      </c>
      <c r="G14" s="134">
        <f>VLOOKUP(A14,'ESSA Title III-ELL '!A22:G206,7,FALSE)</f>
        <v>7803.5899999999965</v>
      </c>
      <c r="H14" s="134">
        <v>0</v>
      </c>
      <c r="I14" s="134">
        <f>VLOOKUP(A14,'ESSA Title IV'!A22:G204,7,FALSE)</f>
        <v>2867</v>
      </c>
      <c r="J14" s="134">
        <v>0</v>
      </c>
    </row>
    <row r="15" spans="1:10" ht="18.75" x14ac:dyDescent="0.3">
      <c r="A15" s="247" t="s">
        <v>17</v>
      </c>
      <c r="B15" s="55" t="s">
        <v>195</v>
      </c>
      <c r="C15" s="134">
        <f>VLOOKUP(A15,'ESSA Title I-A Formula'!A23:G205,7,FALSE)</f>
        <v>908628.85000000009</v>
      </c>
      <c r="D15" s="134">
        <v>0</v>
      </c>
      <c r="E15" s="134">
        <v>0</v>
      </c>
      <c r="F15" s="134">
        <f>VLOOKUP(A15,'ESSA Title II-A Formula'!A23:G205,7,FALSE)</f>
        <v>1015289</v>
      </c>
      <c r="G15" s="134">
        <f>VLOOKUP(A15,'ESSA Title III-ELL '!A23:G207,7,FALSE)</f>
        <v>352439.79</v>
      </c>
      <c r="H15" s="134">
        <v>0</v>
      </c>
      <c r="I15" s="134">
        <f>VLOOKUP(A15,'ESSA Title IV'!A23:G205,7,FALSE)</f>
        <v>318896</v>
      </c>
      <c r="J15" s="134">
        <v>0</v>
      </c>
    </row>
    <row r="16" spans="1:10" ht="18.75" x14ac:dyDescent="0.3">
      <c r="A16" s="247" t="s">
        <v>18</v>
      </c>
      <c r="B16" s="55" t="s">
        <v>196</v>
      </c>
      <c r="C16" s="134">
        <f>VLOOKUP(A16,'ESSA Title I-A Formula'!A24:G206,7,FALSE)</f>
        <v>54852.160000000033</v>
      </c>
      <c r="D16" s="134">
        <v>0</v>
      </c>
      <c r="E16" s="134">
        <v>0</v>
      </c>
      <c r="F16" s="134">
        <f>VLOOKUP(A16,'ESSA Title II-A Formula'!A24:G206,7,FALSE)</f>
        <v>139397.09</v>
      </c>
      <c r="G16" s="134">
        <f>VLOOKUP(A16,'ESSA Title III-ELL '!A24:G208,7,FALSE)</f>
        <v>2163.7700000000041</v>
      </c>
      <c r="H16" s="134">
        <v>0</v>
      </c>
      <c r="I16" s="134">
        <f>VLOOKUP(A16,'ESSA Title IV'!A24:G206,7,FALSE)</f>
        <v>30827</v>
      </c>
      <c r="J16" s="134">
        <v>0</v>
      </c>
    </row>
    <row r="17" spans="1:10" ht="18.75" x14ac:dyDescent="0.3">
      <c r="A17" s="247" t="s">
        <v>19</v>
      </c>
      <c r="B17" s="55" t="s">
        <v>197</v>
      </c>
      <c r="C17" s="134">
        <f>VLOOKUP(A17,'ESSA Title I-A Formula'!A25:G207,7,FALSE)</f>
        <v>0</v>
      </c>
      <c r="D17" s="134">
        <v>0</v>
      </c>
      <c r="E17" s="134">
        <v>0</v>
      </c>
      <c r="F17" s="134">
        <f>VLOOKUP(A17,'ESSA Title II-A Formula'!A25:G207,7,FALSE)</f>
        <v>0</v>
      </c>
      <c r="G17" s="134">
        <f>VLOOKUP(A17,'ESSA Title III-ELL '!A25:G209,7,FALSE)</f>
        <v>0</v>
      </c>
      <c r="H17" s="134">
        <v>0</v>
      </c>
      <c r="I17" s="134">
        <f>VLOOKUP(A17,'ESSA Title IV'!A25:G207,7,FALSE)</f>
        <v>0</v>
      </c>
      <c r="J17" s="134">
        <v>0</v>
      </c>
    </row>
    <row r="18" spans="1:10" ht="18.75" x14ac:dyDescent="0.3">
      <c r="A18" s="247" t="s">
        <v>20</v>
      </c>
      <c r="B18" s="55" t="s">
        <v>198</v>
      </c>
      <c r="C18" s="134">
        <f>VLOOKUP(A18,'ESSA Title I-A Formula'!A26:G208,7,FALSE)</f>
        <v>2133068.0300000003</v>
      </c>
      <c r="D18" s="134">
        <v>0</v>
      </c>
      <c r="E18" s="134">
        <v>0</v>
      </c>
      <c r="F18" s="134">
        <f>VLOOKUP(A18,'ESSA Title II-A Formula'!A26:G208,7,FALSE)</f>
        <v>588146.28</v>
      </c>
      <c r="G18" s="134">
        <f>VLOOKUP(A18,'ESSA Title III-ELL '!A26:G210,7,FALSE)</f>
        <v>182547.96999999997</v>
      </c>
      <c r="H18" s="134">
        <v>0</v>
      </c>
      <c r="I18" s="134">
        <f>VLOOKUP(A18,'ESSA Title IV'!A26:G208,7,FALSE)</f>
        <v>395766.27</v>
      </c>
      <c r="J18" s="134">
        <v>0</v>
      </c>
    </row>
    <row r="19" spans="1:10" ht="18.75" x14ac:dyDescent="0.3">
      <c r="A19" s="247" t="s">
        <v>21</v>
      </c>
      <c r="B19" s="55" t="s">
        <v>199</v>
      </c>
      <c r="C19" s="134">
        <f>VLOOKUP(A19,'ESSA Title I-A Formula'!A27:G209,7,FALSE)</f>
        <v>2728</v>
      </c>
      <c r="D19" s="134">
        <v>0</v>
      </c>
      <c r="E19" s="134">
        <v>0</v>
      </c>
      <c r="F19" s="134">
        <f>VLOOKUP(A19,'ESSA Title II-A Formula'!A27:G209,7,FALSE)</f>
        <v>0</v>
      </c>
      <c r="G19" s="134">
        <f>VLOOKUP(A19,'ESSA Title III-ELL '!A27:G211,7,FALSE)</f>
        <v>0</v>
      </c>
      <c r="H19" s="134">
        <v>0</v>
      </c>
      <c r="I19" s="134">
        <f>VLOOKUP(A19,'ESSA Title IV'!A27:G209,7,FALSE)</f>
        <v>15</v>
      </c>
      <c r="J19" s="134">
        <v>0</v>
      </c>
    </row>
    <row r="20" spans="1:10" ht="18.75" x14ac:dyDescent="0.3">
      <c r="A20" s="247" t="s">
        <v>22</v>
      </c>
      <c r="B20" s="55" t="s">
        <v>200</v>
      </c>
      <c r="C20" s="134">
        <f>VLOOKUP(A20,'ESSA Title I-A Formula'!A28:G210,7,FALSE)</f>
        <v>64126.79999999993</v>
      </c>
      <c r="D20" s="134">
        <v>0</v>
      </c>
      <c r="E20" s="134">
        <v>0</v>
      </c>
      <c r="F20" s="134">
        <f>VLOOKUP(A20,'ESSA Title II-A Formula'!A28:G210,7,FALSE)</f>
        <v>3159.6500000000087</v>
      </c>
      <c r="G20" s="134">
        <f>VLOOKUP(A20,'ESSA Title III-ELL '!A28:G212,7,FALSE)</f>
        <v>0</v>
      </c>
      <c r="H20" s="134">
        <v>0</v>
      </c>
      <c r="I20" s="134">
        <f>VLOOKUP(A20,'ESSA Title IV'!A28:G210,7,FALSE)</f>
        <v>13972.83</v>
      </c>
      <c r="J20" s="134">
        <f>VLOOKUP(A20,'ESSA Title V-B'!$A$12:$G$29,7,FALSE)</f>
        <v>0</v>
      </c>
    </row>
    <row r="21" spans="1:10" ht="18.75" x14ac:dyDescent="0.3">
      <c r="A21" s="247" t="s">
        <v>23</v>
      </c>
      <c r="B21" s="55" t="s">
        <v>201</v>
      </c>
      <c r="C21" s="134">
        <f>VLOOKUP(A21,'ESSA Title I-A Formula'!A29:G211,7,FALSE)</f>
        <v>325</v>
      </c>
      <c r="D21" s="134">
        <v>0</v>
      </c>
      <c r="E21" s="134">
        <v>0</v>
      </c>
      <c r="F21" s="134">
        <f>VLOOKUP(A21,'ESSA Title II-A Formula'!A29:G211,7,FALSE)</f>
        <v>1979</v>
      </c>
      <c r="G21" s="134">
        <f>VLOOKUP(A21,'ESSA Title III-ELL '!A29:G213,7,FALSE)</f>
        <v>0</v>
      </c>
      <c r="H21" s="134">
        <v>0</v>
      </c>
      <c r="I21" s="134">
        <f>VLOOKUP(A21,'ESSA Title IV'!A29:G211,7,FALSE)</f>
        <v>10000</v>
      </c>
      <c r="J21" s="134">
        <v>0</v>
      </c>
    </row>
    <row r="22" spans="1:10" ht="18.75" x14ac:dyDescent="0.3">
      <c r="A22" s="247" t="s">
        <v>24</v>
      </c>
      <c r="B22" s="55" t="s">
        <v>202</v>
      </c>
      <c r="C22" s="134">
        <f>VLOOKUP(A22,'ESSA Title I-A Formula'!A30:G212,7,FALSE)</f>
        <v>13488</v>
      </c>
      <c r="D22" s="134">
        <v>0</v>
      </c>
      <c r="E22" s="134">
        <v>0</v>
      </c>
      <c r="F22" s="134">
        <f>VLOOKUP(A22,'ESSA Title II-A Formula'!A30:G212,7,FALSE)</f>
        <v>2333</v>
      </c>
      <c r="G22" s="134">
        <f>VLOOKUP(A22,'ESSA Title III-ELL '!A30:G214,7,FALSE)</f>
        <v>0</v>
      </c>
      <c r="H22" s="134">
        <v>0</v>
      </c>
      <c r="I22" s="134">
        <f>VLOOKUP(A22,'ESSA Title IV'!A30:G212,7,FALSE)</f>
        <v>10000</v>
      </c>
      <c r="J22" s="134">
        <v>0</v>
      </c>
    </row>
    <row r="23" spans="1:10" ht="18.75" x14ac:dyDescent="0.3">
      <c r="A23" s="247" t="s">
        <v>25</v>
      </c>
      <c r="B23" s="55" t="s">
        <v>203</v>
      </c>
      <c r="C23" s="134">
        <f>VLOOKUP(A23,'ESSA Title I-A Formula'!A31:G213,7,FALSE)</f>
        <v>6060.1600000000035</v>
      </c>
      <c r="D23" s="134">
        <v>0</v>
      </c>
      <c r="E23" s="134">
        <v>0</v>
      </c>
      <c r="F23" s="134">
        <f>VLOOKUP(A23,'ESSA Title II-A Formula'!A31:G213,7,FALSE)</f>
        <v>0</v>
      </c>
      <c r="G23" s="134">
        <f>VLOOKUP(A23,'ESSA Title III-ELL '!A31:G215,7,FALSE)</f>
        <v>0</v>
      </c>
      <c r="H23" s="134">
        <v>0</v>
      </c>
      <c r="I23" s="134">
        <f>VLOOKUP(A23,'ESSA Title IV'!A31:G213,7,FALSE)</f>
        <v>0</v>
      </c>
      <c r="J23" s="134">
        <v>0</v>
      </c>
    </row>
    <row r="24" spans="1:10" ht="18.75" x14ac:dyDescent="0.3">
      <c r="A24" s="247" t="s">
        <v>26</v>
      </c>
      <c r="B24" s="55" t="s">
        <v>204</v>
      </c>
      <c r="C24" s="134">
        <f>VLOOKUP(A24,'ESSA Title I-A Formula'!A32:G214,7,FALSE)</f>
        <v>0</v>
      </c>
      <c r="D24" s="134">
        <v>0</v>
      </c>
      <c r="E24" s="134">
        <v>0</v>
      </c>
      <c r="F24" s="134">
        <f>VLOOKUP(A24,'ESSA Title II-A Formula'!A32:G214,7,FALSE)</f>
        <v>0</v>
      </c>
      <c r="G24" s="134">
        <f>VLOOKUP(A24,'ESSA Title III-ELL '!A32:G216,7,FALSE)</f>
        <v>0</v>
      </c>
      <c r="H24" s="134">
        <v>0</v>
      </c>
      <c r="I24" s="134">
        <f>VLOOKUP(A24,'ESSA Title IV'!A32:G214,7,FALSE)</f>
        <v>0</v>
      </c>
      <c r="J24" s="134">
        <v>0</v>
      </c>
    </row>
    <row r="25" spans="1:10" ht="18.75" x14ac:dyDescent="0.3">
      <c r="A25" s="247" t="s">
        <v>27</v>
      </c>
      <c r="B25" s="55" t="s">
        <v>205</v>
      </c>
      <c r="C25" s="134">
        <f>VLOOKUP(A25,'ESSA Title I-A Formula'!A33:G215,7,FALSE)</f>
        <v>0</v>
      </c>
      <c r="D25" s="134">
        <v>0</v>
      </c>
      <c r="E25" s="134">
        <v>0</v>
      </c>
      <c r="F25" s="134">
        <f>VLOOKUP(A25,'ESSA Title II-A Formula'!A33:G215,7,FALSE)</f>
        <v>1099.76</v>
      </c>
      <c r="G25" s="134">
        <f>VLOOKUP(A25,'ESSA Title III-ELL '!A33:G217,7,FALSE)</f>
        <v>0</v>
      </c>
      <c r="H25" s="134">
        <v>0</v>
      </c>
      <c r="I25" s="134">
        <f>VLOOKUP(A25,'ESSA Title IV'!A33:G215,7,FALSE)</f>
        <v>1070.7100000000009</v>
      </c>
      <c r="J25" s="134">
        <v>0</v>
      </c>
    </row>
    <row r="26" spans="1:10" ht="18.75" x14ac:dyDescent="0.3">
      <c r="A26" s="247" t="s">
        <v>28</v>
      </c>
      <c r="B26" s="55" t="s">
        <v>206</v>
      </c>
      <c r="C26" s="134">
        <f>VLOOKUP(A26,'ESSA Title I-A Formula'!A34:G216,7,FALSE)</f>
        <v>159976</v>
      </c>
      <c r="D26" s="134">
        <v>0</v>
      </c>
      <c r="E26" s="134">
        <v>0</v>
      </c>
      <c r="F26" s="134">
        <f>VLOOKUP(A26,'ESSA Title II-A Formula'!A34:G216,7,FALSE)</f>
        <v>0</v>
      </c>
      <c r="G26" s="134">
        <f>VLOOKUP(A26,'ESSA Title III-ELL '!A34:G218,7,FALSE)</f>
        <v>0</v>
      </c>
      <c r="H26" s="134">
        <v>0</v>
      </c>
      <c r="I26" s="134">
        <f>VLOOKUP(A26,'ESSA Title IV'!A34:G216,7,FALSE)</f>
        <v>46093</v>
      </c>
      <c r="J26" s="134">
        <f>VLOOKUP(A26,'ESSA Title V-B'!$A$12:$G$29,7,FALSE)</f>
        <v>8122.25</v>
      </c>
    </row>
    <row r="27" spans="1:10" ht="18.75" x14ac:dyDescent="0.3">
      <c r="A27" s="247" t="s">
        <v>29</v>
      </c>
      <c r="B27" s="55" t="s">
        <v>207</v>
      </c>
      <c r="C27" s="134">
        <f>VLOOKUP(A27,'ESSA Title I-A Formula'!A35:G217,7,FALSE)</f>
        <v>0</v>
      </c>
      <c r="D27" s="134">
        <v>0</v>
      </c>
      <c r="E27" s="134">
        <v>0</v>
      </c>
      <c r="F27" s="134">
        <f>VLOOKUP(A27,'ESSA Title II-A Formula'!A35:G217,7,FALSE)</f>
        <v>0</v>
      </c>
      <c r="G27" s="134">
        <f>VLOOKUP(A27,'ESSA Title III-ELL '!A35:G219,7,FALSE)</f>
        <v>0</v>
      </c>
      <c r="H27" s="134">
        <v>0</v>
      </c>
      <c r="I27" s="134">
        <f>VLOOKUP(A27,'ESSA Title IV'!A35:G217,7,FALSE)</f>
        <v>0</v>
      </c>
      <c r="J27" s="134">
        <v>0</v>
      </c>
    </row>
    <row r="28" spans="1:10" ht="18.75" x14ac:dyDescent="0.3">
      <c r="A28" s="247" t="s">
        <v>30</v>
      </c>
      <c r="B28" s="55" t="s">
        <v>208</v>
      </c>
      <c r="C28" s="134">
        <f>VLOOKUP(A28,'ESSA Title I-A Formula'!A36:G218,7,FALSE)</f>
        <v>1439509</v>
      </c>
      <c r="D28" s="134">
        <v>0</v>
      </c>
      <c r="E28" s="134">
        <v>0</v>
      </c>
      <c r="F28" s="134">
        <f>VLOOKUP(A28,'ESSA Title II-A Formula'!A36:G218,7,FALSE)</f>
        <v>500687.99</v>
      </c>
      <c r="G28" s="134">
        <f>VLOOKUP(A28,'ESSA Title III-ELL '!A36:G220,7,FALSE)</f>
        <v>84020.540000000008</v>
      </c>
      <c r="H28" s="134">
        <v>0</v>
      </c>
      <c r="I28" s="134">
        <f>VLOOKUP(A28,'ESSA Title IV'!A36:G218,7,FALSE)</f>
        <v>199372</v>
      </c>
      <c r="J28" s="134">
        <v>0</v>
      </c>
    </row>
    <row r="29" spans="1:10" ht="18.75" x14ac:dyDescent="0.3">
      <c r="A29" s="247" t="s">
        <v>31</v>
      </c>
      <c r="B29" s="55" t="s">
        <v>209</v>
      </c>
      <c r="C29" s="134">
        <f>VLOOKUP(A29,'ESSA Title I-A Formula'!A37:G219,7,FALSE)</f>
        <v>247224.41000000015</v>
      </c>
      <c r="D29" s="134">
        <v>0</v>
      </c>
      <c r="E29" s="134">
        <v>0</v>
      </c>
      <c r="F29" s="134">
        <f>VLOOKUP(A29,'ESSA Title II-A Formula'!A37:G219,7,FALSE)</f>
        <v>487378</v>
      </c>
      <c r="G29" s="134">
        <f>VLOOKUP(A29,'ESSA Title III-ELL '!A37:G221,7,FALSE)</f>
        <v>55170.679999999993</v>
      </c>
      <c r="H29" s="134">
        <v>0</v>
      </c>
      <c r="I29" s="134">
        <f>VLOOKUP(A29,'ESSA Title IV'!A37:G219,7,FALSE)</f>
        <v>118531.53</v>
      </c>
      <c r="J29" s="134">
        <v>0</v>
      </c>
    </row>
    <row r="30" spans="1:10" ht="18.75" x14ac:dyDescent="0.3">
      <c r="A30" s="247" t="s">
        <v>32</v>
      </c>
      <c r="B30" s="55" t="s">
        <v>210</v>
      </c>
      <c r="C30" s="134">
        <f>VLOOKUP(A30,'ESSA Title I-A Formula'!A38:G220,7,FALSE)</f>
        <v>0</v>
      </c>
      <c r="D30" s="134">
        <v>0</v>
      </c>
      <c r="E30" s="134">
        <v>0</v>
      </c>
      <c r="F30" s="134">
        <f>VLOOKUP(A30,'ESSA Title II-A Formula'!A38:G220,7,FALSE)</f>
        <v>0</v>
      </c>
      <c r="G30" s="134">
        <f>VLOOKUP(A30,'ESSA Title III-ELL '!A38:G222,7,FALSE)</f>
        <v>0</v>
      </c>
      <c r="H30" s="134">
        <v>0</v>
      </c>
      <c r="I30" s="134">
        <f>VLOOKUP(A30,'ESSA Title IV'!A38:G220,7,FALSE)</f>
        <v>0</v>
      </c>
      <c r="J30" s="134">
        <v>0</v>
      </c>
    </row>
    <row r="31" spans="1:10" ht="18.75" x14ac:dyDescent="0.3">
      <c r="A31" s="247" t="s">
        <v>33</v>
      </c>
      <c r="B31" s="55" t="s">
        <v>211</v>
      </c>
      <c r="C31" s="134">
        <f>VLOOKUP(A31,'ESSA Title I-A Formula'!A39:G221,7,FALSE)</f>
        <v>0</v>
      </c>
      <c r="D31" s="134">
        <v>0</v>
      </c>
      <c r="E31" s="134">
        <v>0</v>
      </c>
      <c r="F31" s="134">
        <f>VLOOKUP(A31,'ESSA Title II-A Formula'!A39:G221,7,FALSE)</f>
        <v>32491.82</v>
      </c>
      <c r="G31" s="134">
        <f>VLOOKUP(A31,'ESSA Title III-ELL '!A39:G223,7,FALSE)</f>
        <v>0</v>
      </c>
      <c r="H31" s="134">
        <v>0</v>
      </c>
      <c r="I31" s="134">
        <f>VLOOKUP(A31,'ESSA Title IV'!A39:G221,7,FALSE)</f>
        <v>0</v>
      </c>
      <c r="J31" s="134">
        <v>0</v>
      </c>
    </row>
    <row r="32" spans="1:10" ht="18.75" x14ac:dyDescent="0.3">
      <c r="A32" s="247" t="s">
        <v>34</v>
      </c>
      <c r="B32" s="55" t="s">
        <v>212</v>
      </c>
      <c r="C32" s="134">
        <f>VLOOKUP(A32,'ESSA Title I-A Formula'!A40:G222,7,FALSE)</f>
        <v>0</v>
      </c>
      <c r="D32" s="134">
        <v>0</v>
      </c>
      <c r="E32" s="134">
        <v>0</v>
      </c>
      <c r="F32" s="134">
        <f>VLOOKUP(A32,'ESSA Title II-A Formula'!A40:G222,7,FALSE)</f>
        <v>0</v>
      </c>
      <c r="G32" s="134">
        <f>VLOOKUP(A32,'ESSA Title III-ELL '!A40:G224,7,FALSE)</f>
        <v>0</v>
      </c>
      <c r="H32" s="134">
        <v>0</v>
      </c>
      <c r="I32" s="134">
        <f>VLOOKUP(A32,'ESSA Title IV'!A40:G222,7,FALSE)</f>
        <v>0</v>
      </c>
      <c r="J32" s="134">
        <v>0</v>
      </c>
    </row>
    <row r="33" spans="1:10" ht="18.75" x14ac:dyDescent="0.3">
      <c r="A33" s="247" t="s">
        <v>35</v>
      </c>
      <c r="B33" s="55" t="s">
        <v>213</v>
      </c>
      <c r="C33" s="134">
        <f>VLOOKUP(A33,'ESSA Title I-A Formula'!A41:G223,7,FALSE)</f>
        <v>0</v>
      </c>
      <c r="D33" s="134">
        <v>0</v>
      </c>
      <c r="E33" s="134">
        <v>0</v>
      </c>
      <c r="F33" s="134">
        <f>VLOOKUP(A33,'ESSA Title II-A Formula'!A41:G223,7,FALSE)</f>
        <v>0</v>
      </c>
      <c r="G33" s="134">
        <f>VLOOKUP(A33,'ESSA Title III-ELL '!A41:G225,7,FALSE)</f>
        <v>0</v>
      </c>
      <c r="H33" s="134">
        <v>0</v>
      </c>
      <c r="I33" s="134">
        <f>VLOOKUP(A33,'ESSA Title IV'!A41:G223,7,FALSE)</f>
        <v>0</v>
      </c>
      <c r="J33" s="134">
        <v>0</v>
      </c>
    </row>
    <row r="34" spans="1:10" ht="18.75" x14ac:dyDescent="0.3">
      <c r="A34" s="247" t="s">
        <v>36</v>
      </c>
      <c r="B34" s="55" t="s">
        <v>214</v>
      </c>
      <c r="C34" s="134">
        <f>VLOOKUP(A34,'ESSA Title I-A Formula'!A42:G224,7,FALSE)</f>
        <v>0</v>
      </c>
      <c r="D34" s="134">
        <v>0</v>
      </c>
      <c r="E34" s="134">
        <v>0</v>
      </c>
      <c r="F34" s="134">
        <f>VLOOKUP(A34,'ESSA Title II-A Formula'!A42:G224,7,FALSE)</f>
        <v>0.16999999999825377</v>
      </c>
      <c r="G34" s="134">
        <f>VLOOKUP(A34,'ESSA Title III-ELL '!A42:G226,7,FALSE)</f>
        <v>0</v>
      </c>
      <c r="H34" s="134">
        <v>0</v>
      </c>
      <c r="I34" s="134">
        <f>VLOOKUP(A34,'ESSA Title IV'!A42:G224,7,FALSE)</f>
        <v>0</v>
      </c>
      <c r="J34" s="134">
        <v>0</v>
      </c>
    </row>
    <row r="35" spans="1:10" ht="18.75" x14ac:dyDescent="0.3">
      <c r="A35" s="247" t="s">
        <v>37</v>
      </c>
      <c r="B35" s="55" t="s">
        <v>215</v>
      </c>
      <c r="C35" s="134">
        <f>VLOOKUP(A35,'ESSA Title I-A Formula'!A43:G225,7,FALSE)</f>
        <v>5815.0600000000559</v>
      </c>
      <c r="D35" s="134">
        <v>0</v>
      </c>
      <c r="E35" s="134">
        <v>0</v>
      </c>
      <c r="F35" s="134">
        <f>VLOOKUP(A35,'ESSA Title II-A Formula'!A43:G225,7,FALSE)</f>
        <v>0</v>
      </c>
      <c r="G35" s="134">
        <f>VLOOKUP(A35,'ESSA Title III-ELL '!A43:G227,7,FALSE)</f>
        <v>0</v>
      </c>
      <c r="H35" s="134">
        <v>0</v>
      </c>
      <c r="I35" s="134">
        <f>VLOOKUP(A35,'ESSA Title IV'!A43:G225,7,FALSE)</f>
        <v>0</v>
      </c>
      <c r="J35" s="134">
        <f>VLOOKUP(A35,'ESSA Title V-B'!$A$12:$G$29,7,FALSE)</f>
        <v>7566.7099999999991</v>
      </c>
    </row>
    <row r="36" spans="1:10" ht="18.75" x14ac:dyDescent="0.3">
      <c r="A36" s="247" t="s">
        <v>38</v>
      </c>
      <c r="B36" s="55" t="s">
        <v>216</v>
      </c>
      <c r="C36" s="134">
        <f>VLOOKUP(A36,'ESSA Title I-A Formula'!A44:G226,7,FALSE)</f>
        <v>20</v>
      </c>
      <c r="D36" s="134">
        <v>0</v>
      </c>
      <c r="E36" s="134">
        <v>0</v>
      </c>
      <c r="F36" s="134">
        <f>VLOOKUP(A36,'ESSA Title II-A Formula'!A44:G226,7,FALSE)</f>
        <v>95</v>
      </c>
      <c r="G36" s="134">
        <f>VLOOKUP(A36,'ESSA Title III-ELL '!A44:G228,7,FALSE)</f>
        <v>0</v>
      </c>
      <c r="H36" s="134">
        <v>0</v>
      </c>
      <c r="I36" s="134">
        <f>VLOOKUP(A36,'ESSA Title IV'!A44:G226,7,FALSE)</f>
        <v>0</v>
      </c>
      <c r="J36" s="134"/>
    </row>
    <row r="37" spans="1:10" ht="18.75" x14ac:dyDescent="0.3">
      <c r="A37" s="247" t="s">
        <v>39</v>
      </c>
      <c r="B37" s="55" t="s">
        <v>217</v>
      </c>
      <c r="C37" s="134">
        <f>VLOOKUP(A37,'ESSA Title I-A Formula'!A45:G227,7,FALSE)</f>
        <v>15018.759999999995</v>
      </c>
      <c r="D37" s="134">
        <v>0</v>
      </c>
      <c r="E37" s="134">
        <v>0</v>
      </c>
      <c r="F37" s="134">
        <f>VLOOKUP(A37,'ESSA Title II-A Formula'!A45:G227,7,FALSE)</f>
        <v>19032</v>
      </c>
      <c r="G37" s="134">
        <f>VLOOKUP(A37,'ESSA Title III-ELL '!A45:G229,7,FALSE)</f>
        <v>0</v>
      </c>
      <c r="H37" s="134">
        <v>0</v>
      </c>
      <c r="I37" s="134">
        <f>VLOOKUP(A37,'ESSA Title IV'!A45:G227,7,FALSE)</f>
        <v>10769</v>
      </c>
      <c r="J37" s="134">
        <f>VLOOKUP(A37,'ESSA Title V-B'!$A$12:$G$29,7,FALSE)</f>
        <v>3465.4</v>
      </c>
    </row>
    <row r="38" spans="1:10" ht="18.75" x14ac:dyDescent="0.3">
      <c r="A38" s="247" t="s">
        <v>40</v>
      </c>
      <c r="B38" s="55" t="s">
        <v>218</v>
      </c>
      <c r="C38" s="134">
        <f>VLOOKUP(A38,'ESSA Title I-A Formula'!A46:G228,7,FALSE)</f>
        <v>0</v>
      </c>
      <c r="D38" s="134">
        <v>0</v>
      </c>
      <c r="E38" s="134">
        <v>0</v>
      </c>
      <c r="F38" s="134">
        <f>VLOOKUP(A38,'ESSA Title II-A Formula'!A46:G228,7,FALSE)</f>
        <v>0</v>
      </c>
      <c r="G38" s="134">
        <f>VLOOKUP(A38,'ESSA Title III-ELL '!A46:G230,7,FALSE)</f>
        <v>0</v>
      </c>
      <c r="H38" s="134">
        <v>0</v>
      </c>
      <c r="I38" s="134">
        <f>VLOOKUP(A38,'ESSA Title IV'!A46:G228,7,FALSE)</f>
        <v>0</v>
      </c>
      <c r="J38" s="134">
        <f>VLOOKUP(A38,'ESSA Title V-B'!$A$12:$G$29,7,FALSE)</f>
        <v>0</v>
      </c>
    </row>
    <row r="39" spans="1:10" ht="18.75" x14ac:dyDescent="0.3">
      <c r="A39" s="247" t="s">
        <v>41</v>
      </c>
      <c r="B39" s="55" t="s">
        <v>219</v>
      </c>
      <c r="C39" s="134">
        <f>VLOOKUP(A39,'ESSA Title I-A Formula'!A47:G229,7,FALSE)</f>
        <v>0</v>
      </c>
      <c r="D39" s="134">
        <v>0</v>
      </c>
      <c r="E39" s="134">
        <v>0</v>
      </c>
      <c r="F39" s="134">
        <f>VLOOKUP(A39,'ESSA Title II-A Formula'!A47:G229,7,FALSE)</f>
        <v>8</v>
      </c>
      <c r="G39" s="134">
        <f>VLOOKUP(A39,'ESSA Title III-ELL '!A47:G231,7,FALSE)</f>
        <v>0</v>
      </c>
      <c r="H39" s="134">
        <v>0</v>
      </c>
      <c r="I39" s="134">
        <f>VLOOKUP(A39,'ESSA Title IV'!A47:G229,7,FALSE)</f>
        <v>0</v>
      </c>
      <c r="J39" s="134">
        <v>0</v>
      </c>
    </row>
    <row r="40" spans="1:10" ht="18.75" x14ac:dyDescent="0.3">
      <c r="A40" s="247" t="s">
        <v>42</v>
      </c>
      <c r="B40" s="55" t="s">
        <v>220</v>
      </c>
      <c r="C40" s="134">
        <f>VLOOKUP(A40,'ESSA Title I-A Formula'!A48:G230,7,FALSE)</f>
        <v>32897.959999999992</v>
      </c>
      <c r="D40" s="134">
        <v>0</v>
      </c>
      <c r="E40" s="134">
        <v>0</v>
      </c>
      <c r="F40" s="134">
        <f>VLOOKUP(A40,'ESSA Title II-A Formula'!A48:G230,7,FALSE)</f>
        <v>28375</v>
      </c>
      <c r="G40" s="134">
        <f>VLOOKUP(A40,'ESSA Title III-ELL '!A48:G232,7,FALSE)</f>
        <v>0</v>
      </c>
      <c r="H40" s="134">
        <v>0</v>
      </c>
      <c r="I40" s="134">
        <f>VLOOKUP(A40,'ESSA Title IV'!A48:G230,7,FALSE)</f>
        <v>16650</v>
      </c>
      <c r="J40" s="134">
        <v>0</v>
      </c>
    </row>
    <row r="41" spans="1:10" ht="18.75" x14ac:dyDescent="0.3">
      <c r="A41" s="247" t="s">
        <v>43</v>
      </c>
      <c r="B41" s="55" t="s">
        <v>221</v>
      </c>
      <c r="C41" s="134">
        <f>VLOOKUP(A41,'ESSA Title I-A Formula'!A49:G231,7,FALSE)</f>
        <v>5226.7999999999884</v>
      </c>
      <c r="D41" s="134">
        <v>0</v>
      </c>
      <c r="E41" s="134">
        <v>0</v>
      </c>
      <c r="F41" s="134">
        <f>VLOOKUP(A41,'ESSA Title II-A Formula'!A49:G231,7,FALSE)</f>
        <v>12630.13</v>
      </c>
      <c r="G41" s="134">
        <f>VLOOKUP(A41,'ESSA Title III-ELL '!A49:G233,7,FALSE)</f>
        <v>0</v>
      </c>
      <c r="H41" s="134">
        <v>0</v>
      </c>
      <c r="I41" s="134">
        <f>VLOOKUP(A41,'ESSA Title IV'!A49:G231,7,FALSE)</f>
        <v>0</v>
      </c>
      <c r="J41" s="134">
        <v>0</v>
      </c>
    </row>
    <row r="42" spans="1:10" ht="18.75" x14ac:dyDescent="0.3">
      <c r="A42" s="247" t="s">
        <v>44</v>
      </c>
      <c r="B42" s="55" t="s">
        <v>222</v>
      </c>
      <c r="C42" s="134">
        <f>VLOOKUP(A42,'ESSA Title I-A Formula'!A50:G232,7,FALSE)</f>
        <v>54910.689999999944</v>
      </c>
      <c r="D42" s="134">
        <v>0</v>
      </c>
      <c r="E42" s="134">
        <v>0</v>
      </c>
      <c r="F42" s="134">
        <f>VLOOKUP(A42,'ESSA Title II-A Formula'!A50:G232,7,FALSE)</f>
        <v>0</v>
      </c>
      <c r="G42" s="134">
        <f>VLOOKUP(A42,'ESSA Title III-ELL '!A50:G234,7,FALSE)</f>
        <v>3541.5800000000017</v>
      </c>
      <c r="H42" s="134">
        <v>0</v>
      </c>
      <c r="I42" s="134">
        <f>VLOOKUP(A42,'ESSA Title IV'!A50:G232,7,FALSE)</f>
        <v>54095.11</v>
      </c>
      <c r="J42" s="134">
        <f>VLOOKUP(A42,'ESSA Title V-B'!$A$12:$G$29,7,FALSE)</f>
        <v>19272.75</v>
      </c>
    </row>
    <row r="43" spans="1:10" ht="18.75" x14ac:dyDescent="0.3">
      <c r="A43" s="247" t="s">
        <v>45</v>
      </c>
      <c r="B43" s="55" t="s">
        <v>223</v>
      </c>
      <c r="C43" s="134">
        <f>VLOOKUP(A43,'ESSA Title I-A Formula'!A51:G233,7,FALSE)</f>
        <v>3698121.3800000027</v>
      </c>
      <c r="D43" s="134">
        <f>'ESSA Title I-Delinquent'!G12</f>
        <v>192953.38</v>
      </c>
      <c r="E43" s="134">
        <v>0</v>
      </c>
      <c r="F43" s="134">
        <f>VLOOKUP(A43,'ESSA Title II-A Formula'!A51:G233,7,FALSE)</f>
        <v>1299953.3200000003</v>
      </c>
      <c r="G43" s="134">
        <f>VLOOKUP(A43,'ESSA Title III-ELL '!A51:G235,7,FALSE)</f>
        <v>489181.89000000013</v>
      </c>
      <c r="H43" s="134">
        <v>0</v>
      </c>
      <c r="I43" s="134">
        <f>VLOOKUP(A43,'ESSA Title IV'!A51:G233,7,FALSE)</f>
        <v>1997655</v>
      </c>
      <c r="J43" s="134">
        <v>0</v>
      </c>
    </row>
    <row r="44" spans="1:10" ht="18.75" x14ac:dyDescent="0.3">
      <c r="A44" s="247" t="s">
        <v>46</v>
      </c>
      <c r="B44" s="55" t="s">
        <v>224</v>
      </c>
      <c r="C44" s="134">
        <f>VLOOKUP(A44,'ESSA Title I-A Formula'!A52:G234,7,FALSE)</f>
        <v>0</v>
      </c>
      <c r="D44" s="134">
        <v>0</v>
      </c>
      <c r="E44" s="134">
        <v>0</v>
      </c>
      <c r="F44" s="134">
        <f>VLOOKUP(A44,'ESSA Title II-A Formula'!A52:G234,7,FALSE)</f>
        <v>0</v>
      </c>
      <c r="G44" s="134">
        <f>VLOOKUP(A44,'ESSA Title III-ELL '!A52:G236,7,FALSE)</f>
        <v>0</v>
      </c>
      <c r="H44" s="134">
        <v>0</v>
      </c>
      <c r="I44" s="134">
        <f>VLOOKUP(A44,'ESSA Title IV'!A52:G234,7,FALSE)</f>
        <v>0</v>
      </c>
      <c r="J44" s="134">
        <v>0</v>
      </c>
    </row>
    <row r="45" spans="1:10" ht="18.75" x14ac:dyDescent="0.3">
      <c r="A45" s="247" t="s">
        <v>47</v>
      </c>
      <c r="B45" s="55" t="s">
        <v>225</v>
      </c>
      <c r="C45" s="134">
        <f>VLOOKUP(A45,'ESSA Title I-A Formula'!A53:G235,7,FALSE)</f>
        <v>517494.41999999993</v>
      </c>
      <c r="D45" s="134">
        <v>0</v>
      </c>
      <c r="E45" s="134">
        <v>0</v>
      </c>
      <c r="F45" s="134">
        <f>VLOOKUP(A45,'ESSA Title II-A Formula'!A53:G235,7,FALSE)</f>
        <v>312621.7</v>
      </c>
      <c r="G45" s="134">
        <f>VLOOKUP(A45,'ESSA Title III-ELL '!A53:G237,7,FALSE)</f>
        <v>99198.020000000019</v>
      </c>
      <c r="H45" s="134">
        <v>0</v>
      </c>
      <c r="I45" s="134">
        <f>VLOOKUP(A45,'ESSA Title IV'!A53:G235,7,FALSE)</f>
        <v>112163</v>
      </c>
      <c r="J45" s="134">
        <v>0</v>
      </c>
    </row>
    <row r="46" spans="1:10" ht="18.75" x14ac:dyDescent="0.3">
      <c r="A46" s="247" t="s">
        <v>48</v>
      </c>
      <c r="B46" s="55" t="s">
        <v>226</v>
      </c>
      <c r="C46" s="134">
        <f>VLOOKUP(A46,'ESSA Title I-A Formula'!A54:G236,7,FALSE)</f>
        <v>0</v>
      </c>
      <c r="D46" s="134">
        <v>0</v>
      </c>
      <c r="E46" s="134">
        <v>0</v>
      </c>
      <c r="F46" s="134">
        <f>VLOOKUP(A46,'ESSA Title II-A Formula'!A54:G236,7,FALSE)</f>
        <v>0</v>
      </c>
      <c r="G46" s="134">
        <f>VLOOKUP(A46,'ESSA Title III-ELL '!A54:G238,7,FALSE)</f>
        <v>40403.58</v>
      </c>
      <c r="H46" s="134">
        <v>0</v>
      </c>
      <c r="I46" s="134">
        <f>VLOOKUP(A46,'ESSA Title IV'!A54:G236,7,FALSE)</f>
        <v>0</v>
      </c>
      <c r="J46" s="134">
        <v>0</v>
      </c>
    </row>
    <row r="47" spans="1:10" ht="18.75" x14ac:dyDescent="0.3">
      <c r="A47" s="247" t="s">
        <v>49</v>
      </c>
      <c r="B47" s="55" t="s">
        <v>227</v>
      </c>
      <c r="C47" s="134">
        <f>VLOOKUP(A47,'ESSA Title I-A Formula'!A55:G237,7,FALSE)</f>
        <v>0</v>
      </c>
      <c r="D47" s="134">
        <v>0</v>
      </c>
      <c r="E47" s="134">
        <v>0</v>
      </c>
      <c r="F47" s="134">
        <f>VLOOKUP(A47,'ESSA Title II-A Formula'!A55:G237,7,FALSE)</f>
        <v>0</v>
      </c>
      <c r="G47" s="134">
        <f>VLOOKUP(A47,'ESSA Title III-ELL '!A55:G239,7,FALSE)</f>
        <v>0</v>
      </c>
      <c r="H47" s="134">
        <v>0</v>
      </c>
      <c r="I47" s="134">
        <f>VLOOKUP(A47,'ESSA Title IV'!A55:G237,7,FALSE)</f>
        <v>0</v>
      </c>
      <c r="J47" s="134">
        <v>0</v>
      </c>
    </row>
    <row r="48" spans="1:10" ht="18.75" x14ac:dyDescent="0.3">
      <c r="A48" s="247" t="s">
        <v>50</v>
      </c>
      <c r="B48" s="55" t="s">
        <v>228</v>
      </c>
      <c r="C48" s="134">
        <f>VLOOKUP(A48,'ESSA Title I-A Formula'!A56:G238,7,FALSE)</f>
        <v>0</v>
      </c>
      <c r="D48" s="134">
        <v>0</v>
      </c>
      <c r="E48" s="134">
        <v>0</v>
      </c>
      <c r="F48" s="134">
        <f>VLOOKUP(A48,'ESSA Title II-A Formula'!A56:G238,7,FALSE)</f>
        <v>0</v>
      </c>
      <c r="G48" s="134">
        <f>VLOOKUP(A48,'ESSA Title III-ELL '!A56:G240,7,FALSE)</f>
        <v>0</v>
      </c>
      <c r="H48" s="134">
        <v>0</v>
      </c>
      <c r="I48" s="134">
        <f>VLOOKUP(A48,'ESSA Title IV'!A56:G238,7,FALSE)</f>
        <v>0</v>
      </c>
      <c r="J48" s="134">
        <v>0</v>
      </c>
    </row>
    <row r="49" spans="1:10" ht="18.75" x14ac:dyDescent="0.3">
      <c r="A49" s="247" t="s">
        <v>51</v>
      </c>
      <c r="B49" s="55" t="s">
        <v>229</v>
      </c>
      <c r="C49" s="134">
        <f>VLOOKUP(A49,'ESSA Title I-A Formula'!A57:G239,7,FALSE)</f>
        <v>0</v>
      </c>
      <c r="D49" s="134">
        <v>0</v>
      </c>
      <c r="E49" s="134">
        <v>0</v>
      </c>
      <c r="F49" s="134">
        <f>VLOOKUP(A49,'ESSA Title II-A Formula'!A57:G239,7,FALSE)</f>
        <v>0</v>
      </c>
      <c r="G49" s="134">
        <f>VLOOKUP(A49,'ESSA Title III-ELL '!A57:G241,7,FALSE)</f>
        <v>0</v>
      </c>
      <c r="H49" s="134">
        <v>0</v>
      </c>
      <c r="I49" s="134">
        <f>VLOOKUP(A49,'ESSA Title IV'!A57:G239,7,FALSE)</f>
        <v>0</v>
      </c>
      <c r="J49" s="134">
        <v>0</v>
      </c>
    </row>
    <row r="50" spans="1:10" ht="18.75" x14ac:dyDescent="0.3">
      <c r="A50" s="247" t="s">
        <v>52</v>
      </c>
      <c r="B50" s="55" t="s">
        <v>230</v>
      </c>
      <c r="C50" s="134">
        <f>VLOOKUP(A50,'ESSA Title I-A Formula'!A58:G240,7,FALSE)</f>
        <v>0</v>
      </c>
      <c r="D50" s="134">
        <v>0</v>
      </c>
      <c r="E50" s="134">
        <v>0</v>
      </c>
      <c r="F50" s="134">
        <f>VLOOKUP(A50,'ESSA Title II-A Formula'!A58:G240,7,FALSE)</f>
        <v>0</v>
      </c>
      <c r="G50" s="134">
        <f>VLOOKUP(A50,'ESSA Title III-ELL '!A58:G242,7,FALSE)</f>
        <v>0</v>
      </c>
      <c r="H50" s="134">
        <v>0</v>
      </c>
      <c r="I50" s="134">
        <f>VLOOKUP(A50,'ESSA Title IV'!A58:G240,7,FALSE)</f>
        <v>0</v>
      </c>
      <c r="J50" s="134">
        <v>0</v>
      </c>
    </row>
    <row r="51" spans="1:10" ht="18.75" x14ac:dyDescent="0.3">
      <c r="A51" s="247" t="s">
        <v>53</v>
      </c>
      <c r="B51" s="55" t="s">
        <v>231</v>
      </c>
      <c r="C51" s="134">
        <f>VLOOKUP(A51,'ESSA Title I-A Formula'!A59:G241,7,FALSE)</f>
        <v>0</v>
      </c>
      <c r="D51" s="134">
        <v>0</v>
      </c>
      <c r="E51" s="134">
        <v>0</v>
      </c>
      <c r="F51" s="134">
        <f>VLOOKUP(A51,'ESSA Title II-A Formula'!A59:G241,7,FALSE)</f>
        <v>0</v>
      </c>
      <c r="G51" s="134">
        <f>VLOOKUP(A51,'ESSA Title III-ELL '!A59:G243,7,FALSE)</f>
        <v>0</v>
      </c>
      <c r="H51" s="134">
        <v>0</v>
      </c>
      <c r="I51" s="134">
        <f>VLOOKUP(A51,'ESSA Title IV'!A59:G241,7,FALSE)</f>
        <v>0</v>
      </c>
      <c r="J51" s="134">
        <v>0</v>
      </c>
    </row>
    <row r="52" spans="1:10" ht="18.75" x14ac:dyDescent="0.3">
      <c r="A52" s="247" t="s">
        <v>54</v>
      </c>
      <c r="B52" s="55" t="s">
        <v>232</v>
      </c>
      <c r="C52" s="134">
        <f>VLOOKUP(A52,'ESSA Title I-A Formula'!A60:G242,7,FALSE)</f>
        <v>60102.25</v>
      </c>
      <c r="D52" s="134">
        <v>0</v>
      </c>
      <c r="E52" s="134">
        <v>0</v>
      </c>
      <c r="F52" s="134">
        <f>VLOOKUP(A52,'ESSA Title II-A Formula'!A60:G242,7,FALSE)</f>
        <v>3798.8999999999996</v>
      </c>
      <c r="G52" s="134">
        <f>VLOOKUP(A52,'ESSA Title III-ELL '!A60:G244,7,FALSE)</f>
        <v>0</v>
      </c>
      <c r="H52" s="134">
        <f>'ESSA Title III SAI'!G14</f>
        <v>7984</v>
      </c>
      <c r="I52" s="134">
        <f>VLOOKUP(A52,'ESSA Title IV'!A60:G242,7,FALSE)</f>
        <v>10000</v>
      </c>
      <c r="J52" s="134">
        <v>0</v>
      </c>
    </row>
    <row r="53" spans="1:10" ht="18.75" x14ac:dyDescent="0.3">
      <c r="A53" s="247" t="s">
        <v>55</v>
      </c>
      <c r="B53" s="55" t="s">
        <v>233</v>
      </c>
      <c r="C53" s="134">
        <f>VLOOKUP(A53,'ESSA Title I-A Formula'!A61:G243,7,FALSE)</f>
        <v>1789128.6099999999</v>
      </c>
      <c r="D53" s="134">
        <v>0</v>
      </c>
      <c r="E53" s="134">
        <v>0</v>
      </c>
      <c r="F53" s="134">
        <f>VLOOKUP(A53,'ESSA Title II-A Formula'!A61:G243,7,FALSE)</f>
        <v>198439.16999999998</v>
      </c>
      <c r="G53" s="134">
        <f>VLOOKUP(A53,'ESSA Title III-ELL '!A61:G245,7,FALSE)</f>
        <v>73009.86</v>
      </c>
      <c r="H53" s="134">
        <v>0</v>
      </c>
      <c r="I53" s="134">
        <f>VLOOKUP(A53,'ESSA Title IV'!A61:G243,7,FALSE)</f>
        <v>210899.5</v>
      </c>
      <c r="J53" s="134">
        <v>0</v>
      </c>
    </row>
    <row r="54" spans="1:10" ht="18.75" x14ac:dyDescent="0.3">
      <c r="A54" s="247" t="s">
        <v>56</v>
      </c>
      <c r="B54" s="55" t="s">
        <v>234</v>
      </c>
      <c r="C54" s="134">
        <f>VLOOKUP(A54,'ESSA Title I-A Formula'!A62:G244,7,FALSE)</f>
        <v>248520.38000000012</v>
      </c>
      <c r="D54" s="134">
        <v>0</v>
      </c>
      <c r="E54" s="134">
        <v>0</v>
      </c>
      <c r="F54" s="134">
        <f>VLOOKUP(A54,'ESSA Title II-A Formula'!A62:G244,7,FALSE)</f>
        <v>27294.570000000007</v>
      </c>
      <c r="G54" s="134">
        <f>VLOOKUP(A54,'ESSA Title III-ELL '!A62:G246,7,FALSE)</f>
        <v>16317</v>
      </c>
      <c r="H54" s="134">
        <v>0</v>
      </c>
      <c r="I54" s="134">
        <f>VLOOKUP(A54,'ESSA Title IV'!A62:G244,7,FALSE)</f>
        <v>8044.9199999999983</v>
      </c>
      <c r="J54" s="134">
        <v>0</v>
      </c>
    </row>
    <row r="55" spans="1:10" ht="18.75" x14ac:dyDescent="0.3">
      <c r="A55" s="247" t="s">
        <v>57</v>
      </c>
      <c r="B55" s="55" t="s">
        <v>235</v>
      </c>
      <c r="C55" s="134">
        <f>VLOOKUP(A55,'ESSA Title I-A Formula'!A63:G245,7,FALSE)</f>
        <v>147840.35999999987</v>
      </c>
      <c r="D55" s="134">
        <v>0</v>
      </c>
      <c r="E55" s="134">
        <v>0</v>
      </c>
      <c r="F55" s="134">
        <f>VLOOKUP(A55,'ESSA Title II-A Formula'!A63:G245,7,FALSE)</f>
        <v>0</v>
      </c>
      <c r="G55" s="134">
        <f>VLOOKUP(A55,'ESSA Title III-ELL '!A63:G247,7,FALSE)</f>
        <v>10540.96</v>
      </c>
      <c r="H55" s="134">
        <v>0</v>
      </c>
      <c r="I55" s="134">
        <f>VLOOKUP(A55,'ESSA Title IV'!A63:G245,7,FALSE)</f>
        <v>45586.64</v>
      </c>
      <c r="J55" s="134">
        <v>0</v>
      </c>
    </row>
    <row r="56" spans="1:10" ht="18.75" x14ac:dyDescent="0.3">
      <c r="A56" s="247" t="s">
        <v>58</v>
      </c>
      <c r="B56" s="55" t="s">
        <v>236</v>
      </c>
      <c r="C56" s="134">
        <f>VLOOKUP(A56,'ESSA Title I-A Formula'!A64:G246,7,FALSE)</f>
        <v>2209810.7199999997</v>
      </c>
      <c r="D56" s="134">
        <f>'ESSA Title I-Delinquent'!G13</f>
        <v>35917.58</v>
      </c>
      <c r="E56" s="134">
        <v>0</v>
      </c>
      <c r="F56" s="134">
        <f>VLOOKUP(A56,'ESSA Title II-A Formula'!A64:G246,7,FALSE)</f>
        <v>304090.20000000007</v>
      </c>
      <c r="G56" s="134">
        <f>VLOOKUP(A56,'ESSA Title III-ELL '!A64:G248,7,FALSE)</f>
        <v>88882.040000000008</v>
      </c>
      <c r="H56" s="134">
        <v>0</v>
      </c>
      <c r="I56" s="134">
        <f>VLOOKUP(A56,'ESSA Title IV'!A64:G246,7,FALSE)</f>
        <v>523107.86</v>
      </c>
      <c r="J56" s="134">
        <v>0</v>
      </c>
    </row>
    <row r="57" spans="1:10" ht="18.75" x14ac:dyDescent="0.3">
      <c r="A57" s="247" t="s">
        <v>59</v>
      </c>
      <c r="B57" s="55" t="s">
        <v>237</v>
      </c>
      <c r="C57" s="134">
        <f>VLOOKUP(A57,'ESSA Title I-A Formula'!A65:G247,7,FALSE)</f>
        <v>64990.48000000001</v>
      </c>
      <c r="D57" s="134">
        <f>'ESSA Title I-Delinquent'!G14</f>
        <v>27783.559999999998</v>
      </c>
      <c r="E57" s="134">
        <v>0</v>
      </c>
      <c r="F57" s="134">
        <f>VLOOKUP(A57,'ESSA Title II-A Formula'!A65:G247,7,FALSE)</f>
        <v>66769</v>
      </c>
      <c r="G57" s="134">
        <f>VLOOKUP(A57,'ESSA Title III-ELL '!A65:G249,7,FALSE)</f>
        <v>0</v>
      </c>
      <c r="H57" s="134">
        <v>0</v>
      </c>
      <c r="I57" s="134">
        <f>VLOOKUP(A57,'ESSA Title IV'!A65:G247,7,FALSE)</f>
        <v>0</v>
      </c>
      <c r="J57" s="134">
        <v>0</v>
      </c>
    </row>
    <row r="58" spans="1:10" ht="18.75" x14ac:dyDescent="0.3">
      <c r="A58" s="247" t="s">
        <v>60</v>
      </c>
      <c r="B58" s="55" t="s">
        <v>238</v>
      </c>
      <c r="C58" s="134">
        <f>VLOOKUP(A58,'ESSA Title I-A Formula'!A66:G248,7,FALSE)</f>
        <v>0</v>
      </c>
      <c r="D58" s="134">
        <v>0</v>
      </c>
      <c r="E58" s="134">
        <v>0</v>
      </c>
      <c r="F58" s="134">
        <f>VLOOKUP(A58,'ESSA Title II-A Formula'!A66:G248,7,FALSE)</f>
        <v>0</v>
      </c>
      <c r="G58" s="134">
        <f>VLOOKUP(A58,'ESSA Title III-ELL '!A66:G250,7,FALSE)</f>
        <v>0</v>
      </c>
      <c r="H58" s="134">
        <v>0</v>
      </c>
      <c r="I58" s="134">
        <f>VLOOKUP(A58,'ESSA Title IV'!A66:G248,7,FALSE)</f>
        <v>10000</v>
      </c>
      <c r="J58" s="134">
        <v>0</v>
      </c>
    </row>
    <row r="59" spans="1:10" ht="18.75" x14ac:dyDescent="0.3">
      <c r="A59" s="247" t="s">
        <v>61</v>
      </c>
      <c r="B59" s="55" t="s">
        <v>239</v>
      </c>
      <c r="C59" s="134">
        <f>VLOOKUP(A59,'ESSA Title I-A Formula'!A67:G249,7,FALSE)</f>
        <v>56722.430000000051</v>
      </c>
      <c r="D59" s="134">
        <v>0</v>
      </c>
      <c r="E59" s="134">
        <v>0</v>
      </c>
      <c r="F59" s="134">
        <f>VLOOKUP(A59,'ESSA Title II-A Formula'!A67:G249,7,FALSE)</f>
        <v>72603.450000000012</v>
      </c>
      <c r="G59" s="134">
        <f>VLOOKUP(A59,'ESSA Title III-ELL '!A67:G251,7,FALSE)</f>
        <v>46992</v>
      </c>
      <c r="H59" s="134">
        <v>0</v>
      </c>
      <c r="I59" s="134">
        <f>VLOOKUP(A59,'ESSA Title IV'!A67:G249,7,FALSE)</f>
        <v>44427.8</v>
      </c>
      <c r="J59" s="134">
        <v>0</v>
      </c>
    </row>
    <row r="60" spans="1:10" ht="18.75" x14ac:dyDescent="0.3">
      <c r="A60" s="247" t="s">
        <v>62</v>
      </c>
      <c r="B60" s="55" t="s">
        <v>240</v>
      </c>
      <c r="C60" s="134">
        <f>VLOOKUP(A60,'ESSA Title I-A Formula'!A68:G250,7,FALSE)</f>
        <v>170830</v>
      </c>
      <c r="D60" s="134">
        <v>0</v>
      </c>
      <c r="E60" s="134">
        <v>0</v>
      </c>
      <c r="F60" s="134">
        <f>VLOOKUP(A60,'ESSA Title II-A Formula'!A68:G250,7,FALSE)</f>
        <v>30001</v>
      </c>
      <c r="G60" s="134">
        <f>VLOOKUP(A60,'ESSA Title III-ELL '!A68:G252,7,FALSE)</f>
        <v>0</v>
      </c>
      <c r="H60" s="134">
        <v>0</v>
      </c>
      <c r="I60" s="134">
        <f>VLOOKUP(A60,'ESSA Title IV'!A68:G250,7,FALSE)</f>
        <v>13138</v>
      </c>
      <c r="J60" s="134">
        <v>0</v>
      </c>
    </row>
    <row r="61" spans="1:10" ht="18.75" x14ac:dyDescent="0.3">
      <c r="A61" s="247" t="s">
        <v>63</v>
      </c>
      <c r="B61" s="55" t="s">
        <v>241</v>
      </c>
      <c r="C61" s="134">
        <f>VLOOKUP(A61,'ESSA Title I-A Formula'!A69:G251,7,FALSE)</f>
        <v>6348.7100000000064</v>
      </c>
      <c r="D61" s="134">
        <v>0</v>
      </c>
      <c r="E61" s="134">
        <v>0</v>
      </c>
      <c r="F61" s="134">
        <f>VLOOKUP(A61,'ESSA Title II-A Formula'!A69:G251,7,FALSE)</f>
        <v>9996.17</v>
      </c>
      <c r="G61" s="134">
        <f>VLOOKUP(A61,'ESSA Title III-ELL '!A69:G253,7,FALSE)</f>
        <v>0</v>
      </c>
      <c r="H61" s="134">
        <v>0</v>
      </c>
      <c r="I61" s="134">
        <f>VLOOKUP(A61,'ESSA Title IV'!A69:G251,7,FALSE)</f>
        <v>10000</v>
      </c>
      <c r="J61" s="134">
        <v>0</v>
      </c>
    </row>
    <row r="62" spans="1:10" ht="18.75" x14ac:dyDescent="0.3">
      <c r="A62" s="247" t="s">
        <v>64</v>
      </c>
      <c r="B62" s="55" t="s">
        <v>242</v>
      </c>
      <c r="C62" s="134">
        <f>VLOOKUP(A62,'ESSA Title I-A Formula'!A70:G252,7,FALSE)</f>
        <v>0</v>
      </c>
      <c r="D62" s="134">
        <v>0</v>
      </c>
      <c r="E62" s="134">
        <v>0</v>
      </c>
      <c r="F62" s="134">
        <f>VLOOKUP(A62,'ESSA Title II-A Formula'!A70:G252,7,FALSE)</f>
        <v>0</v>
      </c>
      <c r="G62" s="134">
        <f>VLOOKUP(A62,'ESSA Title III-ELL '!A70:G254,7,FALSE)</f>
        <v>0</v>
      </c>
      <c r="H62" s="134">
        <v>0</v>
      </c>
      <c r="I62" s="134">
        <f>VLOOKUP(A62,'ESSA Title IV'!A70:G252,7,FALSE)</f>
        <v>0</v>
      </c>
      <c r="J62" s="134">
        <v>0</v>
      </c>
    </row>
    <row r="63" spans="1:10" ht="18.75" x14ac:dyDescent="0.3">
      <c r="A63" s="247" t="s">
        <v>65</v>
      </c>
      <c r="B63" s="55" t="s">
        <v>243</v>
      </c>
      <c r="C63" s="134">
        <f>VLOOKUP(A63,'ESSA Title I-A Formula'!A71:G253,7,FALSE)</f>
        <v>0</v>
      </c>
      <c r="D63" s="134">
        <v>0</v>
      </c>
      <c r="E63" s="134">
        <v>0</v>
      </c>
      <c r="F63" s="134">
        <f>VLOOKUP(A63,'ESSA Title II-A Formula'!A71:G253,7,FALSE)</f>
        <v>49363.1</v>
      </c>
      <c r="G63" s="134">
        <f>VLOOKUP(A63,'ESSA Title III-ELL '!A71:G255,7,FALSE)</f>
        <v>3611.7299999999996</v>
      </c>
      <c r="H63" s="134">
        <v>0</v>
      </c>
      <c r="I63" s="134">
        <f>VLOOKUP(A63,'ESSA Title IV'!A71:G253,7,FALSE)</f>
        <v>5930.09</v>
      </c>
      <c r="J63" s="134">
        <v>0</v>
      </c>
    </row>
    <row r="64" spans="1:10" ht="18.75" x14ac:dyDescent="0.3">
      <c r="A64" s="247" t="s">
        <v>66</v>
      </c>
      <c r="B64" s="55" t="s">
        <v>244</v>
      </c>
      <c r="C64" s="134">
        <f>VLOOKUP(A64,'ESSA Title I-A Formula'!A72:G254,7,FALSE)</f>
        <v>1056820</v>
      </c>
      <c r="D64" s="134">
        <v>0</v>
      </c>
      <c r="E64" s="134">
        <v>0</v>
      </c>
      <c r="F64" s="134">
        <f>VLOOKUP(A64,'ESSA Title II-A Formula'!A72:G254,7,FALSE)</f>
        <v>306537</v>
      </c>
      <c r="G64" s="134">
        <f>VLOOKUP(A64,'ESSA Title III-ELL '!A72:G256,7,FALSE)</f>
        <v>93169</v>
      </c>
      <c r="H64" s="134">
        <v>0</v>
      </c>
      <c r="I64" s="134">
        <f>VLOOKUP(A64,'ESSA Title IV'!A72:G254,7,FALSE)</f>
        <v>137146</v>
      </c>
      <c r="J64" s="134">
        <v>0</v>
      </c>
    </row>
    <row r="65" spans="1:10" ht="18.75" x14ac:dyDescent="0.3">
      <c r="A65" s="247" t="s">
        <v>67</v>
      </c>
      <c r="B65" s="55" t="s">
        <v>245</v>
      </c>
      <c r="C65" s="134">
        <f>VLOOKUP(A65,'ESSA Title I-A Formula'!A73:G255,7,FALSE)</f>
        <v>3352.4799999999996</v>
      </c>
      <c r="D65" s="134">
        <v>0</v>
      </c>
      <c r="E65" s="134">
        <v>0</v>
      </c>
      <c r="F65" s="134">
        <f>VLOOKUP(A65,'ESSA Title II-A Formula'!A73:G255,7,FALSE)</f>
        <v>729</v>
      </c>
      <c r="G65" s="134">
        <f>VLOOKUP(A65,'ESSA Title III-ELL '!A73:G257,7,FALSE)</f>
        <v>0</v>
      </c>
      <c r="H65" s="134">
        <v>0</v>
      </c>
      <c r="I65" s="134">
        <f>VLOOKUP(A65,'ESSA Title IV'!A73:G255,7,FALSE)</f>
        <v>7250.02</v>
      </c>
      <c r="J65" s="134">
        <v>0</v>
      </c>
    </row>
    <row r="66" spans="1:10" ht="18.75" x14ac:dyDescent="0.3">
      <c r="A66" s="247" t="s">
        <v>68</v>
      </c>
      <c r="B66" s="55" t="s">
        <v>246</v>
      </c>
      <c r="C66" s="134">
        <f>VLOOKUP(A66,'ESSA Title I-A Formula'!A74:G256,7,FALSE)</f>
        <v>0</v>
      </c>
      <c r="D66" s="134">
        <v>0</v>
      </c>
      <c r="E66" s="134">
        <v>0</v>
      </c>
      <c r="F66" s="134">
        <f>VLOOKUP(A66,'ESSA Title II-A Formula'!A74:G256,7,FALSE)</f>
        <v>25</v>
      </c>
      <c r="G66" s="134">
        <f>VLOOKUP(A66,'ESSA Title III-ELL '!A74:G258,7,FALSE)</f>
        <v>0</v>
      </c>
      <c r="H66" s="134">
        <v>0</v>
      </c>
      <c r="I66" s="134">
        <f>VLOOKUP(A66,'ESSA Title IV'!A74:G256,7,FALSE)</f>
        <v>0</v>
      </c>
      <c r="J66" s="134">
        <v>0</v>
      </c>
    </row>
    <row r="67" spans="1:10" ht="18.75" x14ac:dyDescent="0.3">
      <c r="A67" s="247" t="s">
        <v>69</v>
      </c>
      <c r="B67" s="55" t="s">
        <v>247</v>
      </c>
      <c r="C67" s="134">
        <f>VLOOKUP(A67,'ESSA Title I-A Formula'!A75:G257,7,FALSE)</f>
        <v>391146.26</v>
      </c>
      <c r="D67" s="134">
        <f>'ESSA Title I-Delinquent'!G15</f>
        <v>151858.4</v>
      </c>
      <c r="E67" s="134">
        <v>0</v>
      </c>
      <c r="F67" s="134">
        <f>VLOOKUP(A67,'ESSA Title II-A Formula'!A75:G257,7,FALSE)</f>
        <v>124931.38</v>
      </c>
      <c r="G67" s="134">
        <f>VLOOKUP(A67,'ESSA Title III-ELL '!A75:G259,7,FALSE)</f>
        <v>0</v>
      </c>
      <c r="H67" s="134">
        <v>0</v>
      </c>
      <c r="I67" s="134">
        <f>VLOOKUP(A67,'ESSA Title IV'!A75:G257,7,FALSE)</f>
        <v>17657.120000000003</v>
      </c>
      <c r="J67" s="134">
        <f>VLOOKUP(A67,'ESSA Title V-B'!$A$12:$G$29,7,FALSE)</f>
        <v>69737.3</v>
      </c>
    </row>
    <row r="68" spans="1:10" ht="18.75" x14ac:dyDescent="0.3">
      <c r="A68" s="247" t="s">
        <v>70</v>
      </c>
      <c r="B68" s="55" t="s">
        <v>248</v>
      </c>
      <c r="C68" s="134">
        <f>VLOOKUP(A68,'ESSA Title I-A Formula'!A76:G258,7,FALSE)</f>
        <v>76501.31</v>
      </c>
      <c r="D68" s="134">
        <v>0</v>
      </c>
      <c r="E68" s="134">
        <v>0</v>
      </c>
      <c r="F68" s="134">
        <f>VLOOKUP(A68,'ESSA Title II-A Formula'!A76:G258,7,FALSE)</f>
        <v>27175.839999999997</v>
      </c>
      <c r="G68" s="134">
        <f>VLOOKUP(A68,'ESSA Title III-ELL '!A76:G260,7,FALSE)</f>
        <v>0</v>
      </c>
      <c r="H68" s="134">
        <v>0</v>
      </c>
      <c r="I68" s="134">
        <f>VLOOKUP(A68,'ESSA Title IV'!A76:G258,7,FALSE)</f>
        <v>22720.35</v>
      </c>
      <c r="J68" s="134">
        <v>0</v>
      </c>
    </row>
    <row r="69" spans="1:10" ht="18.75" x14ac:dyDescent="0.3">
      <c r="A69" s="247" t="s">
        <v>71</v>
      </c>
      <c r="B69" s="55" t="s">
        <v>249</v>
      </c>
      <c r="C69" s="134">
        <f>VLOOKUP(A69,'ESSA Title I-A Formula'!A77:G259,7,FALSE)</f>
        <v>23131</v>
      </c>
      <c r="D69" s="134">
        <v>0</v>
      </c>
      <c r="E69" s="134">
        <v>0</v>
      </c>
      <c r="F69" s="134">
        <f>VLOOKUP(A69,'ESSA Title II-A Formula'!A77:G259,7,FALSE)</f>
        <v>0</v>
      </c>
      <c r="G69" s="134">
        <f>VLOOKUP(A69,'ESSA Title III-ELL '!A77:G261,7,FALSE)</f>
        <v>0</v>
      </c>
      <c r="H69" s="134">
        <v>0</v>
      </c>
      <c r="I69" s="134">
        <f>VLOOKUP(A69,'ESSA Title IV'!A77:G259,7,FALSE)</f>
        <v>0</v>
      </c>
      <c r="J69" s="134">
        <v>0</v>
      </c>
    </row>
    <row r="70" spans="1:10" ht="18.75" x14ac:dyDescent="0.3">
      <c r="A70" s="247" t="s">
        <v>72</v>
      </c>
      <c r="B70" s="55" t="s">
        <v>250</v>
      </c>
      <c r="C70" s="134">
        <f>VLOOKUP(A70,'ESSA Title I-A Formula'!A78:G260,7,FALSE)</f>
        <v>20970.070000000065</v>
      </c>
      <c r="D70" s="134">
        <f>'ESSA Title I-Delinquent'!G16</f>
        <v>30126</v>
      </c>
      <c r="E70" s="134">
        <v>0</v>
      </c>
      <c r="F70" s="134">
        <f>VLOOKUP(A70,'ESSA Title II-A Formula'!A78:G260,7,FALSE)</f>
        <v>23534.67</v>
      </c>
      <c r="G70" s="134">
        <f>VLOOKUP(A70,'ESSA Title III-ELL '!A78:G262,7,FALSE)</f>
        <v>12023</v>
      </c>
      <c r="H70" s="134">
        <v>0</v>
      </c>
      <c r="I70" s="134">
        <f>VLOOKUP(A70,'ESSA Title IV'!A78:G260,7,FALSE)</f>
        <v>0</v>
      </c>
      <c r="J70" s="134">
        <v>0</v>
      </c>
    </row>
    <row r="71" spans="1:10" ht="18.75" x14ac:dyDescent="0.3">
      <c r="A71" s="247" t="s">
        <v>73</v>
      </c>
      <c r="B71" s="55" t="s">
        <v>251</v>
      </c>
      <c r="C71" s="134">
        <f>VLOOKUP(A71,'ESSA Title I-A Formula'!A79:G261,7,FALSE)</f>
        <v>142205.07</v>
      </c>
      <c r="D71" s="134">
        <v>0</v>
      </c>
      <c r="E71" s="134">
        <v>0</v>
      </c>
      <c r="F71" s="134">
        <f>VLOOKUP(A71,'ESSA Title II-A Formula'!A79:G261,7,FALSE)</f>
        <v>126423</v>
      </c>
      <c r="G71" s="134">
        <f>VLOOKUP(A71,'ESSA Title III-ELL '!A79:G263,7,FALSE)</f>
        <v>43778.45</v>
      </c>
      <c r="H71" s="134">
        <f>'ESSA Title III SAI'!G15</f>
        <v>51896</v>
      </c>
      <c r="I71" s="134">
        <f>VLOOKUP(A71,'ESSA Title IV'!A79:G261,7,FALSE)</f>
        <v>43640</v>
      </c>
      <c r="J71" s="134">
        <v>0</v>
      </c>
    </row>
    <row r="72" spans="1:10" ht="18.75" x14ac:dyDescent="0.3">
      <c r="A72" s="247" t="s">
        <v>74</v>
      </c>
      <c r="B72" s="55" t="s">
        <v>252</v>
      </c>
      <c r="C72" s="134">
        <f>VLOOKUP(A72,'ESSA Title I-A Formula'!A80:G262,7,FALSE)</f>
        <v>13281.100000000006</v>
      </c>
      <c r="D72" s="134">
        <v>0</v>
      </c>
      <c r="E72" s="134">
        <v>0</v>
      </c>
      <c r="F72" s="134">
        <f>VLOOKUP(A72,'ESSA Title II-A Formula'!A80:G262,7,FALSE)</f>
        <v>0</v>
      </c>
      <c r="G72" s="134">
        <f>VLOOKUP(A72,'ESSA Title III-ELL '!A80:G264,7,FALSE)</f>
        <v>0</v>
      </c>
      <c r="H72" s="134">
        <v>0</v>
      </c>
      <c r="I72" s="134">
        <f>VLOOKUP(A72,'ESSA Title IV'!A80:G262,7,FALSE)</f>
        <v>0</v>
      </c>
      <c r="J72" s="134">
        <v>0</v>
      </c>
    </row>
    <row r="73" spans="1:10" ht="18.75" x14ac:dyDescent="0.3">
      <c r="A73" s="247" t="s">
        <v>75</v>
      </c>
      <c r="B73" s="55" t="s">
        <v>253</v>
      </c>
      <c r="C73" s="134">
        <f>VLOOKUP(A73,'ESSA Title I-A Formula'!A81:G263,7,FALSE)</f>
        <v>17278</v>
      </c>
      <c r="D73" s="134">
        <v>0</v>
      </c>
      <c r="E73" s="134">
        <v>0</v>
      </c>
      <c r="F73" s="134">
        <f>VLOOKUP(A73,'ESSA Title II-A Formula'!A81:G263,7,FALSE)</f>
        <v>312</v>
      </c>
      <c r="G73" s="134">
        <f>VLOOKUP(A73,'ESSA Title III-ELL '!A81:G265,7,FALSE)</f>
        <v>0</v>
      </c>
      <c r="H73" s="134">
        <v>0</v>
      </c>
      <c r="I73" s="134">
        <f>VLOOKUP(A73,'ESSA Title IV'!A81:G263,7,FALSE)</f>
        <v>10000</v>
      </c>
      <c r="J73" s="134">
        <v>0</v>
      </c>
    </row>
    <row r="74" spans="1:10" ht="18.75" x14ac:dyDescent="0.3">
      <c r="A74" s="247" t="s">
        <v>76</v>
      </c>
      <c r="B74" s="55" t="s">
        <v>254</v>
      </c>
      <c r="C74" s="134">
        <f>VLOOKUP(A74,'ESSA Title I-A Formula'!A82:G264,7,FALSE)</f>
        <v>0</v>
      </c>
      <c r="D74" s="134">
        <v>0</v>
      </c>
      <c r="E74" s="134">
        <v>0</v>
      </c>
      <c r="F74" s="134">
        <f>VLOOKUP(A74,'ESSA Title II-A Formula'!A82:G264,7,FALSE)</f>
        <v>0</v>
      </c>
      <c r="G74" s="134">
        <f>VLOOKUP(A74,'ESSA Title III-ELL '!A82:G266,7,FALSE)</f>
        <v>0</v>
      </c>
      <c r="H74" s="134">
        <v>0</v>
      </c>
      <c r="I74" s="134">
        <f>VLOOKUP(A74,'ESSA Title IV'!A82:G264,7,FALSE)</f>
        <v>0</v>
      </c>
      <c r="J74" s="134">
        <v>0</v>
      </c>
    </row>
    <row r="75" spans="1:10" ht="18.75" x14ac:dyDescent="0.3">
      <c r="A75" s="247" t="s">
        <v>77</v>
      </c>
      <c r="B75" s="55" t="s">
        <v>255</v>
      </c>
      <c r="C75" s="134">
        <f>VLOOKUP(A75,'ESSA Title I-A Formula'!A83:G265,7,FALSE)</f>
        <v>0</v>
      </c>
      <c r="D75" s="134">
        <v>0</v>
      </c>
      <c r="E75" s="134">
        <v>0</v>
      </c>
      <c r="F75" s="134">
        <f>VLOOKUP(A75,'ESSA Title II-A Formula'!A83:G265,7,FALSE)</f>
        <v>20714.009999999998</v>
      </c>
      <c r="G75" s="134">
        <f>VLOOKUP(A75,'ESSA Title III-ELL '!A83:G267,7,FALSE)</f>
        <v>0</v>
      </c>
      <c r="H75" s="134">
        <f>'ESSA Title III SAI'!G16</f>
        <v>0</v>
      </c>
      <c r="I75" s="134">
        <f>VLOOKUP(A75,'ESSA Title IV'!A83:G265,7,FALSE)</f>
        <v>1693.5</v>
      </c>
      <c r="J75" s="134">
        <v>0</v>
      </c>
    </row>
    <row r="76" spans="1:10" ht="18.75" x14ac:dyDescent="0.3">
      <c r="A76" s="247" t="s">
        <v>78</v>
      </c>
      <c r="B76" s="55" t="s">
        <v>256</v>
      </c>
      <c r="C76" s="134">
        <f>VLOOKUP(A76,'ESSA Title I-A Formula'!A84:G266,7,FALSE)</f>
        <v>0</v>
      </c>
      <c r="D76" s="134">
        <v>0</v>
      </c>
      <c r="E76" s="134">
        <v>0</v>
      </c>
      <c r="F76" s="134">
        <f>VLOOKUP(A76,'ESSA Title II-A Formula'!A84:G266,7,FALSE)</f>
        <v>3539</v>
      </c>
      <c r="G76" s="134">
        <f>VLOOKUP(A76,'ESSA Title III-ELL '!A84:G268,7,FALSE)</f>
        <v>0</v>
      </c>
      <c r="H76" s="134">
        <v>0</v>
      </c>
      <c r="I76" s="134">
        <f>VLOOKUP(A76,'ESSA Title IV'!A84:G266,7,FALSE)</f>
        <v>13</v>
      </c>
      <c r="J76" s="134">
        <v>0</v>
      </c>
    </row>
    <row r="77" spans="1:10" ht="18.75" x14ac:dyDescent="0.3">
      <c r="A77" s="247" t="s">
        <v>79</v>
      </c>
      <c r="B77" s="55" t="s">
        <v>257</v>
      </c>
      <c r="C77" s="134">
        <f>VLOOKUP(A77,'ESSA Title I-A Formula'!A85:G267,7,FALSE)</f>
        <v>0</v>
      </c>
      <c r="D77" s="134">
        <v>0</v>
      </c>
      <c r="E77" s="134">
        <v>0</v>
      </c>
      <c r="F77" s="134">
        <f>VLOOKUP(A77,'ESSA Title II-A Formula'!A85:G267,7,FALSE)</f>
        <v>0</v>
      </c>
      <c r="G77" s="134">
        <f>VLOOKUP(A77,'ESSA Title III-ELL '!A85:G269,7,FALSE)</f>
        <v>0</v>
      </c>
      <c r="H77" s="134">
        <v>0</v>
      </c>
      <c r="I77" s="134">
        <f>VLOOKUP(A77,'ESSA Title IV'!A85:G267,7,FALSE)</f>
        <v>0</v>
      </c>
      <c r="J77" s="134">
        <v>0</v>
      </c>
    </row>
    <row r="78" spans="1:10" ht="18.75" x14ac:dyDescent="0.3">
      <c r="A78" s="247" t="s">
        <v>80</v>
      </c>
      <c r="B78" s="55" t="s">
        <v>258</v>
      </c>
      <c r="C78" s="134">
        <f>VLOOKUP(A78,'ESSA Title I-A Formula'!A86:G268,7,FALSE)</f>
        <v>75139.159999999974</v>
      </c>
      <c r="D78" s="134">
        <v>0</v>
      </c>
      <c r="E78" s="134">
        <v>0</v>
      </c>
      <c r="F78" s="134">
        <f>VLOOKUP(A78,'ESSA Title II-A Formula'!A86:G268,7,FALSE)</f>
        <v>6387.6200000000026</v>
      </c>
      <c r="G78" s="134">
        <f>VLOOKUP(A78,'ESSA Title III-ELL '!A86:G270,7,FALSE)</f>
        <v>0</v>
      </c>
      <c r="H78" s="134">
        <v>0</v>
      </c>
      <c r="I78" s="134">
        <f>VLOOKUP(A78,'ESSA Title IV'!A86:G268,7,FALSE)</f>
        <v>20297</v>
      </c>
      <c r="J78" s="134">
        <f>VLOOKUP(A78,'ESSA Title V-B'!$A$12:$G$29,7,FALSE)</f>
        <v>11978.44</v>
      </c>
    </row>
    <row r="79" spans="1:10" ht="18.75" x14ac:dyDescent="0.3">
      <c r="A79" s="247" t="s">
        <v>81</v>
      </c>
      <c r="B79" s="55" t="s">
        <v>259</v>
      </c>
      <c r="C79" s="134">
        <f>VLOOKUP(A79,'ESSA Title I-A Formula'!A87:G269,7,FALSE)</f>
        <v>20383.039999999994</v>
      </c>
      <c r="D79" s="134">
        <v>0</v>
      </c>
      <c r="E79" s="134">
        <v>0</v>
      </c>
      <c r="F79" s="134">
        <f>VLOOKUP(A79,'ESSA Title II-A Formula'!A87:G269,7,FALSE)</f>
        <v>1260.5400000000009</v>
      </c>
      <c r="G79" s="134">
        <f>VLOOKUP(A79,'ESSA Title III-ELL '!A87:G271,7,FALSE)</f>
        <v>0</v>
      </c>
      <c r="H79" s="134">
        <v>0</v>
      </c>
      <c r="I79" s="134">
        <f>VLOOKUP(A79,'ESSA Title IV'!A87:G269,7,FALSE)</f>
        <v>565.57999999999993</v>
      </c>
      <c r="J79" s="134">
        <v>0</v>
      </c>
    </row>
    <row r="80" spans="1:10" ht="18.75" x14ac:dyDescent="0.3">
      <c r="A80" s="247" t="s">
        <v>82</v>
      </c>
      <c r="B80" s="55" t="s">
        <v>260</v>
      </c>
      <c r="C80" s="134">
        <f>VLOOKUP(A80,'ESSA Title I-A Formula'!A88:G270,7,FALSE)</f>
        <v>0</v>
      </c>
      <c r="D80" s="134">
        <v>0</v>
      </c>
      <c r="E80" s="134">
        <v>0</v>
      </c>
      <c r="F80" s="134">
        <f>VLOOKUP(A80,'ESSA Title II-A Formula'!A88:G270,7,FALSE)</f>
        <v>0</v>
      </c>
      <c r="G80" s="134">
        <f>VLOOKUP(A80,'ESSA Title III-ELL '!A88:G272,7,FALSE)</f>
        <v>0</v>
      </c>
      <c r="H80" s="134">
        <v>0</v>
      </c>
      <c r="I80" s="134">
        <f>VLOOKUP(A80,'ESSA Title IV'!A88:G270,7,FALSE)</f>
        <v>0</v>
      </c>
      <c r="J80" s="134">
        <v>0</v>
      </c>
    </row>
    <row r="81" spans="1:10" ht="18.75" x14ac:dyDescent="0.3">
      <c r="A81" s="247" t="s">
        <v>83</v>
      </c>
      <c r="B81" s="55" t="s">
        <v>261</v>
      </c>
      <c r="C81" s="134">
        <f>VLOOKUP(A81,'ESSA Title I-A Formula'!A89:G271,7,FALSE)</f>
        <v>3774012.2199999997</v>
      </c>
      <c r="D81" s="134">
        <f>'ESSA Title I-Delinquent'!G30</f>
        <v>0</v>
      </c>
      <c r="E81" s="134">
        <v>0</v>
      </c>
      <c r="F81" s="134">
        <f>VLOOKUP(A81,'ESSA Title II-A Formula'!A89:G271,7,FALSE)</f>
        <v>835914.92</v>
      </c>
      <c r="G81" s="134">
        <f>VLOOKUP(A81,'ESSA Title III-ELL '!A89:G273,7,FALSE)</f>
        <v>263581.41000000003</v>
      </c>
      <c r="H81" s="134">
        <v>0</v>
      </c>
      <c r="I81" s="134">
        <f>VLOOKUP(A81,'ESSA Title IV'!A89:G271,7,FALSE)</f>
        <v>366354.47</v>
      </c>
      <c r="J81" s="134">
        <v>0</v>
      </c>
    </row>
    <row r="82" spans="1:10" ht="18.75" x14ac:dyDescent="0.3">
      <c r="A82" s="247" t="s">
        <v>84</v>
      </c>
      <c r="B82" s="55" t="s">
        <v>262</v>
      </c>
      <c r="C82" s="134">
        <f>VLOOKUP(A82,'ESSA Title I-A Formula'!A90:G272,7,FALSE)</f>
        <v>0</v>
      </c>
      <c r="D82" s="134">
        <v>0</v>
      </c>
      <c r="E82" s="134">
        <v>0</v>
      </c>
      <c r="F82" s="134">
        <f>VLOOKUP(A82,'ESSA Title II-A Formula'!A90:G272,7,FALSE)</f>
        <v>3</v>
      </c>
      <c r="G82" s="134">
        <f>VLOOKUP(A82,'ESSA Title III-ELL '!A90:G274,7,FALSE)</f>
        <v>0</v>
      </c>
      <c r="H82" s="134">
        <v>0</v>
      </c>
      <c r="I82" s="134">
        <f>VLOOKUP(A82,'ESSA Title IV'!A90:G272,7,FALSE)</f>
        <v>0</v>
      </c>
      <c r="J82" s="134">
        <v>0</v>
      </c>
    </row>
    <row r="83" spans="1:10" ht="18.75" x14ac:dyDescent="0.3">
      <c r="A83" s="247" t="s">
        <v>85</v>
      </c>
      <c r="B83" s="55" t="s">
        <v>263</v>
      </c>
      <c r="C83" s="134">
        <f>VLOOKUP(A83,'ESSA Title I-A Formula'!A91:G273,7,FALSE)</f>
        <v>0</v>
      </c>
      <c r="D83" s="134">
        <v>0</v>
      </c>
      <c r="E83" s="134">
        <v>0</v>
      </c>
      <c r="F83" s="134">
        <f>VLOOKUP(A83,'ESSA Title II-A Formula'!A91:G273,7,FALSE)</f>
        <v>117.36000000000013</v>
      </c>
      <c r="G83" s="134">
        <f>VLOOKUP(A83,'ESSA Title III-ELL '!A91:G275,7,FALSE)</f>
        <v>0</v>
      </c>
      <c r="H83" s="134">
        <v>0</v>
      </c>
      <c r="I83" s="134">
        <f>VLOOKUP(A83,'ESSA Title IV'!A91:G273,7,FALSE)</f>
        <v>9753.35</v>
      </c>
      <c r="J83" s="134">
        <v>0</v>
      </c>
    </row>
    <row r="84" spans="1:10" ht="18.75" x14ac:dyDescent="0.3">
      <c r="A84" s="247" t="s">
        <v>86</v>
      </c>
      <c r="B84" s="55" t="s">
        <v>264</v>
      </c>
      <c r="C84" s="134">
        <f>VLOOKUP(A84,'ESSA Title I-A Formula'!A92:G274,7,FALSE)</f>
        <v>0</v>
      </c>
      <c r="D84" s="134">
        <v>0</v>
      </c>
      <c r="E84" s="134">
        <v>0</v>
      </c>
      <c r="F84" s="134">
        <f>VLOOKUP(A84,'ESSA Title II-A Formula'!A92:G274,7,FALSE)</f>
        <v>0</v>
      </c>
      <c r="G84" s="134">
        <f>VLOOKUP(A84,'ESSA Title III-ELL '!A92:G276,7,FALSE)</f>
        <v>0</v>
      </c>
      <c r="H84" s="134">
        <v>0</v>
      </c>
      <c r="I84" s="134">
        <f>VLOOKUP(A84,'ESSA Title IV'!A92:G274,7,FALSE)</f>
        <v>0</v>
      </c>
      <c r="J84" s="134">
        <v>0</v>
      </c>
    </row>
    <row r="85" spans="1:10" ht="18.75" x14ac:dyDescent="0.3">
      <c r="A85" s="247" t="s">
        <v>87</v>
      </c>
      <c r="B85" s="55" t="s">
        <v>265</v>
      </c>
      <c r="C85" s="134">
        <f>VLOOKUP(A85,'ESSA Title I-A Formula'!A93:G275,7,FALSE)</f>
        <v>0</v>
      </c>
      <c r="D85" s="134">
        <v>0</v>
      </c>
      <c r="E85" s="134">
        <v>0</v>
      </c>
      <c r="F85" s="134">
        <f>VLOOKUP(A85,'ESSA Title II-A Formula'!A93:G275,7,FALSE)</f>
        <v>0</v>
      </c>
      <c r="G85" s="134">
        <f>VLOOKUP(A85,'ESSA Title III-ELL '!A93:G277,7,FALSE)</f>
        <v>0</v>
      </c>
      <c r="H85" s="134">
        <v>0</v>
      </c>
      <c r="I85" s="134">
        <f>VLOOKUP(A85,'ESSA Title IV'!A93:G275,7,FALSE)</f>
        <v>0</v>
      </c>
      <c r="J85" s="134">
        <v>0</v>
      </c>
    </row>
    <row r="86" spans="1:10" ht="18.75" x14ac:dyDescent="0.3">
      <c r="A86" s="247" t="s">
        <v>88</v>
      </c>
      <c r="B86" s="55" t="s">
        <v>266</v>
      </c>
      <c r="C86" s="134">
        <f>VLOOKUP(A86,'ESSA Title I-A Formula'!A94:G276,7,FALSE)</f>
        <v>0</v>
      </c>
      <c r="D86" s="134">
        <v>0</v>
      </c>
      <c r="E86" s="134">
        <v>0</v>
      </c>
      <c r="F86" s="134">
        <f>VLOOKUP(A86,'ESSA Title II-A Formula'!A94:G276,7,FALSE)</f>
        <v>0</v>
      </c>
      <c r="G86" s="134">
        <f>VLOOKUP(A86,'ESSA Title III-ELL '!A94:G278,7,FALSE)</f>
        <v>0</v>
      </c>
      <c r="H86" s="134">
        <v>0</v>
      </c>
      <c r="I86" s="134">
        <f>VLOOKUP(A86,'ESSA Title IV'!A94:G276,7,FALSE)</f>
        <v>0</v>
      </c>
      <c r="J86" s="134">
        <v>0</v>
      </c>
    </row>
    <row r="87" spans="1:10" ht="18.75" x14ac:dyDescent="0.3">
      <c r="A87" s="247" t="s">
        <v>89</v>
      </c>
      <c r="B87" s="55" t="s">
        <v>267</v>
      </c>
      <c r="C87" s="134">
        <f>VLOOKUP(A87,'ESSA Title I-A Formula'!A95:G277,7,FALSE)</f>
        <v>0</v>
      </c>
      <c r="D87" s="134">
        <v>0</v>
      </c>
      <c r="E87" s="134">
        <v>0</v>
      </c>
      <c r="F87" s="134">
        <f>VLOOKUP(A87,'ESSA Title II-A Formula'!A95:G277,7,FALSE)</f>
        <v>0</v>
      </c>
      <c r="G87" s="134">
        <f>VLOOKUP(A87,'ESSA Title III-ELL '!A95:G279,7,FALSE)</f>
        <v>0</v>
      </c>
      <c r="H87" s="134">
        <v>0</v>
      </c>
      <c r="I87" s="134">
        <f>VLOOKUP(A87,'ESSA Title IV'!A95:G277,7,FALSE)</f>
        <v>0</v>
      </c>
      <c r="J87" s="134">
        <v>0</v>
      </c>
    </row>
    <row r="88" spans="1:10" ht="18.75" x14ac:dyDescent="0.3">
      <c r="A88" s="247" t="s">
        <v>90</v>
      </c>
      <c r="B88" s="55" t="s">
        <v>268</v>
      </c>
      <c r="C88" s="134">
        <f>VLOOKUP(A88,'ESSA Title I-A Formula'!A96:G278,7,FALSE)</f>
        <v>0</v>
      </c>
      <c r="D88" s="134">
        <v>0</v>
      </c>
      <c r="E88" s="134">
        <v>0</v>
      </c>
      <c r="F88" s="134">
        <f>VLOOKUP(A88,'ESSA Title II-A Formula'!A96:G278,7,FALSE)</f>
        <v>0</v>
      </c>
      <c r="G88" s="134">
        <f>VLOOKUP(A88,'ESSA Title III-ELL '!A96:G280,7,FALSE)</f>
        <v>0</v>
      </c>
      <c r="H88" s="134">
        <v>0</v>
      </c>
      <c r="I88" s="134">
        <f>VLOOKUP(A88,'ESSA Title IV'!A96:G278,7,FALSE)</f>
        <v>0</v>
      </c>
      <c r="J88" s="134">
        <v>0</v>
      </c>
    </row>
    <row r="89" spans="1:10" ht="18.75" x14ac:dyDescent="0.3">
      <c r="A89" s="247" t="s">
        <v>91</v>
      </c>
      <c r="B89" s="55" t="s">
        <v>269</v>
      </c>
      <c r="C89" s="134">
        <f>VLOOKUP(A89,'ESSA Title I-A Formula'!A97:G279,7,FALSE)</f>
        <v>0</v>
      </c>
      <c r="D89" s="134">
        <v>0</v>
      </c>
      <c r="E89" s="134">
        <v>0</v>
      </c>
      <c r="F89" s="134">
        <f>VLOOKUP(A89,'ESSA Title II-A Formula'!A97:G279,7,FALSE)</f>
        <v>0</v>
      </c>
      <c r="G89" s="134">
        <f>VLOOKUP(A89,'ESSA Title III-ELL '!A97:G281,7,FALSE)</f>
        <v>0</v>
      </c>
      <c r="H89" s="134">
        <v>0</v>
      </c>
      <c r="I89" s="134">
        <f>VLOOKUP(A89,'ESSA Title IV'!A97:G279,7,FALSE)</f>
        <v>0</v>
      </c>
      <c r="J89" s="134">
        <v>0</v>
      </c>
    </row>
    <row r="90" spans="1:10" ht="18.75" x14ac:dyDescent="0.3">
      <c r="A90" s="247" t="s">
        <v>92</v>
      </c>
      <c r="B90" s="55" t="s">
        <v>270</v>
      </c>
      <c r="C90" s="134">
        <f>VLOOKUP(A90,'ESSA Title I-A Formula'!A98:G280,7,FALSE)</f>
        <v>392975.56999999995</v>
      </c>
      <c r="D90" s="134">
        <v>0</v>
      </c>
      <c r="E90" s="134">
        <v>0</v>
      </c>
      <c r="F90" s="134">
        <f>VLOOKUP(A90,'ESSA Title II-A Formula'!A98:G280,7,FALSE)</f>
        <v>55246.140000000014</v>
      </c>
      <c r="G90" s="134">
        <f>VLOOKUP(A90,'ESSA Title III-ELL '!A98:G282,7,FALSE)</f>
        <v>3385.4699999999993</v>
      </c>
      <c r="H90" s="134">
        <v>0</v>
      </c>
      <c r="I90" s="134">
        <f>VLOOKUP(A90,'ESSA Title IV'!A98:G280,7,FALSE)</f>
        <v>32691.32</v>
      </c>
      <c r="J90" s="134">
        <v>0</v>
      </c>
    </row>
    <row r="91" spans="1:10" ht="18.75" x14ac:dyDescent="0.3">
      <c r="A91" s="247" t="s">
        <v>93</v>
      </c>
      <c r="B91" s="55" t="s">
        <v>271</v>
      </c>
      <c r="C91" s="134">
        <f>VLOOKUP(A91,'ESSA Title I-A Formula'!A99:G281,7,FALSE)</f>
        <v>700</v>
      </c>
      <c r="D91" s="134">
        <v>0</v>
      </c>
      <c r="E91" s="134">
        <v>0</v>
      </c>
      <c r="F91" s="134">
        <f>VLOOKUP(A91,'ESSA Title II-A Formula'!A99:G281,7,FALSE)</f>
        <v>3471.1100000000006</v>
      </c>
      <c r="G91" s="134">
        <f>VLOOKUP(A91,'ESSA Title III-ELL '!A99:G283,7,FALSE)</f>
        <v>0</v>
      </c>
      <c r="H91" s="134">
        <f>'ESSA Title III SAI'!G18</f>
        <v>3992</v>
      </c>
      <c r="I91" s="134">
        <f>VLOOKUP(A91,'ESSA Title IV'!A99:G281,7,FALSE)</f>
        <v>3132.9300000000003</v>
      </c>
      <c r="J91" s="134">
        <v>0</v>
      </c>
    </row>
    <row r="92" spans="1:10" ht="18.75" x14ac:dyDescent="0.3">
      <c r="A92" s="247" t="s">
        <v>94</v>
      </c>
      <c r="B92" s="55" t="s">
        <v>272</v>
      </c>
      <c r="C92" s="134">
        <f>VLOOKUP(A92,'ESSA Title I-A Formula'!A100:G282,7,FALSE)</f>
        <v>103489</v>
      </c>
      <c r="D92" s="134">
        <v>0</v>
      </c>
      <c r="E92" s="134">
        <v>0</v>
      </c>
      <c r="F92" s="134">
        <f>VLOOKUP(A92,'ESSA Title II-A Formula'!A100:G282,7,FALSE)</f>
        <v>31380.42</v>
      </c>
      <c r="G92" s="134">
        <f>VLOOKUP(A92,'ESSA Title III-ELL '!A100:G284,7,FALSE)</f>
        <v>0</v>
      </c>
      <c r="H92" s="134">
        <v>0</v>
      </c>
      <c r="I92" s="134">
        <f>VLOOKUP(A92,'ESSA Title IV'!A100:G282,7,FALSE)</f>
        <v>10000</v>
      </c>
      <c r="J92" s="134">
        <v>0</v>
      </c>
    </row>
    <row r="93" spans="1:10" ht="18.75" x14ac:dyDescent="0.3">
      <c r="A93" s="247" t="s">
        <v>95</v>
      </c>
      <c r="B93" s="55" t="s">
        <v>273</v>
      </c>
      <c r="C93" s="134">
        <f>VLOOKUP(A93,'ESSA Title I-A Formula'!A101:G283,7,FALSE)</f>
        <v>1359099.6099999999</v>
      </c>
      <c r="D93" s="134">
        <f>'ESSA Title I-Delinquent'!G17</f>
        <v>10737.2</v>
      </c>
      <c r="E93" s="134">
        <v>0</v>
      </c>
      <c r="F93" s="134">
        <f>VLOOKUP(A93,'ESSA Title II-A Formula'!A101:G283,7,FALSE)</f>
        <v>591498</v>
      </c>
      <c r="G93" s="134">
        <f>VLOOKUP(A93,'ESSA Title III-ELL '!A101:G285,7,FALSE)</f>
        <v>45662.05</v>
      </c>
      <c r="H93" s="134">
        <f>'ESSA Title III SAI'!G19</f>
        <v>95809</v>
      </c>
      <c r="I93" s="134">
        <f>VLOOKUP(A93,'ESSA Title IV'!A101:G283,7,FALSE)</f>
        <v>188955</v>
      </c>
      <c r="J93" s="134">
        <v>0</v>
      </c>
    </row>
    <row r="94" spans="1:10" ht="18.75" x14ac:dyDescent="0.3">
      <c r="A94" s="247" t="s">
        <v>96</v>
      </c>
      <c r="B94" s="55" t="s">
        <v>274</v>
      </c>
      <c r="C94" s="134">
        <f>VLOOKUP(A94,'ESSA Title I-A Formula'!A102:G284,7,FALSE)</f>
        <v>1310854.6099999999</v>
      </c>
      <c r="D94" s="134">
        <v>0</v>
      </c>
      <c r="E94" s="134">
        <v>0</v>
      </c>
      <c r="F94" s="134">
        <f>VLOOKUP(A94,'ESSA Title II-A Formula'!A102:G284,7,FALSE)</f>
        <v>363826.55</v>
      </c>
      <c r="G94" s="134">
        <f>VLOOKUP(A94,'ESSA Title III-ELL '!A102:G286,7,FALSE)</f>
        <v>39895</v>
      </c>
      <c r="H94" s="134">
        <v>0</v>
      </c>
      <c r="I94" s="134">
        <f>VLOOKUP(A94,'ESSA Title IV'!A102:G284,7,FALSE)</f>
        <v>114464</v>
      </c>
      <c r="J94" s="134">
        <v>0</v>
      </c>
    </row>
    <row r="95" spans="1:10" ht="18.75" x14ac:dyDescent="0.3">
      <c r="A95" s="247" t="s">
        <v>97</v>
      </c>
      <c r="B95" s="55" t="s">
        <v>275</v>
      </c>
      <c r="C95" s="134">
        <f>VLOOKUP(A95,'ESSA Title I-A Formula'!A103:G285,7,FALSE)</f>
        <v>17437.379999999976</v>
      </c>
      <c r="D95" s="134">
        <v>0</v>
      </c>
      <c r="E95" s="134">
        <v>0</v>
      </c>
      <c r="F95" s="134">
        <f>VLOOKUP(A95,'ESSA Title II-A Formula'!A103:G285,7,FALSE)</f>
        <v>399.59999999999854</v>
      </c>
      <c r="G95" s="134">
        <f>VLOOKUP(A95,'ESSA Title III-ELL '!A103:G287,7,FALSE)</f>
        <v>0</v>
      </c>
      <c r="H95" s="134">
        <v>0</v>
      </c>
      <c r="I95" s="134">
        <f>VLOOKUP(A95,'ESSA Title IV'!A103:G285,7,FALSE)</f>
        <v>20580</v>
      </c>
      <c r="J95" s="134">
        <v>0</v>
      </c>
    </row>
    <row r="96" spans="1:10" ht="18.75" x14ac:dyDescent="0.3">
      <c r="A96" s="247" t="s">
        <v>98</v>
      </c>
      <c r="B96" s="55" t="s">
        <v>276</v>
      </c>
      <c r="C96" s="134">
        <f>VLOOKUP(A96,'ESSA Title I-A Formula'!A104:G286,7,FALSE)</f>
        <v>171693.72</v>
      </c>
      <c r="D96" s="134">
        <v>0</v>
      </c>
      <c r="E96" s="134">
        <v>0</v>
      </c>
      <c r="F96" s="134">
        <f>VLOOKUP(A96,'ESSA Title II-A Formula'!A104:G286,7,FALSE)</f>
        <v>3101.8899999999994</v>
      </c>
      <c r="G96" s="134">
        <f>VLOOKUP(A96,'ESSA Title III-ELL '!A104:G288,7,FALSE)</f>
        <v>0</v>
      </c>
      <c r="H96" s="134">
        <v>0</v>
      </c>
      <c r="I96" s="134">
        <f>VLOOKUP(A96,'ESSA Title IV'!A104:G286,7,FALSE)</f>
        <v>8016.3499999999985</v>
      </c>
      <c r="J96" s="134">
        <f>VLOOKUP(A96,'ESSA Title V-B'!$A$12:$G$29,7,FALSE)</f>
        <v>11329.44</v>
      </c>
    </row>
    <row r="97" spans="1:10" ht="18.75" x14ac:dyDescent="0.3">
      <c r="A97" s="247" t="s">
        <v>99</v>
      </c>
      <c r="B97" s="55" t="s">
        <v>277</v>
      </c>
      <c r="C97" s="134">
        <f>VLOOKUP(A97,'ESSA Title I-A Formula'!A105:G287,7,FALSE)</f>
        <v>0</v>
      </c>
      <c r="D97" s="134">
        <v>0</v>
      </c>
      <c r="E97" s="134">
        <v>0</v>
      </c>
      <c r="F97" s="134">
        <f>VLOOKUP(A97,'ESSA Title II-A Formula'!A105:G287,7,FALSE)</f>
        <v>0</v>
      </c>
      <c r="G97" s="134">
        <f>VLOOKUP(A97,'ESSA Title III-ELL '!A105:G289,7,FALSE)</f>
        <v>0</v>
      </c>
      <c r="H97" s="134">
        <v>0</v>
      </c>
      <c r="I97" s="134">
        <f>VLOOKUP(A97,'ESSA Title IV'!A105:G287,7,FALSE)</f>
        <v>0</v>
      </c>
      <c r="J97" s="134">
        <v>0</v>
      </c>
    </row>
    <row r="98" spans="1:10" ht="18.75" x14ac:dyDescent="0.3">
      <c r="A98" s="247" t="s">
        <v>100</v>
      </c>
      <c r="B98" s="55" t="s">
        <v>278</v>
      </c>
      <c r="C98" s="134">
        <f>VLOOKUP(A98,'ESSA Title I-A Formula'!A106:G288,7,FALSE)</f>
        <v>0</v>
      </c>
      <c r="D98" s="134">
        <v>0</v>
      </c>
      <c r="E98" s="134">
        <v>0</v>
      </c>
      <c r="F98" s="134">
        <f>VLOOKUP(A98,'ESSA Title II-A Formula'!A106:G288,7,FALSE)</f>
        <v>4</v>
      </c>
      <c r="G98" s="134">
        <f>VLOOKUP(A98,'ESSA Title III-ELL '!A106:G290,7,FALSE)</f>
        <v>0</v>
      </c>
      <c r="H98" s="134">
        <v>0</v>
      </c>
      <c r="I98" s="134">
        <f>VLOOKUP(A98,'ESSA Title IV'!A106:G288,7,FALSE)</f>
        <v>0</v>
      </c>
      <c r="J98" s="134">
        <v>0</v>
      </c>
    </row>
    <row r="99" spans="1:10" ht="18.75" x14ac:dyDescent="0.3">
      <c r="A99" s="247" t="s">
        <v>101</v>
      </c>
      <c r="B99" s="55" t="s">
        <v>279</v>
      </c>
      <c r="C99" s="134">
        <f>VLOOKUP(A99,'ESSA Title I-A Formula'!A107:G289,7,FALSE)</f>
        <v>16212</v>
      </c>
      <c r="D99" s="134">
        <v>0</v>
      </c>
      <c r="E99" s="134">
        <v>0</v>
      </c>
      <c r="F99" s="134">
        <f>VLOOKUP(A99,'ESSA Title II-A Formula'!A107:G289,7,FALSE)</f>
        <v>0</v>
      </c>
      <c r="G99" s="134">
        <f>VLOOKUP(A99,'ESSA Title III-ELL '!A107:G291,7,FALSE)</f>
        <v>0</v>
      </c>
      <c r="H99" s="134">
        <v>0</v>
      </c>
      <c r="I99" s="134">
        <f>VLOOKUP(A99,'ESSA Title IV'!A107:G289,7,FALSE)</f>
        <v>0</v>
      </c>
      <c r="J99" s="134">
        <v>0</v>
      </c>
    </row>
    <row r="100" spans="1:10" ht="18.75" x14ac:dyDescent="0.3">
      <c r="A100" s="247" t="s">
        <v>102</v>
      </c>
      <c r="B100" s="55" t="s">
        <v>280</v>
      </c>
      <c r="C100" s="134">
        <f>VLOOKUP(A100,'ESSA Title I-A Formula'!A108:G290,7,FALSE)</f>
        <v>18046.670000000006</v>
      </c>
      <c r="D100" s="134">
        <v>0</v>
      </c>
      <c r="E100" s="134">
        <v>0</v>
      </c>
      <c r="F100" s="134">
        <f>VLOOKUP(A100,'ESSA Title II-A Formula'!A108:G290,7,FALSE)</f>
        <v>1276</v>
      </c>
      <c r="G100" s="134">
        <f>VLOOKUP(A100,'ESSA Title III-ELL '!A108:G292,7,FALSE)</f>
        <v>0</v>
      </c>
      <c r="H100" s="134">
        <v>0</v>
      </c>
      <c r="I100" s="134">
        <f>VLOOKUP(A100,'ESSA Title IV'!A108:G290,7,FALSE)</f>
        <v>0</v>
      </c>
      <c r="J100" s="134">
        <v>0</v>
      </c>
    </row>
    <row r="101" spans="1:10" ht="18.75" x14ac:dyDescent="0.3">
      <c r="A101" s="247" t="s">
        <v>103</v>
      </c>
      <c r="B101" s="55" t="s">
        <v>281</v>
      </c>
      <c r="C101" s="134">
        <f>VLOOKUP(A101,'ESSA Title I-A Formula'!A109:G291,7,FALSE)</f>
        <v>0</v>
      </c>
      <c r="D101" s="134">
        <v>0</v>
      </c>
      <c r="E101" s="134">
        <v>0</v>
      </c>
      <c r="F101" s="134">
        <f>VLOOKUP(A101,'ESSA Title II-A Formula'!A109:G291,7,FALSE)</f>
        <v>2</v>
      </c>
      <c r="G101" s="134">
        <f>VLOOKUP(A101,'ESSA Title III-ELL '!A109:G293,7,FALSE)</f>
        <v>0</v>
      </c>
      <c r="H101" s="134">
        <v>0</v>
      </c>
      <c r="I101" s="134">
        <f>VLOOKUP(A101,'ESSA Title IV'!A109:G291,7,FALSE)</f>
        <v>0</v>
      </c>
      <c r="J101" s="134">
        <v>0</v>
      </c>
    </row>
    <row r="102" spans="1:10" ht="18.75" x14ac:dyDescent="0.3">
      <c r="A102" s="247" t="s">
        <v>104</v>
      </c>
      <c r="B102" s="55" t="s">
        <v>282</v>
      </c>
      <c r="C102" s="134">
        <f>VLOOKUP(A102,'ESSA Title I-A Formula'!A110:G292,7,FALSE)</f>
        <v>0</v>
      </c>
      <c r="D102" s="134">
        <v>0</v>
      </c>
      <c r="E102" s="134">
        <v>0</v>
      </c>
      <c r="F102" s="134">
        <f>VLOOKUP(A102,'ESSA Title II-A Formula'!A110:G292,7,FALSE)</f>
        <v>0</v>
      </c>
      <c r="G102" s="134">
        <f>VLOOKUP(A102,'ESSA Title III-ELL '!A110:G294,7,FALSE)</f>
        <v>0</v>
      </c>
      <c r="H102" s="134">
        <v>0</v>
      </c>
      <c r="I102" s="134">
        <f>VLOOKUP(A102,'ESSA Title IV'!A110:G292,7,FALSE)</f>
        <v>0</v>
      </c>
      <c r="J102" s="134">
        <v>0</v>
      </c>
    </row>
    <row r="103" spans="1:10" ht="18.75" x14ac:dyDescent="0.3">
      <c r="A103" s="247" t="s">
        <v>105</v>
      </c>
      <c r="B103" s="55" t="s">
        <v>283</v>
      </c>
      <c r="C103" s="134">
        <f>VLOOKUP(A103,'ESSA Title I-A Formula'!A111:G293,7,FALSE)</f>
        <v>0</v>
      </c>
      <c r="D103" s="134">
        <v>0</v>
      </c>
      <c r="E103" s="134">
        <v>0</v>
      </c>
      <c r="F103" s="134">
        <f>VLOOKUP(A103,'ESSA Title II-A Formula'!A111:G293,7,FALSE)</f>
        <v>0</v>
      </c>
      <c r="G103" s="134">
        <f>VLOOKUP(A103,'ESSA Title III-ELL '!A111:G295,7,FALSE)</f>
        <v>0</v>
      </c>
      <c r="H103" s="134">
        <v>0</v>
      </c>
      <c r="I103" s="134">
        <f>VLOOKUP(A103,'ESSA Title IV'!A111:G293,7,FALSE)</f>
        <v>0</v>
      </c>
      <c r="J103" s="134">
        <v>0</v>
      </c>
    </row>
    <row r="104" spans="1:10" ht="18.75" x14ac:dyDescent="0.3">
      <c r="A104" s="247" t="s">
        <v>106</v>
      </c>
      <c r="B104" s="55" t="s">
        <v>284</v>
      </c>
      <c r="C104" s="134">
        <f>VLOOKUP(A104,'ESSA Title I-A Formula'!A112:G294,7,FALSE)</f>
        <v>0</v>
      </c>
      <c r="D104" s="134">
        <v>0</v>
      </c>
      <c r="E104" s="134">
        <v>0</v>
      </c>
      <c r="F104" s="134">
        <f>VLOOKUP(A104,'ESSA Title II-A Formula'!A112:G294,7,FALSE)</f>
        <v>0</v>
      </c>
      <c r="G104" s="134">
        <f>VLOOKUP(A104,'ESSA Title III-ELL '!A112:G296,7,FALSE)</f>
        <v>0</v>
      </c>
      <c r="H104" s="134">
        <v>0</v>
      </c>
      <c r="I104" s="134">
        <f>VLOOKUP(A104,'ESSA Title IV'!A112:G294,7,FALSE)</f>
        <v>0</v>
      </c>
      <c r="J104" s="134">
        <v>0</v>
      </c>
    </row>
    <row r="105" spans="1:10" ht="18.75" x14ac:dyDescent="0.3">
      <c r="A105" s="247" t="s">
        <v>107</v>
      </c>
      <c r="B105" s="55" t="s">
        <v>285</v>
      </c>
      <c r="C105" s="134">
        <f>VLOOKUP(A105,'ESSA Title I-A Formula'!A113:G295,7,FALSE)</f>
        <v>0</v>
      </c>
      <c r="D105" s="134">
        <v>0</v>
      </c>
      <c r="E105" s="134">
        <v>0</v>
      </c>
      <c r="F105" s="134">
        <f>VLOOKUP(A105,'ESSA Title II-A Formula'!A113:G295,7,FALSE)</f>
        <v>0</v>
      </c>
      <c r="G105" s="134">
        <f>VLOOKUP(A105,'ESSA Title III-ELL '!A113:G297,7,FALSE)</f>
        <v>0</v>
      </c>
      <c r="H105" s="134">
        <v>0</v>
      </c>
      <c r="I105" s="134">
        <f>VLOOKUP(A105,'ESSA Title IV'!A113:G295,7,FALSE)</f>
        <v>0</v>
      </c>
      <c r="J105" s="134">
        <v>0</v>
      </c>
    </row>
    <row r="106" spans="1:10" ht="18.75" x14ac:dyDescent="0.3">
      <c r="A106" s="247" t="s">
        <v>108</v>
      </c>
      <c r="B106" s="55" t="s">
        <v>286</v>
      </c>
      <c r="C106" s="134">
        <f>VLOOKUP(A106,'ESSA Title I-A Formula'!A114:G296,7,FALSE)</f>
        <v>0</v>
      </c>
      <c r="D106" s="134">
        <v>0</v>
      </c>
      <c r="E106" s="134">
        <v>0</v>
      </c>
      <c r="F106" s="134">
        <f>VLOOKUP(A106,'ESSA Title II-A Formula'!A114:G296,7,FALSE)</f>
        <v>0</v>
      </c>
      <c r="G106" s="134">
        <f>VLOOKUP(A106,'ESSA Title III-ELL '!A114:G298,7,FALSE)</f>
        <v>0</v>
      </c>
      <c r="H106" s="134">
        <v>0</v>
      </c>
      <c r="I106" s="134">
        <f>VLOOKUP(A106,'ESSA Title IV'!A114:G296,7,FALSE)</f>
        <v>0</v>
      </c>
      <c r="J106" s="134">
        <v>0</v>
      </c>
    </row>
    <row r="107" spans="1:10" ht="18.75" x14ac:dyDescent="0.3">
      <c r="A107" s="247" t="s">
        <v>109</v>
      </c>
      <c r="B107" s="55" t="s">
        <v>287</v>
      </c>
      <c r="C107" s="134">
        <f>VLOOKUP(A107,'ESSA Title I-A Formula'!A115:G297,7,FALSE)</f>
        <v>0</v>
      </c>
      <c r="D107" s="134">
        <v>0</v>
      </c>
      <c r="E107" s="134">
        <v>0</v>
      </c>
      <c r="F107" s="134">
        <f>VLOOKUP(A107,'ESSA Title II-A Formula'!A115:G297,7,FALSE)</f>
        <v>1644.73</v>
      </c>
      <c r="G107" s="134">
        <f>VLOOKUP(A107,'ESSA Title III-ELL '!A115:G299,7,FALSE)</f>
        <v>0</v>
      </c>
      <c r="H107" s="134">
        <v>0</v>
      </c>
      <c r="I107" s="134">
        <f>VLOOKUP(A107,'ESSA Title IV'!A115:G297,7,FALSE)</f>
        <v>0</v>
      </c>
      <c r="J107" s="134">
        <v>0</v>
      </c>
    </row>
    <row r="108" spans="1:10" ht="18.75" x14ac:dyDescent="0.3">
      <c r="A108" s="247" t="s">
        <v>110</v>
      </c>
      <c r="B108" s="55" t="s">
        <v>288</v>
      </c>
      <c r="C108" s="134">
        <f>VLOOKUP(A108,'ESSA Title I-A Formula'!A116:G298,7,FALSE)</f>
        <v>0</v>
      </c>
      <c r="D108" s="134">
        <v>0</v>
      </c>
      <c r="E108" s="134">
        <v>0</v>
      </c>
      <c r="F108" s="134">
        <f>VLOOKUP(A108,'ESSA Title II-A Formula'!A116:G298,7,FALSE)</f>
        <v>0</v>
      </c>
      <c r="G108" s="134">
        <f>VLOOKUP(A108,'ESSA Title III-ELL '!A116:G300,7,FALSE)</f>
        <v>0</v>
      </c>
      <c r="H108" s="134">
        <v>0</v>
      </c>
      <c r="I108" s="134">
        <f>VLOOKUP(A108,'ESSA Title IV'!A116:G298,7,FALSE)</f>
        <v>0</v>
      </c>
      <c r="J108" s="134">
        <v>0</v>
      </c>
    </row>
    <row r="109" spans="1:10" ht="18.75" x14ac:dyDescent="0.3">
      <c r="A109" s="247" t="s">
        <v>111</v>
      </c>
      <c r="B109" s="55" t="s">
        <v>289</v>
      </c>
      <c r="C109" s="134">
        <f>VLOOKUP(A109,'ESSA Title I-A Formula'!A117:G299,7,FALSE)</f>
        <v>0</v>
      </c>
      <c r="D109" s="134">
        <v>0</v>
      </c>
      <c r="E109" s="134">
        <v>0</v>
      </c>
      <c r="F109" s="134">
        <f>VLOOKUP(A109,'ESSA Title II-A Formula'!A117:G299,7,FALSE)</f>
        <v>0</v>
      </c>
      <c r="G109" s="134">
        <f>VLOOKUP(A109,'ESSA Title III-ELL '!A117:G301,7,FALSE)</f>
        <v>0</v>
      </c>
      <c r="H109" s="134">
        <v>0</v>
      </c>
      <c r="I109" s="134">
        <f>VLOOKUP(A109,'ESSA Title IV'!A117:G299,7,FALSE)</f>
        <v>0</v>
      </c>
      <c r="J109" s="134">
        <v>0</v>
      </c>
    </row>
    <row r="110" spans="1:10" ht="18.75" x14ac:dyDescent="0.3">
      <c r="A110" s="247" t="s">
        <v>112</v>
      </c>
      <c r="B110" s="55" t="s">
        <v>290</v>
      </c>
      <c r="C110" s="134">
        <f>VLOOKUP(A110,'ESSA Title I-A Formula'!A118:G300,7,FALSE)</f>
        <v>24766.1</v>
      </c>
      <c r="D110" s="134">
        <v>0</v>
      </c>
      <c r="E110" s="134">
        <v>0</v>
      </c>
      <c r="F110" s="134">
        <f>VLOOKUP(A110,'ESSA Title II-A Formula'!A118:G300,7,FALSE)</f>
        <v>4431.880000000001</v>
      </c>
      <c r="G110" s="134">
        <f>VLOOKUP(A110,'ESSA Title III-ELL '!A118:G302,7,FALSE)</f>
        <v>0</v>
      </c>
      <c r="H110" s="134">
        <v>0</v>
      </c>
      <c r="I110" s="134">
        <f>VLOOKUP(A110,'ESSA Title IV'!A118:G300,7,FALSE)</f>
        <v>3078.7400000000007</v>
      </c>
      <c r="J110" s="134">
        <v>0</v>
      </c>
    </row>
    <row r="111" spans="1:10" ht="18.75" x14ac:dyDescent="0.3">
      <c r="A111" s="247" t="s">
        <v>113</v>
      </c>
      <c r="B111" s="55" t="s">
        <v>291</v>
      </c>
      <c r="C111" s="134">
        <f>VLOOKUP(A111,'ESSA Title I-A Formula'!A119:G301,7,FALSE)</f>
        <v>1034611.7000000011</v>
      </c>
      <c r="D111" s="134">
        <f>'ESSA Title I-Delinquent'!G18</f>
        <v>5241.5499999999993</v>
      </c>
      <c r="E111" s="134">
        <v>0</v>
      </c>
      <c r="F111" s="134">
        <f>VLOOKUP(A111,'ESSA Title II-A Formula'!A119:G301,7,FALSE)</f>
        <v>295929.18</v>
      </c>
      <c r="G111" s="134">
        <f>VLOOKUP(A111,'ESSA Title III-ELL '!A119:G303,7,FALSE)</f>
        <v>138.32000000000698</v>
      </c>
      <c r="H111" s="134">
        <v>0</v>
      </c>
      <c r="I111" s="134">
        <f>VLOOKUP(A111,'ESSA Title IV'!A119:G301,7,FALSE)</f>
        <v>113867.57999999996</v>
      </c>
      <c r="J111" s="134">
        <v>0</v>
      </c>
    </row>
    <row r="112" spans="1:10" ht="18.75" x14ac:dyDescent="0.3">
      <c r="A112" s="247" t="s">
        <v>114</v>
      </c>
      <c r="B112" s="55" t="s">
        <v>292</v>
      </c>
      <c r="C112" s="134">
        <f>VLOOKUP(A112,'ESSA Title I-A Formula'!A120:G302,7,FALSE)</f>
        <v>0</v>
      </c>
      <c r="D112" s="134">
        <v>0</v>
      </c>
      <c r="E112" s="134">
        <v>0</v>
      </c>
      <c r="F112" s="134">
        <f>VLOOKUP(A112,'ESSA Title II-A Formula'!A120:G302,7,FALSE)</f>
        <v>0</v>
      </c>
      <c r="G112" s="134">
        <f>VLOOKUP(A112,'ESSA Title III-ELL '!A120:G304,7,FALSE)</f>
        <v>0</v>
      </c>
      <c r="H112" s="134">
        <v>0</v>
      </c>
      <c r="I112" s="134">
        <f>VLOOKUP(A112,'ESSA Title IV'!A120:G302,7,FALSE)</f>
        <v>0</v>
      </c>
      <c r="J112" s="134">
        <v>0</v>
      </c>
    </row>
    <row r="113" spans="1:10" ht="18.75" x14ac:dyDescent="0.3">
      <c r="A113" s="247" t="s">
        <v>115</v>
      </c>
      <c r="B113" s="55" t="s">
        <v>293</v>
      </c>
      <c r="C113" s="134">
        <f>VLOOKUP(A113,'ESSA Title I-A Formula'!A121:G303,7,FALSE)</f>
        <v>0</v>
      </c>
      <c r="D113" s="134">
        <v>0</v>
      </c>
      <c r="E113" s="134">
        <v>0</v>
      </c>
      <c r="F113" s="134">
        <f>VLOOKUP(A113,'ESSA Title II-A Formula'!A121:G303,7,FALSE)</f>
        <v>0</v>
      </c>
      <c r="G113" s="134">
        <f>VLOOKUP(A113,'ESSA Title III-ELL '!A121:G305,7,FALSE)</f>
        <v>0</v>
      </c>
      <c r="H113" s="134">
        <v>0</v>
      </c>
      <c r="I113" s="134">
        <f>VLOOKUP(A113,'ESSA Title IV'!A121:G303,7,FALSE)</f>
        <v>0</v>
      </c>
      <c r="J113" s="134">
        <v>0</v>
      </c>
    </row>
    <row r="114" spans="1:10" ht="18.75" x14ac:dyDescent="0.3">
      <c r="A114" s="247" t="s">
        <v>116</v>
      </c>
      <c r="B114" s="55" t="s">
        <v>294</v>
      </c>
      <c r="C114" s="134">
        <f>VLOOKUP(A114,'ESSA Title I-A Formula'!A122:G304,7,FALSE)</f>
        <v>356631.40999999992</v>
      </c>
      <c r="D114" s="134">
        <v>0</v>
      </c>
      <c r="E114" s="134">
        <v>0</v>
      </c>
      <c r="F114" s="134">
        <f>VLOOKUP(A114,'ESSA Title II-A Formula'!A122:G304,7,FALSE)</f>
        <v>26340.47</v>
      </c>
      <c r="G114" s="134">
        <f>VLOOKUP(A114,'ESSA Title III-ELL '!A122:G306,7,FALSE)</f>
        <v>0</v>
      </c>
      <c r="H114" s="134">
        <v>0</v>
      </c>
      <c r="I114" s="134">
        <f>VLOOKUP(A114,'ESSA Title IV'!A122:G304,7,FALSE)</f>
        <v>93463</v>
      </c>
      <c r="J114" s="134">
        <f>VLOOKUP(A114,'ESSA Title V-B'!$A$12:$G$29,7,FALSE)</f>
        <v>62122.78</v>
      </c>
    </row>
    <row r="115" spans="1:10" ht="18.75" x14ac:dyDescent="0.3">
      <c r="A115" s="247" t="s">
        <v>117</v>
      </c>
      <c r="B115" s="55" t="s">
        <v>295</v>
      </c>
      <c r="C115" s="134">
        <f>VLOOKUP(A115,'ESSA Title I-A Formula'!A123:G305,7,FALSE)</f>
        <v>6198.1999999999971</v>
      </c>
      <c r="D115" s="134">
        <v>0</v>
      </c>
      <c r="E115" s="134">
        <v>0</v>
      </c>
      <c r="F115" s="134">
        <f>VLOOKUP(A115,'ESSA Title II-A Formula'!A123:G305,7,FALSE)</f>
        <v>0</v>
      </c>
      <c r="G115" s="134">
        <f>VLOOKUP(A115,'ESSA Title III-ELL '!A123:G307,7,FALSE)</f>
        <v>0</v>
      </c>
      <c r="H115" s="134">
        <v>0</v>
      </c>
      <c r="I115" s="134">
        <f>VLOOKUP(A115,'ESSA Title IV'!A123:G305,7,FALSE)</f>
        <v>0</v>
      </c>
      <c r="J115" s="134">
        <v>0</v>
      </c>
    </row>
    <row r="116" spans="1:10" ht="18.75" x14ac:dyDescent="0.3">
      <c r="A116" s="247" t="s">
        <v>118</v>
      </c>
      <c r="B116" s="55" t="s">
        <v>296</v>
      </c>
      <c r="C116" s="134">
        <f>VLOOKUP(A116,'ESSA Title I-A Formula'!A124:G306,7,FALSE)</f>
        <v>4</v>
      </c>
      <c r="D116" s="134">
        <v>0</v>
      </c>
      <c r="E116" s="134">
        <v>0</v>
      </c>
      <c r="F116" s="134">
        <f>VLOOKUP(A116,'ESSA Title II-A Formula'!A124:G306,7,FALSE)</f>
        <v>75</v>
      </c>
      <c r="G116" s="134">
        <f>VLOOKUP(A116,'ESSA Title III-ELL '!A124:G308,7,FALSE)</f>
        <v>0</v>
      </c>
      <c r="H116" s="134">
        <v>0</v>
      </c>
      <c r="I116" s="134">
        <f>VLOOKUP(A116,'ESSA Title IV'!A124:G306,7,FALSE)</f>
        <v>0</v>
      </c>
      <c r="J116" s="134">
        <v>0</v>
      </c>
    </row>
    <row r="117" spans="1:10" ht="18.75" x14ac:dyDescent="0.3">
      <c r="A117" s="247" t="s">
        <v>119</v>
      </c>
      <c r="B117" s="55" t="s">
        <v>297</v>
      </c>
      <c r="C117" s="134">
        <f>VLOOKUP(A117,'ESSA Title I-A Formula'!A125:G307,7,FALSE)</f>
        <v>136045.5</v>
      </c>
      <c r="D117" s="134">
        <v>0</v>
      </c>
      <c r="E117" s="134">
        <v>0</v>
      </c>
      <c r="F117" s="134">
        <f>VLOOKUP(A117,'ESSA Title II-A Formula'!A125:G307,7,FALSE)</f>
        <v>65202.090000000026</v>
      </c>
      <c r="G117" s="134">
        <f>VLOOKUP(A117,'ESSA Title III-ELL '!A125:G309,7,FALSE)</f>
        <v>48867.37</v>
      </c>
      <c r="H117" s="134">
        <v>0</v>
      </c>
      <c r="I117" s="134">
        <f>VLOOKUP(A117,'ESSA Title IV'!A125:G307,7,FALSE)</f>
        <v>36755.280000000006</v>
      </c>
      <c r="J117" s="134">
        <v>0</v>
      </c>
    </row>
    <row r="118" spans="1:10" ht="18.75" x14ac:dyDescent="0.3">
      <c r="A118" s="247" t="s">
        <v>120</v>
      </c>
      <c r="B118" s="55" t="s">
        <v>298</v>
      </c>
      <c r="C118" s="134">
        <f>VLOOKUP(A118,'ESSA Title I-A Formula'!A126:G308,7,FALSE)</f>
        <v>22586.199999999997</v>
      </c>
      <c r="D118" s="134">
        <v>0</v>
      </c>
      <c r="E118" s="134">
        <v>0</v>
      </c>
      <c r="F118" s="134">
        <f>VLOOKUP(A118,'ESSA Title II-A Formula'!A126:G308,7,FALSE)</f>
        <v>9163.26</v>
      </c>
      <c r="G118" s="134">
        <f>VLOOKUP(A118,'ESSA Title III-ELL '!A126:G310,7,FALSE)</f>
        <v>0</v>
      </c>
      <c r="H118" s="134">
        <v>0</v>
      </c>
      <c r="I118" s="134">
        <f>VLOOKUP(A118,'ESSA Title IV'!A126:G308,7,FALSE)</f>
        <v>1199.9500000000007</v>
      </c>
      <c r="J118" s="134">
        <v>0</v>
      </c>
    </row>
    <row r="119" spans="1:10" ht="18.75" x14ac:dyDescent="0.3">
      <c r="A119" s="247" t="s">
        <v>121</v>
      </c>
      <c r="B119" s="55" t="s">
        <v>299</v>
      </c>
      <c r="C119" s="134">
        <f>VLOOKUP(A119,'ESSA Title I-A Formula'!A127:G309,7,FALSE)</f>
        <v>0</v>
      </c>
      <c r="D119" s="134">
        <v>0</v>
      </c>
      <c r="E119" s="134">
        <v>0</v>
      </c>
      <c r="F119" s="134">
        <f>VLOOKUP(A119,'ESSA Title II-A Formula'!A127:G309,7,FALSE)</f>
        <v>0</v>
      </c>
      <c r="G119" s="134">
        <f>VLOOKUP(A119,'ESSA Title III-ELL '!A127:G311,7,FALSE)</f>
        <v>0</v>
      </c>
      <c r="H119" s="134">
        <v>0</v>
      </c>
      <c r="I119" s="134">
        <f>VLOOKUP(A119,'ESSA Title IV'!A127:G309,7,FALSE)</f>
        <v>0</v>
      </c>
      <c r="J119" s="134">
        <v>0</v>
      </c>
    </row>
    <row r="120" spans="1:10" ht="18.75" x14ac:dyDescent="0.3">
      <c r="A120" s="247" t="s">
        <v>122</v>
      </c>
      <c r="B120" s="55" t="s">
        <v>300</v>
      </c>
      <c r="C120" s="134">
        <f>VLOOKUP(A120,'ESSA Title I-A Formula'!A128:G310,7,FALSE)</f>
        <v>130746.28999999998</v>
      </c>
      <c r="D120" s="134">
        <v>0</v>
      </c>
      <c r="E120" s="134">
        <v>0</v>
      </c>
      <c r="F120" s="134">
        <f>VLOOKUP(A120,'ESSA Title II-A Formula'!A128:G310,7,FALSE)</f>
        <v>28995.42</v>
      </c>
      <c r="G120" s="134">
        <f>VLOOKUP(A120,'ESSA Title III-ELL '!A128:G312,7,FALSE)</f>
        <v>27544.589999999997</v>
      </c>
      <c r="H120" s="134">
        <v>0</v>
      </c>
      <c r="I120" s="134">
        <f>VLOOKUP(A120,'ESSA Title IV'!A128:G310,7,FALSE)</f>
        <v>0</v>
      </c>
      <c r="J120" s="134">
        <v>0</v>
      </c>
    </row>
    <row r="121" spans="1:10" ht="18.75" x14ac:dyDescent="0.3">
      <c r="A121" s="247" t="s">
        <v>123</v>
      </c>
      <c r="B121" s="55" t="s">
        <v>301</v>
      </c>
      <c r="C121" s="134">
        <f>VLOOKUP(A121,'ESSA Title I-A Formula'!A129:G311,7,FALSE)</f>
        <v>0</v>
      </c>
      <c r="D121" s="134">
        <v>0</v>
      </c>
      <c r="E121" s="134">
        <v>0</v>
      </c>
      <c r="F121" s="134">
        <f>VLOOKUP(A121,'ESSA Title II-A Formula'!A129:G311,7,FALSE)</f>
        <v>0</v>
      </c>
      <c r="G121" s="134">
        <f>VLOOKUP(A121,'ESSA Title III-ELL '!A129:G313,7,FALSE)</f>
        <v>0</v>
      </c>
      <c r="H121" s="134">
        <v>0</v>
      </c>
      <c r="I121" s="134">
        <f>VLOOKUP(A121,'ESSA Title IV'!A129:G311,7,FALSE)</f>
        <v>0</v>
      </c>
      <c r="J121" s="134">
        <v>0</v>
      </c>
    </row>
    <row r="122" spans="1:10" ht="18.75" x14ac:dyDescent="0.3">
      <c r="A122" s="247" t="s">
        <v>124</v>
      </c>
      <c r="B122" s="55" t="s">
        <v>302</v>
      </c>
      <c r="C122" s="134">
        <f>VLOOKUP(A122,'ESSA Title I-A Formula'!A130:G312,7,FALSE)</f>
        <v>0</v>
      </c>
      <c r="D122" s="134">
        <v>0</v>
      </c>
      <c r="E122" s="134">
        <v>0</v>
      </c>
      <c r="F122" s="134">
        <f>VLOOKUP(A122,'ESSA Title II-A Formula'!A130:G312,7,FALSE)</f>
        <v>0</v>
      </c>
      <c r="G122" s="134">
        <f>VLOOKUP(A122,'ESSA Title III-ELL '!A130:G314,7,FALSE)</f>
        <v>0</v>
      </c>
      <c r="H122" s="134">
        <v>0</v>
      </c>
      <c r="I122" s="134">
        <f>VLOOKUP(A122,'ESSA Title IV'!A130:G312,7,FALSE)</f>
        <v>0</v>
      </c>
      <c r="J122" s="134">
        <v>0</v>
      </c>
    </row>
    <row r="123" spans="1:10" ht="18.75" x14ac:dyDescent="0.3">
      <c r="A123" s="247" t="s">
        <v>125</v>
      </c>
      <c r="B123" s="55" t="s">
        <v>303</v>
      </c>
      <c r="C123" s="134">
        <f>VLOOKUP(A123,'ESSA Title I-A Formula'!A131:G313,7,FALSE)</f>
        <v>270115.16999999993</v>
      </c>
      <c r="D123" s="134">
        <v>0</v>
      </c>
      <c r="E123" s="134">
        <v>0</v>
      </c>
      <c r="F123" s="134">
        <f>VLOOKUP(A123,'ESSA Title II-A Formula'!A131:G313,7,FALSE)</f>
        <v>20120.199999999997</v>
      </c>
      <c r="G123" s="134">
        <f>VLOOKUP(A123,'ESSA Title III-ELL '!A131:G315,7,FALSE)</f>
        <v>0</v>
      </c>
      <c r="H123" s="134">
        <v>0</v>
      </c>
      <c r="I123" s="134">
        <f>VLOOKUP(A123,'ESSA Title IV'!A131:G313,7,FALSE)</f>
        <v>43224</v>
      </c>
      <c r="J123" s="134">
        <f>VLOOKUP(A123,'ESSA Title V-B'!$A$12:$G$29,7,FALSE)</f>
        <v>34429</v>
      </c>
    </row>
    <row r="124" spans="1:10" ht="18.75" x14ac:dyDescent="0.3">
      <c r="A124" s="247" t="s">
        <v>126</v>
      </c>
      <c r="B124" s="55" t="s">
        <v>304</v>
      </c>
      <c r="C124" s="134">
        <f>VLOOKUP(A124,'ESSA Title I-A Formula'!A132:G314,7,FALSE)</f>
        <v>209674</v>
      </c>
      <c r="D124" s="134">
        <v>0</v>
      </c>
      <c r="E124" s="134">
        <v>0</v>
      </c>
      <c r="F124" s="134">
        <f>VLOOKUP(A124,'ESSA Title II-A Formula'!A132:G314,7,FALSE)</f>
        <v>44837.81</v>
      </c>
      <c r="G124" s="134">
        <f>VLOOKUP(A124,'ESSA Title III-ELL '!A132:G316,7,FALSE)</f>
        <v>0</v>
      </c>
      <c r="H124" s="134">
        <f>'ESSA Title III SAI'!G21</f>
        <v>11976</v>
      </c>
      <c r="I124" s="134">
        <f>VLOOKUP(A124,'ESSA Title IV'!A132:G314,7,FALSE)</f>
        <v>17257.68</v>
      </c>
      <c r="J124" s="134">
        <f>VLOOKUP(A124,'ESSA Title V-B'!$A$12:$G$29,7,FALSE)</f>
        <v>17989</v>
      </c>
    </row>
    <row r="125" spans="1:10" ht="18.75" x14ac:dyDescent="0.3">
      <c r="A125" s="247" t="s">
        <v>127</v>
      </c>
      <c r="B125" s="55" t="s">
        <v>305</v>
      </c>
      <c r="C125" s="134">
        <f>VLOOKUP(A125,'ESSA Title I-A Formula'!A133:G315,7,FALSE)</f>
        <v>0</v>
      </c>
      <c r="D125" s="134">
        <v>0</v>
      </c>
      <c r="E125" s="134">
        <v>0</v>
      </c>
      <c r="F125" s="134">
        <f>VLOOKUP(A125,'ESSA Title II-A Formula'!A133:G315,7,FALSE)</f>
        <v>0</v>
      </c>
      <c r="G125" s="134">
        <f>VLOOKUP(A125,'ESSA Title III-ELL '!A133:G317,7,FALSE)</f>
        <v>0</v>
      </c>
      <c r="H125" s="134">
        <v>0</v>
      </c>
      <c r="I125" s="134">
        <f>VLOOKUP(A125,'ESSA Title IV'!A133:G315,7,FALSE)</f>
        <v>0</v>
      </c>
      <c r="J125" s="134">
        <v>0</v>
      </c>
    </row>
    <row r="126" spans="1:10" ht="18.75" x14ac:dyDescent="0.3">
      <c r="A126" s="247" t="s">
        <v>128</v>
      </c>
      <c r="B126" s="55" t="s">
        <v>306</v>
      </c>
      <c r="C126" s="134">
        <f>VLOOKUP(A126,'ESSA Title I-A Formula'!A134:G316,7,FALSE)</f>
        <v>41878.89</v>
      </c>
      <c r="D126" s="134">
        <v>0</v>
      </c>
      <c r="E126" s="134">
        <v>0</v>
      </c>
      <c r="F126" s="134">
        <f>VLOOKUP(A126,'ESSA Title II-A Formula'!A134:G316,7,FALSE)</f>
        <v>75</v>
      </c>
      <c r="G126" s="134">
        <f>VLOOKUP(A126,'ESSA Title III-ELL '!A134:G318,7,FALSE)</f>
        <v>0</v>
      </c>
      <c r="H126" s="134">
        <v>0</v>
      </c>
      <c r="I126" s="134">
        <f>VLOOKUP(A126,'ESSA Title IV'!A134:G316,7,FALSE)</f>
        <v>0</v>
      </c>
      <c r="J126" s="134">
        <v>0</v>
      </c>
    </row>
    <row r="127" spans="1:10" ht="18.75" x14ac:dyDescent="0.3">
      <c r="A127" s="247" t="s">
        <v>129</v>
      </c>
      <c r="B127" s="55" t="s">
        <v>307</v>
      </c>
      <c r="C127" s="134">
        <f>VLOOKUP(A127,'ESSA Title I-A Formula'!A135:G317,7,FALSE)</f>
        <v>0</v>
      </c>
      <c r="D127" s="134">
        <v>0</v>
      </c>
      <c r="E127" s="134">
        <v>0</v>
      </c>
      <c r="F127" s="134">
        <f>VLOOKUP(A127,'ESSA Title II-A Formula'!A135:G317,7,FALSE)</f>
        <v>0</v>
      </c>
      <c r="G127" s="134">
        <f>VLOOKUP(A127,'ESSA Title III-ELL '!A135:G319,7,FALSE)</f>
        <v>0</v>
      </c>
      <c r="H127" s="134">
        <v>0</v>
      </c>
      <c r="I127" s="134">
        <f>VLOOKUP(A127,'ESSA Title IV'!A135:G317,7,FALSE)</f>
        <v>0</v>
      </c>
      <c r="J127" s="134">
        <v>0</v>
      </c>
    </row>
    <row r="128" spans="1:10" ht="18.75" x14ac:dyDescent="0.3">
      <c r="A128" s="247" t="s">
        <v>130</v>
      </c>
      <c r="B128" s="55" t="s">
        <v>308</v>
      </c>
      <c r="C128" s="134">
        <f>VLOOKUP(A128,'ESSA Title I-A Formula'!A136:G318,7,FALSE)</f>
        <v>1</v>
      </c>
      <c r="D128" s="134">
        <v>0</v>
      </c>
      <c r="E128" s="134">
        <v>0</v>
      </c>
      <c r="F128" s="134">
        <f>VLOOKUP(A128,'ESSA Title II-A Formula'!A136:G318,7,FALSE)</f>
        <v>0</v>
      </c>
      <c r="G128" s="134">
        <f>VLOOKUP(A128,'ESSA Title III-ELL '!A136:G320,7,FALSE)</f>
        <v>0</v>
      </c>
      <c r="H128" s="134">
        <v>0</v>
      </c>
      <c r="I128" s="134">
        <f>VLOOKUP(A128,'ESSA Title IV'!A136:G318,7,FALSE)</f>
        <v>0</v>
      </c>
      <c r="J128" s="134">
        <v>0</v>
      </c>
    </row>
    <row r="129" spans="1:10" ht="18.75" x14ac:dyDescent="0.3">
      <c r="A129" s="247" t="s">
        <v>131</v>
      </c>
      <c r="B129" s="55" t="s">
        <v>309</v>
      </c>
      <c r="C129" s="134">
        <f>VLOOKUP(A129,'ESSA Title I-A Formula'!A137:G319,7,FALSE)</f>
        <v>19036</v>
      </c>
      <c r="D129" s="134">
        <v>0</v>
      </c>
      <c r="E129" s="134">
        <v>0</v>
      </c>
      <c r="F129" s="134">
        <f>VLOOKUP(A129,'ESSA Title II-A Formula'!A137:G319,7,FALSE)</f>
        <v>4073</v>
      </c>
      <c r="G129" s="134">
        <f>VLOOKUP(A129,'ESSA Title III-ELL '!A137:G321,7,FALSE)</f>
        <v>0</v>
      </c>
      <c r="H129" s="134">
        <f>'ESSA Title III SAI'!G22</f>
        <v>0</v>
      </c>
      <c r="I129" s="134">
        <f>VLOOKUP(A129,'ESSA Title IV'!A137:G319,7,FALSE)</f>
        <v>10000</v>
      </c>
      <c r="J129" s="134">
        <v>0</v>
      </c>
    </row>
    <row r="130" spans="1:10" ht="18.75" x14ac:dyDescent="0.3">
      <c r="A130" s="247" t="s">
        <v>132</v>
      </c>
      <c r="B130" s="55" t="s">
        <v>310</v>
      </c>
      <c r="C130" s="134">
        <f>VLOOKUP(A130,'ESSA Title I-A Formula'!A138:G320,7,FALSE)</f>
        <v>0</v>
      </c>
      <c r="D130" s="134">
        <v>0</v>
      </c>
      <c r="E130" s="134">
        <v>0</v>
      </c>
      <c r="F130" s="134">
        <f>VLOOKUP(A130,'ESSA Title II-A Formula'!A138:G320,7,FALSE)</f>
        <v>238</v>
      </c>
      <c r="G130" s="134">
        <f>VLOOKUP(A130,'ESSA Title III-ELL '!A138:G322,7,FALSE)</f>
        <v>0</v>
      </c>
      <c r="H130" s="134">
        <v>0</v>
      </c>
      <c r="I130" s="134">
        <f>VLOOKUP(A130,'ESSA Title IV'!A138:G320,7,FALSE)</f>
        <v>0</v>
      </c>
      <c r="J130" s="134">
        <v>0</v>
      </c>
    </row>
    <row r="131" spans="1:10" ht="18.75" x14ac:dyDescent="0.3">
      <c r="A131" s="247" t="s">
        <v>133</v>
      </c>
      <c r="B131" s="55" t="s">
        <v>311</v>
      </c>
      <c r="C131" s="134">
        <f>VLOOKUP(A131,'ESSA Title I-A Formula'!A139:G321,7,FALSE)</f>
        <v>0</v>
      </c>
      <c r="D131" s="134">
        <v>0</v>
      </c>
      <c r="E131" s="134">
        <v>0</v>
      </c>
      <c r="F131" s="134">
        <f>VLOOKUP(A131,'ESSA Title II-A Formula'!A139:G321,7,FALSE)</f>
        <v>0</v>
      </c>
      <c r="G131" s="134">
        <f>VLOOKUP(A131,'ESSA Title III-ELL '!A139:G323,7,FALSE)</f>
        <v>0</v>
      </c>
      <c r="H131" s="134">
        <v>0</v>
      </c>
      <c r="I131" s="134">
        <f>VLOOKUP(A131,'ESSA Title IV'!A139:G321,7,FALSE)</f>
        <v>0</v>
      </c>
      <c r="J131" s="134">
        <v>0</v>
      </c>
    </row>
    <row r="132" spans="1:10" ht="18.75" x14ac:dyDescent="0.3">
      <c r="A132" s="247" t="s">
        <v>134</v>
      </c>
      <c r="B132" s="55" t="s">
        <v>312</v>
      </c>
      <c r="C132" s="134">
        <f>VLOOKUP(A132,'ESSA Title I-A Formula'!A140:G322,7,FALSE)</f>
        <v>27</v>
      </c>
      <c r="D132" s="134">
        <v>0</v>
      </c>
      <c r="E132" s="134">
        <v>0</v>
      </c>
      <c r="F132" s="134">
        <f>VLOOKUP(A132,'ESSA Title II-A Formula'!A140:G322,7,FALSE)</f>
        <v>0</v>
      </c>
      <c r="G132" s="134">
        <f>VLOOKUP(A132,'ESSA Title III-ELL '!A140:G324,7,FALSE)</f>
        <v>0</v>
      </c>
      <c r="H132" s="134">
        <v>0</v>
      </c>
      <c r="I132" s="134">
        <f>VLOOKUP(A132,'ESSA Title IV'!A140:G322,7,FALSE)</f>
        <v>0</v>
      </c>
      <c r="J132" s="134">
        <v>0</v>
      </c>
    </row>
    <row r="133" spans="1:10" ht="18.75" x14ac:dyDescent="0.3">
      <c r="A133" s="247" t="s">
        <v>135</v>
      </c>
      <c r="B133" s="55" t="s">
        <v>313</v>
      </c>
      <c r="C133" s="134">
        <f>VLOOKUP(A133,'ESSA Title I-A Formula'!A141:G323,7,FALSE)</f>
        <v>4249</v>
      </c>
      <c r="D133" s="134">
        <v>0</v>
      </c>
      <c r="E133" s="134">
        <v>0</v>
      </c>
      <c r="F133" s="134">
        <f>VLOOKUP(A133,'ESSA Title II-A Formula'!A141:G323,7,FALSE)</f>
        <v>906</v>
      </c>
      <c r="G133" s="134">
        <f>VLOOKUP(A133,'ESSA Title III-ELL '!A141:G325,7,FALSE)</f>
        <v>0</v>
      </c>
      <c r="H133" s="134">
        <v>0</v>
      </c>
      <c r="I133" s="134">
        <f>VLOOKUP(A133,'ESSA Title IV'!A141:G323,7,FALSE)</f>
        <v>450</v>
      </c>
      <c r="J133" s="134">
        <v>0</v>
      </c>
    </row>
    <row r="134" spans="1:10" ht="18.75" x14ac:dyDescent="0.3">
      <c r="A134" s="247" t="s">
        <v>136</v>
      </c>
      <c r="B134" s="55" t="s">
        <v>314</v>
      </c>
      <c r="C134" s="134">
        <f>VLOOKUP(A134,'ESSA Title I-A Formula'!A142:G324,7,FALSE)</f>
        <v>0</v>
      </c>
      <c r="D134" s="134">
        <v>0</v>
      </c>
      <c r="E134" s="134">
        <v>0</v>
      </c>
      <c r="F134" s="134">
        <f>VLOOKUP(A134,'ESSA Title II-A Formula'!A142:G324,7,FALSE)</f>
        <v>0</v>
      </c>
      <c r="G134" s="134">
        <f>VLOOKUP(A134,'ESSA Title III-ELL '!A142:G326,7,FALSE)</f>
        <v>0</v>
      </c>
      <c r="H134" s="134">
        <v>0</v>
      </c>
      <c r="I134" s="134">
        <f>VLOOKUP(A134,'ESSA Title IV'!A142:G324,7,FALSE)</f>
        <v>0</v>
      </c>
      <c r="J134" s="134">
        <v>0</v>
      </c>
    </row>
    <row r="135" spans="1:10" ht="18.75" x14ac:dyDescent="0.3">
      <c r="A135" s="247" t="s">
        <v>137</v>
      </c>
      <c r="B135" s="55" t="s">
        <v>315</v>
      </c>
      <c r="C135" s="134">
        <f>VLOOKUP(A135,'ESSA Title I-A Formula'!A143:G325,7,FALSE)</f>
        <v>28767</v>
      </c>
      <c r="D135" s="134">
        <v>0</v>
      </c>
      <c r="E135" s="134">
        <v>0</v>
      </c>
      <c r="F135" s="134">
        <f>VLOOKUP(A135,'ESSA Title II-A Formula'!A143:G325,7,FALSE)</f>
        <v>15289</v>
      </c>
      <c r="G135" s="134">
        <f>VLOOKUP(A135,'ESSA Title III-ELL '!A143:G327,7,FALSE)</f>
        <v>0</v>
      </c>
      <c r="H135" s="134">
        <v>0</v>
      </c>
      <c r="I135" s="134">
        <f>VLOOKUP(A135,'ESSA Title IV'!A143:G325,7,FALSE)</f>
        <v>10000</v>
      </c>
      <c r="J135" s="134">
        <v>0</v>
      </c>
    </row>
    <row r="136" spans="1:10" ht="18.75" x14ac:dyDescent="0.3">
      <c r="A136" s="247" t="s">
        <v>138</v>
      </c>
      <c r="B136" s="55" t="s">
        <v>316</v>
      </c>
      <c r="C136" s="134">
        <f>VLOOKUP(A136,'ESSA Title I-A Formula'!A144:G326,7,FALSE)</f>
        <v>35180</v>
      </c>
      <c r="D136" s="134">
        <v>0</v>
      </c>
      <c r="E136" s="134">
        <v>0</v>
      </c>
      <c r="F136" s="134">
        <f>VLOOKUP(A136,'ESSA Title II-A Formula'!A144:G326,7,FALSE)</f>
        <v>5409</v>
      </c>
      <c r="G136" s="134">
        <f>VLOOKUP(A136,'ESSA Title III-ELL '!A144:G328,7,FALSE)</f>
        <v>0</v>
      </c>
      <c r="H136" s="134">
        <v>0</v>
      </c>
      <c r="I136" s="134">
        <f>VLOOKUP(A136,'ESSA Title IV'!A144:G326,7,FALSE)</f>
        <v>5000</v>
      </c>
      <c r="J136" s="134">
        <v>0</v>
      </c>
    </row>
    <row r="137" spans="1:10" ht="18.75" x14ac:dyDescent="0.3">
      <c r="A137" s="247" t="s">
        <v>139</v>
      </c>
      <c r="B137" s="55" t="s">
        <v>317</v>
      </c>
      <c r="C137" s="134">
        <f>VLOOKUP(A137,'ESSA Title I-A Formula'!A145:G327,7,FALSE)</f>
        <v>10287</v>
      </c>
      <c r="D137" s="134">
        <v>0</v>
      </c>
      <c r="E137" s="134">
        <v>0</v>
      </c>
      <c r="F137" s="134">
        <f>VLOOKUP(A137,'ESSA Title II-A Formula'!A145:G327,7,FALSE)</f>
        <v>1425</v>
      </c>
      <c r="G137" s="134">
        <f>VLOOKUP(A137,'ESSA Title III-ELL '!A145:G329,7,FALSE)</f>
        <v>0</v>
      </c>
      <c r="H137" s="134">
        <v>0</v>
      </c>
      <c r="I137" s="134">
        <f>VLOOKUP(A137,'ESSA Title IV'!A145:G327,7,FALSE)</f>
        <v>6667</v>
      </c>
      <c r="J137" s="134">
        <f>VLOOKUP(A137,'ESSA Title V-B'!$A$12:$G$29,7,FALSE)</f>
        <v>9268</v>
      </c>
    </row>
    <row r="138" spans="1:10" ht="18.75" x14ac:dyDescent="0.3">
      <c r="A138" s="247" t="s">
        <v>140</v>
      </c>
      <c r="B138" s="55" t="s">
        <v>318</v>
      </c>
      <c r="C138" s="134">
        <f>VLOOKUP(A138,'ESSA Title I-A Formula'!A146:G328,7,FALSE)</f>
        <v>9</v>
      </c>
      <c r="D138" s="134">
        <v>0</v>
      </c>
      <c r="E138" s="134">
        <v>0</v>
      </c>
      <c r="F138" s="134">
        <f>VLOOKUP(A138,'ESSA Title II-A Formula'!A146:G328,7,FALSE)</f>
        <v>101</v>
      </c>
      <c r="G138" s="134">
        <f>VLOOKUP(A138,'ESSA Title III-ELL '!A146:G330,7,FALSE)</f>
        <v>0</v>
      </c>
      <c r="H138" s="134">
        <v>0</v>
      </c>
      <c r="I138" s="134">
        <f>VLOOKUP(A138,'ESSA Title IV'!A146:G328,7,FALSE)</f>
        <v>0</v>
      </c>
      <c r="J138" s="134">
        <v>0</v>
      </c>
    </row>
    <row r="139" spans="1:10" ht="18.75" x14ac:dyDescent="0.3">
      <c r="A139" s="247" t="s">
        <v>141</v>
      </c>
      <c r="B139" s="55" t="s">
        <v>319</v>
      </c>
      <c r="C139" s="134">
        <f>VLOOKUP(A139,'ESSA Title I-A Formula'!A147:G329,7,FALSE)</f>
        <v>48942</v>
      </c>
      <c r="D139" s="134">
        <v>0</v>
      </c>
      <c r="E139" s="134">
        <v>0</v>
      </c>
      <c r="F139" s="134">
        <f>VLOOKUP(A139,'ESSA Title II-A Formula'!A147:G329,7,FALSE)</f>
        <v>8260</v>
      </c>
      <c r="G139" s="134">
        <f>VLOOKUP(A139,'ESSA Title III-ELL '!A147:G331,7,FALSE)</f>
        <v>0</v>
      </c>
      <c r="H139" s="134">
        <v>0</v>
      </c>
      <c r="I139" s="134">
        <f>VLOOKUP(A139,'ESSA Title IV'!A147:G329,7,FALSE)</f>
        <v>10000</v>
      </c>
      <c r="J139" s="134">
        <v>0</v>
      </c>
    </row>
    <row r="140" spans="1:10" ht="18.75" x14ac:dyDescent="0.3">
      <c r="A140" s="247" t="s">
        <v>142</v>
      </c>
      <c r="B140" s="55" t="s">
        <v>320</v>
      </c>
      <c r="C140" s="134">
        <f>VLOOKUP(A140,'ESSA Title I-A Formula'!A148:G330,7,FALSE)</f>
        <v>1345669.9400000004</v>
      </c>
      <c r="D140" s="134">
        <v>0</v>
      </c>
      <c r="E140" s="134">
        <v>0</v>
      </c>
      <c r="F140" s="134">
        <f>VLOOKUP(A140,'ESSA Title II-A Formula'!A148:G330,7,FALSE)</f>
        <v>558602.71</v>
      </c>
      <c r="G140" s="134">
        <f>VLOOKUP(A140,'ESSA Title III-ELL '!A148:G332,7,FALSE)</f>
        <v>12254.169999999998</v>
      </c>
      <c r="H140" s="134">
        <v>0</v>
      </c>
      <c r="I140" s="134">
        <f>VLOOKUP(A140,'ESSA Title IV'!A148:G330,7,FALSE)</f>
        <v>174266.13</v>
      </c>
      <c r="J140" s="134">
        <v>0</v>
      </c>
    </row>
    <row r="141" spans="1:10" ht="18.75" x14ac:dyDescent="0.3">
      <c r="A141" s="247" t="s">
        <v>143</v>
      </c>
      <c r="B141" s="55" t="s">
        <v>321</v>
      </c>
      <c r="C141" s="134">
        <f>VLOOKUP(A141,'ESSA Title I-A Formula'!A149:G331,7,FALSE)</f>
        <v>417747.99</v>
      </c>
      <c r="D141" s="134">
        <v>0</v>
      </c>
      <c r="E141" s="134">
        <v>0</v>
      </c>
      <c r="F141" s="134">
        <f>VLOOKUP(A141,'ESSA Title II-A Formula'!A149:G331,7,FALSE)</f>
        <v>88737.420000000013</v>
      </c>
      <c r="G141" s="134">
        <f>VLOOKUP(A141,'ESSA Title III-ELL '!A149:G333,7,FALSE)</f>
        <v>142.09999999999854</v>
      </c>
      <c r="H141" s="134">
        <f>'ESSA Title III SAI'!G23</f>
        <v>0</v>
      </c>
      <c r="I141" s="134">
        <f>VLOOKUP(A141,'ESSA Title IV'!A149:G331,7,FALSE)</f>
        <v>10929.07</v>
      </c>
      <c r="J141" s="134">
        <v>0</v>
      </c>
    </row>
    <row r="142" spans="1:10" ht="18.75" x14ac:dyDescent="0.3">
      <c r="A142" s="247" t="s">
        <v>144</v>
      </c>
      <c r="B142" s="55" t="s">
        <v>322</v>
      </c>
      <c r="C142" s="134">
        <f>VLOOKUP(A142,'ESSA Title I-A Formula'!A150:G332,7,FALSE)</f>
        <v>0</v>
      </c>
      <c r="D142" s="134">
        <v>0</v>
      </c>
      <c r="E142" s="134">
        <v>0</v>
      </c>
      <c r="F142" s="134">
        <f>VLOOKUP(A142,'ESSA Title II-A Formula'!A150:G332,7,FALSE)</f>
        <v>0</v>
      </c>
      <c r="G142" s="134">
        <f>VLOOKUP(A142,'ESSA Title III-ELL '!A150:G334,7,FALSE)</f>
        <v>0</v>
      </c>
      <c r="H142" s="134">
        <v>0</v>
      </c>
      <c r="I142" s="134">
        <f>VLOOKUP(A142,'ESSA Title IV'!A150:G332,7,FALSE)</f>
        <v>0</v>
      </c>
      <c r="J142" s="134">
        <v>0</v>
      </c>
    </row>
    <row r="143" spans="1:10" ht="18.75" x14ac:dyDescent="0.3">
      <c r="A143" s="247" t="s">
        <v>145</v>
      </c>
      <c r="B143" s="55" t="s">
        <v>323</v>
      </c>
      <c r="C143" s="134">
        <f>VLOOKUP(A143,'ESSA Title I-A Formula'!A151:G333,7,FALSE)</f>
        <v>0</v>
      </c>
      <c r="D143" s="134">
        <v>0</v>
      </c>
      <c r="E143" s="134">
        <v>0</v>
      </c>
      <c r="F143" s="134">
        <f>VLOOKUP(A143,'ESSA Title II-A Formula'!A151:G333,7,FALSE)</f>
        <v>0</v>
      </c>
      <c r="G143" s="134">
        <f>VLOOKUP(A143,'ESSA Title III-ELL '!A151:G335,7,FALSE)</f>
        <v>0</v>
      </c>
      <c r="H143" s="134">
        <v>0</v>
      </c>
      <c r="I143" s="134">
        <f>VLOOKUP(A143,'ESSA Title IV'!A151:G333,7,FALSE)</f>
        <v>0</v>
      </c>
      <c r="J143" s="134">
        <v>0</v>
      </c>
    </row>
    <row r="144" spans="1:10" ht="18.75" x14ac:dyDescent="0.3">
      <c r="A144" s="247" t="s">
        <v>146</v>
      </c>
      <c r="B144" s="55" t="s">
        <v>324</v>
      </c>
      <c r="C144" s="134">
        <f>VLOOKUP(A144,'ESSA Title I-A Formula'!A152:G334,7,FALSE)</f>
        <v>21992.5</v>
      </c>
      <c r="D144" s="134">
        <v>0</v>
      </c>
      <c r="E144" s="134">
        <v>0</v>
      </c>
      <c r="F144" s="134">
        <f>VLOOKUP(A144,'ESSA Title II-A Formula'!A152:G334,7,FALSE)</f>
        <v>0</v>
      </c>
      <c r="G144" s="134">
        <f>VLOOKUP(A144,'ESSA Title III-ELL '!A152:G336,7,FALSE)</f>
        <v>0</v>
      </c>
      <c r="H144" s="134">
        <v>0</v>
      </c>
      <c r="I144" s="134">
        <f>VLOOKUP(A144,'ESSA Title IV'!A152:G334,7,FALSE)</f>
        <v>5884.67</v>
      </c>
      <c r="J144" s="134">
        <v>0</v>
      </c>
    </row>
    <row r="145" spans="1:10" ht="18.75" x14ac:dyDescent="0.3">
      <c r="A145" s="247" t="s">
        <v>147</v>
      </c>
      <c r="B145" s="55" t="s">
        <v>325</v>
      </c>
      <c r="C145" s="134">
        <f>VLOOKUP(A145,'ESSA Title I-A Formula'!A153:G335,7,FALSE)</f>
        <v>38898</v>
      </c>
      <c r="D145" s="134">
        <v>0</v>
      </c>
      <c r="E145" s="134">
        <v>0</v>
      </c>
      <c r="F145" s="134">
        <f>VLOOKUP(A145,'ESSA Title II-A Formula'!A153:G335,7,FALSE)</f>
        <v>887</v>
      </c>
      <c r="G145" s="134">
        <f>VLOOKUP(A145,'ESSA Title III-ELL '!A153:G337,7,FALSE)</f>
        <v>0</v>
      </c>
      <c r="H145" s="134">
        <v>0</v>
      </c>
      <c r="I145" s="134">
        <f>VLOOKUP(A145,'ESSA Title IV'!A153:G335,7,FALSE)</f>
        <v>6118</v>
      </c>
      <c r="J145" s="134">
        <f>VLOOKUP(A145,'ESSA Title V-B'!$A$12:$G$29,7,FALSE)</f>
        <v>514</v>
      </c>
    </row>
    <row r="146" spans="1:10" ht="18.75" x14ac:dyDescent="0.3">
      <c r="A146" s="247" t="s">
        <v>148</v>
      </c>
      <c r="B146" s="55" t="s">
        <v>326</v>
      </c>
      <c r="C146" s="134">
        <f>VLOOKUP(A146,'ESSA Title I-A Formula'!A154:G336,7,FALSE)</f>
        <v>0</v>
      </c>
      <c r="D146" s="134">
        <v>0</v>
      </c>
      <c r="E146" s="134">
        <v>0</v>
      </c>
      <c r="F146" s="134">
        <f>VLOOKUP(A146,'ESSA Title II-A Formula'!A154:G336,7,FALSE)</f>
        <v>6223</v>
      </c>
      <c r="G146" s="134">
        <f>VLOOKUP(A146,'ESSA Title III-ELL '!A154:G338,7,FALSE)</f>
        <v>0</v>
      </c>
      <c r="H146" s="134">
        <v>0</v>
      </c>
      <c r="I146" s="134">
        <f>VLOOKUP(A146,'ESSA Title IV'!A154:G336,7,FALSE)</f>
        <v>1746</v>
      </c>
      <c r="J146" s="134">
        <v>0</v>
      </c>
    </row>
    <row r="147" spans="1:10" ht="18.75" x14ac:dyDescent="0.3">
      <c r="A147" s="247" t="s">
        <v>149</v>
      </c>
      <c r="B147" s="55" t="s">
        <v>327</v>
      </c>
      <c r="C147" s="134">
        <f>VLOOKUP(A147,'ESSA Title I-A Formula'!A155:G337,7,FALSE)</f>
        <v>0</v>
      </c>
      <c r="D147" s="134">
        <v>0</v>
      </c>
      <c r="E147" s="134">
        <v>0</v>
      </c>
      <c r="F147" s="134">
        <f>VLOOKUP(A147,'ESSA Title II-A Formula'!A155:G337,7,FALSE)</f>
        <v>3991</v>
      </c>
      <c r="G147" s="134">
        <f>VLOOKUP(A147,'ESSA Title III-ELL '!A155:G339,7,FALSE)</f>
        <v>0</v>
      </c>
      <c r="H147" s="134">
        <v>0</v>
      </c>
      <c r="I147" s="134">
        <f>VLOOKUP(A147,'ESSA Title IV'!A155:G337,7,FALSE)</f>
        <v>0</v>
      </c>
      <c r="J147" s="134">
        <v>0</v>
      </c>
    </row>
    <row r="148" spans="1:10" ht="18.75" x14ac:dyDescent="0.3">
      <c r="A148" s="247" t="s">
        <v>150</v>
      </c>
      <c r="B148" s="55" t="s">
        <v>328</v>
      </c>
      <c r="C148" s="134">
        <f>VLOOKUP(A148,'ESSA Title I-A Formula'!A156:G338,7,FALSE)</f>
        <v>0</v>
      </c>
      <c r="D148" s="134">
        <v>0</v>
      </c>
      <c r="E148" s="134">
        <v>0</v>
      </c>
      <c r="F148" s="134">
        <f>VLOOKUP(A148,'ESSA Title II-A Formula'!A156:G338,7,FALSE)</f>
        <v>0</v>
      </c>
      <c r="G148" s="134">
        <f>VLOOKUP(A148,'ESSA Title III-ELL '!A156:G340,7,FALSE)</f>
        <v>897</v>
      </c>
      <c r="H148" s="134">
        <f>'ESSA Title III SAI'!G24</f>
        <v>0</v>
      </c>
      <c r="I148" s="134">
        <f>VLOOKUP(A148,'ESSA Title IV'!A156:G338,7,FALSE)</f>
        <v>0</v>
      </c>
      <c r="J148" s="134">
        <v>0</v>
      </c>
    </row>
    <row r="149" spans="1:10" ht="18.75" x14ac:dyDescent="0.3">
      <c r="A149" s="247" t="s">
        <v>151</v>
      </c>
      <c r="B149" s="55" t="s">
        <v>329</v>
      </c>
      <c r="C149" s="134">
        <f>VLOOKUP(A149,'ESSA Title I-A Formula'!A157:G339,7,FALSE)</f>
        <v>3343.5599999999977</v>
      </c>
      <c r="D149" s="134">
        <v>0</v>
      </c>
      <c r="E149" s="134">
        <v>0</v>
      </c>
      <c r="F149" s="134">
        <f>VLOOKUP(A149,'ESSA Title II-A Formula'!A157:G339,7,FALSE)</f>
        <v>4775</v>
      </c>
      <c r="G149" s="134">
        <f>VLOOKUP(A149,'ESSA Title III-ELL '!A157:G341,7,FALSE)</f>
        <v>0</v>
      </c>
      <c r="H149" s="134">
        <v>0</v>
      </c>
      <c r="I149" s="134">
        <f>VLOOKUP(A149,'ESSA Title IV'!A157:G339,7,FALSE)</f>
        <v>10000</v>
      </c>
      <c r="J149" s="134">
        <v>0</v>
      </c>
    </row>
    <row r="150" spans="1:10" ht="18.75" x14ac:dyDescent="0.3">
      <c r="A150" s="247" t="s">
        <v>152</v>
      </c>
      <c r="B150" s="55" t="s">
        <v>330</v>
      </c>
      <c r="C150" s="134">
        <f>VLOOKUP(A150,'ESSA Title I-A Formula'!A158:G340,7,FALSE)</f>
        <v>0</v>
      </c>
      <c r="D150" s="134">
        <v>0</v>
      </c>
      <c r="E150" s="134">
        <v>0</v>
      </c>
      <c r="F150" s="134">
        <f>VLOOKUP(A150,'ESSA Title II-A Formula'!A158:G340,7,FALSE)</f>
        <v>0</v>
      </c>
      <c r="G150" s="134">
        <f>VLOOKUP(A150,'ESSA Title III-ELL '!A158:G342,7,FALSE)</f>
        <v>0</v>
      </c>
      <c r="H150" s="134">
        <v>0</v>
      </c>
      <c r="I150" s="134">
        <f>VLOOKUP(A150,'ESSA Title IV'!A158:G340,7,FALSE)</f>
        <v>0</v>
      </c>
      <c r="J150" s="134">
        <v>0</v>
      </c>
    </row>
    <row r="151" spans="1:10" ht="18.75" x14ac:dyDescent="0.3">
      <c r="A151" s="247" t="s">
        <v>153</v>
      </c>
      <c r="B151" s="55" t="s">
        <v>331</v>
      </c>
      <c r="C151" s="134">
        <f>VLOOKUP(A151,'ESSA Title I-A Formula'!A159:G341,7,FALSE)</f>
        <v>40050.97</v>
      </c>
      <c r="D151" s="134">
        <v>0</v>
      </c>
      <c r="E151" s="134">
        <v>0</v>
      </c>
      <c r="F151" s="134">
        <f>VLOOKUP(A151,'ESSA Title II-A Formula'!A159:G341,7,FALSE)</f>
        <v>18555</v>
      </c>
      <c r="G151" s="134">
        <f>VLOOKUP(A151,'ESSA Title III-ELL '!A159:G343,7,FALSE)</f>
        <v>0</v>
      </c>
      <c r="H151" s="134">
        <v>0</v>
      </c>
      <c r="I151" s="134">
        <f>VLOOKUP(A151,'ESSA Title IV'!A159:G341,7,FALSE)</f>
        <v>6685.5599999999995</v>
      </c>
      <c r="J151" s="134">
        <v>0</v>
      </c>
    </row>
    <row r="152" spans="1:10" ht="18.75" x14ac:dyDescent="0.3">
      <c r="A152" s="247" t="s">
        <v>154</v>
      </c>
      <c r="B152" s="55" t="s">
        <v>332</v>
      </c>
      <c r="C152" s="134">
        <f>VLOOKUP(A152,'ESSA Title I-A Formula'!A160:G342,7,FALSE)</f>
        <v>0.14000000001396984</v>
      </c>
      <c r="D152" s="134">
        <v>0</v>
      </c>
      <c r="E152" s="134">
        <v>0</v>
      </c>
      <c r="F152" s="134">
        <f>VLOOKUP(A152,'ESSA Title II-A Formula'!A160:G342,7,FALSE)</f>
        <v>9712.7699999999968</v>
      </c>
      <c r="G152" s="134">
        <f>VLOOKUP(A152,'ESSA Title III-ELL '!A160:G344,7,FALSE)</f>
        <v>292.54000000000087</v>
      </c>
      <c r="H152" s="134">
        <v>0</v>
      </c>
      <c r="I152" s="134">
        <f>VLOOKUP(A152,'ESSA Title IV'!A160:G342,7,FALSE)</f>
        <v>0</v>
      </c>
      <c r="J152" s="134">
        <f>VLOOKUP(A152,'ESSA Title V-B'!$A$12:$G$29,7,FALSE)</f>
        <v>2386.8600000000006</v>
      </c>
    </row>
    <row r="153" spans="1:10" ht="18.75" x14ac:dyDescent="0.3">
      <c r="A153" s="247" t="s">
        <v>155</v>
      </c>
      <c r="B153" s="55" t="s">
        <v>333</v>
      </c>
      <c r="C153" s="134">
        <f>VLOOKUP(A153,'ESSA Title I-A Formula'!A161:G343,7,FALSE)</f>
        <v>0</v>
      </c>
      <c r="D153" s="134">
        <v>0</v>
      </c>
      <c r="E153" s="134">
        <v>0</v>
      </c>
      <c r="F153" s="134">
        <f>VLOOKUP(A153,'ESSA Title II-A Formula'!A161:G343,7,FALSE)</f>
        <v>0</v>
      </c>
      <c r="G153" s="134">
        <f>VLOOKUP(A153,'ESSA Title III-ELL '!A161:G345,7,FALSE)</f>
        <v>0</v>
      </c>
      <c r="H153" s="134">
        <v>0</v>
      </c>
      <c r="I153" s="134">
        <f>VLOOKUP(A153,'ESSA Title IV'!A161:G343,7,FALSE)</f>
        <v>0</v>
      </c>
      <c r="J153" s="134">
        <v>0</v>
      </c>
    </row>
    <row r="154" spans="1:10" ht="18.75" x14ac:dyDescent="0.3">
      <c r="A154" s="247" t="s">
        <v>156</v>
      </c>
      <c r="B154" s="55" t="s">
        <v>334</v>
      </c>
      <c r="C154" s="134">
        <f>VLOOKUP(A154,'ESSA Title I-A Formula'!A162:G344,7,FALSE)</f>
        <v>9359</v>
      </c>
      <c r="D154" s="134">
        <v>0</v>
      </c>
      <c r="E154" s="134">
        <v>0</v>
      </c>
      <c r="F154" s="134">
        <f>VLOOKUP(A154,'ESSA Title II-A Formula'!A162:G344,7,FALSE)</f>
        <v>0</v>
      </c>
      <c r="G154" s="134">
        <f>VLOOKUP(A154,'ESSA Title III-ELL '!A162:G346,7,FALSE)</f>
        <v>671.5</v>
      </c>
      <c r="H154" s="134">
        <v>0</v>
      </c>
      <c r="I154" s="134">
        <f>VLOOKUP(A154,'ESSA Title IV'!A162:G344,7,FALSE)</f>
        <v>954</v>
      </c>
      <c r="J154" s="134">
        <v>0</v>
      </c>
    </row>
    <row r="155" spans="1:10" ht="18.75" x14ac:dyDescent="0.3">
      <c r="A155" s="247" t="s">
        <v>157</v>
      </c>
      <c r="B155" s="55" t="s">
        <v>335</v>
      </c>
      <c r="C155" s="134">
        <f>VLOOKUP(A155,'ESSA Title I-A Formula'!A163:G345,7,FALSE)</f>
        <v>11.700000000004366</v>
      </c>
      <c r="D155" s="134">
        <v>0</v>
      </c>
      <c r="E155" s="134">
        <v>0</v>
      </c>
      <c r="F155" s="134">
        <f>VLOOKUP(A155,'ESSA Title II-A Formula'!A163:G345,7,FALSE)</f>
        <v>6281</v>
      </c>
      <c r="G155" s="134">
        <f>VLOOKUP(A155,'ESSA Title III-ELL '!A163:G347,7,FALSE)</f>
        <v>0</v>
      </c>
      <c r="H155" s="134">
        <v>0</v>
      </c>
      <c r="I155" s="134">
        <f>VLOOKUP(A155,'ESSA Title IV'!A163:G345,7,FALSE)</f>
        <v>0</v>
      </c>
      <c r="J155" s="134">
        <v>0</v>
      </c>
    </row>
    <row r="156" spans="1:10" ht="18.75" x14ac:dyDescent="0.3">
      <c r="A156" s="247" t="s">
        <v>158</v>
      </c>
      <c r="B156" s="55" t="s">
        <v>336</v>
      </c>
      <c r="C156" s="134">
        <f>VLOOKUP(A156,'ESSA Title I-A Formula'!A164:G346,7,FALSE)</f>
        <v>0</v>
      </c>
      <c r="D156" s="134">
        <v>0</v>
      </c>
      <c r="E156" s="134">
        <v>0</v>
      </c>
      <c r="F156" s="134">
        <f>VLOOKUP(A156,'ESSA Title II-A Formula'!A164:G346,7,FALSE)</f>
        <v>0</v>
      </c>
      <c r="G156" s="134">
        <f>VLOOKUP(A156,'ESSA Title III-ELL '!A164:G348,7,FALSE)</f>
        <v>0</v>
      </c>
      <c r="H156" s="134">
        <v>0</v>
      </c>
      <c r="I156" s="134">
        <f>VLOOKUP(A156,'ESSA Title IV'!A164:G346,7,FALSE)</f>
        <v>0</v>
      </c>
      <c r="J156" s="134">
        <v>0</v>
      </c>
    </row>
    <row r="157" spans="1:10" ht="18.75" x14ac:dyDescent="0.3">
      <c r="A157" s="247" t="s">
        <v>159</v>
      </c>
      <c r="B157" s="55" t="s">
        <v>397</v>
      </c>
      <c r="C157" s="134">
        <f>VLOOKUP(A157,'ESSA Title I-A Formula'!A165:G347,7,FALSE)</f>
        <v>0</v>
      </c>
      <c r="D157" s="134">
        <v>0</v>
      </c>
      <c r="E157" s="134">
        <v>0</v>
      </c>
      <c r="F157" s="134">
        <f>VLOOKUP(A157,'ESSA Title II-A Formula'!A165:G347,7,FALSE)</f>
        <v>0</v>
      </c>
      <c r="G157" s="134">
        <f>VLOOKUP(A157,'ESSA Title III-ELL '!A165:G349,7,FALSE)</f>
        <v>0</v>
      </c>
      <c r="H157" s="134">
        <v>0</v>
      </c>
      <c r="I157" s="134">
        <f>VLOOKUP(A157,'ESSA Title IV'!A165:G347,7,FALSE)</f>
        <v>0</v>
      </c>
      <c r="J157" s="134">
        <v>0</v>
      </c>
    </row>
    <row r="158" spans="1:10" ht="18.75" x14ac:dyDescent="0.3">
      <c r="A158" s="247" t="s">
        <v>160</v>
      </c>
      <c r="B158" s="55" t="s">
        <v>337</v>
      </c>
      <c r="C158" s="134">
        <f>VLOOKUP(A158,'ESSA Title I-A Formula'!A166:G348,7,FALSE)</f>
        <v>0.14999999999417923</v>
      </c>
      <c r="D158" s="134">
        <v>0</v>
      </c>
      <c r="E158" s="134">
        <v>0</v>
      </c>
      <c r="F158" s="134">
        <f>VLOOKUP(A158,'ESSA Title II-A Formula'!A166:G348,7,FALSE)</f>
        <v>0</v>
      </c>
      <c r="G158" s="134">
        <f>VLOOKUP(A158,'ESSA Title III-ELL '!A166:G350,7,FALSE)</f>
        <v>18360</v>
      </c>
      <c r="H158" s="134">
        <f>'ESSA Title III SAI'!G26</f>
        <v>7807.7200000000012</v>
      </c>
      <c r="I158" s="134">
        <f>VLOOKUP(A158,'ESSA Title IV'!A166:G348,7,FALSE)</f>
        <v>34.370000000002619</v>
      </c>
      <c r="J158" s="134">
        <v>0</v>
      </c>
    </row>
    <row r="159" spans="1:10" ht="18.75" x14ac:dyDescent="0.3">
      <c r="A159" s="247" t="s">
        <v>161</v>
      </c>
      <c r="B159" s="55" t="s">
        <v>338</v>
      </c>
      <c r="C159" s="134">
        <f>VLOOKUP(A159,'ESSA Title I-A Formula'!A167:G349,7,FALSE)</f>
        <v>47085.120000000003</v>
      </c>
      <c r="D159" s="134">
        <v>0</v>
      </c>
      <c r="E159" s="134">
        <v>0</v>
      </c>
      <c r="F159" s="134">
        <f>VLOOKUP(A159,'ESSA Title II-A Formula'!A167:G349,7,FALSE)</f>
        <v>2487.0100000000002</v>
      </c>
      <c r="G159" s="134">
        <f>VLOOKUP(A159,'ESSA Title III-ELL '!A167:G351,7,FALSE)</f>
        <v>0</v>
      </c>
      <c r="H159" s="134">
        <v>0</v>
      </c>
      <c r="I159" s="134">
        <f>VLOOKUP(A159,'ESSA Title IV'!A167:G349,7,FALSE)</f>
        <v>10000</v>
      </c>
      <c r="J159" s="134">
        <v>0</v>
      </c>
    </row>
    <row r="160" spans="1:10" ht="18.75" x14ac:dyDescent="0.3">
      <c r="A160" s="247" t="s">
        <v>162</v>
      </c>
      <c r="B160" s="55" t="s">
        <v>339</v>
      </c>
      <c r="C160" s="134">
        <f>VLOOKUP(A160,'ESSA Title I-A Formula'!A168:G350,7,FALSE)</f>
        <v>78465.13</v>
      </c>
      <c r="D160" s="134">
        <v>0</v>
      </c>
      <c r="E160" s="134">
        <v>0</v>
      </c>
      <c r="F160" s="134">
        <f>VLOOKUP(A160,'ESSA Title II-A Formula'!A168:G350,7,FALSE)</f>
        <v>28765.22</v>
      </c>
      <c r="G160" s="134">
        <f>VLOOKUP(A160,'ESSA Title III-ELL '!A168:G352,7,FALSE)</f>
        <v>0</v>
      </c>
      <c r="H160" s="134">
        <v>0</v>
      </c>
      <c r="I160" s="134">
        <f>VLOOKUP(A160,'ESSA Title IV'!A168:G350,7,FALSE)</f>
        <v>0</v>
      </c>
      <c r="J160" s="134">
        <v>0</v>
      </c>
    </row>
    <row r="161" spans="1:10" ht="18.75" x14ac:dyDescent="0.3">
      <c r="A161" s="247" t="s">
        <v>163</v>
      </c>
      <c r="B161" s="55" t="s">
        <v>340</v>
      </c>
      <c r="C161" s="134">
        <f>VLOOKUP(A161,'ESSA Title I-A Formula'!A169:G351,7,FALSE)</f>
        <v>18538.899999999994</v>
      </c>
      <c r="D161" s="134">
        <v>0</v>
      </c>
      <c r="E161" s="134">
        <v>0</v>
      </c>
      <c r="F161" s="134">
        <f>VLOOKUP(A161,'ESSA Title II-A Formula'!A169:G351,7,FALSE)</f>
        <v>1522.9699999999993</v>
      </c>
      <c r="G161" s="134">
        <f>VLOOKUP(A161,'ESSA Title III-ELL '!A169:G353,7,FALSE)</f>
        <v>0</v>
      </c>
      <c r="H161" s="134">
        <v>0</v>
      </c>
      <c r="I161" s="134">
        <f>VLOOKUP(A161,'ESSA Title IV'!A169:G351,7,FALSE)</f>
        <v>0</v>
      </c>
      <c r="J161" s="134">
        <v>0</v>
      </c>
    </row>
    <row r="162" spans="1:10" ht="18.75" x14ac:dyDescent="0.3">
      <c r="A162" s="247" t="s">
        <v>164</v>
      </c>
      <c r="B162" s="55" t="s">
        <v>341</v>
      </c>
      <c r="C162" s="134">
        <f>VLOOKUP(A162,'ESSA Title I-A Formula'!A170:G352,7,FALSE)</f>
        <v>0</v>
      </c>
      <c r="D162" s="134">
        <v>0</v>
      </c>
      <c r="E162" s="134">
        <v>0</v>
      </c>
      <c r="F162" s="134">
        <f>VLOOKUP(A162,'ESSA Title II-A Formula'!A170:G352,7,FALSE)</f>
        <v>0</v>
      </c>
      <c r="G162" s="134">
        <f>VLOOKUP(A162,'ESSA Title III-ELL '!A170:G354,7,FALSE)</f>
        <v>0</v>
      </c>
      <c r="H162" s="134">
        <v>0</v>
      </c>
      <c r="I162" s="134">
        <f>VLOOKUP(A162,'ESSA Title IV'!A170:G352,7,FALSE)</f>
        <v>0</v>
      </c>
      <c r="J162" s="134">
        <v>0</v>
      </c>
    </row>
    <row r="163" spans="1:10" ht="18.75" x14ac:dyDescent="0.3">
      <c r="A163" s="247" t="s">
        <v>165</v>
      </c>
      <c r="B163" s="55" t="s">
        <v>342</v>
      </c>
      <c r="C163" s="134">
        <f>VLOOKUP(A163,'ESSA Title I-A Formula'!A171:G353,7,FALSE)</f>
        <v>0</v>
      </c>
      <c r="D163" s="134">
        <v>0</v>
      </c>
      <c r="E163" s="134">
        <v>0</v>
      </c>
      <c r="F163" s="134">
        <f>VLOOKUP(A163,'ESSA Title II-A Formula'!A171:G353,7,FALSE)</f>
        <v>0</v>
      </c>
      <c r="G163" s="134">
        <f>VLOOKUP(A163,'ESSA Title III-ELL '!A171:G355,7,FALSE)</f>
        <v>0</v>
      </c>
      <c r="H163" s="134">
        <v>0</v>
      </c>
      <c r="I163" s="134">
        <f>VLOOKUP(A163,'ESSA Title IV'!A171:G353,7,FALSE)</f>
        <v>0</v>
      </c>
      <c r="J163" s="134">
        <v>0</v>
      </c>
    </row>
    <row r="164" spans="1:10" ht="18.75" x14ac:dyDescent="0.3">
      <c r="A164" s="247" t="s">
        <v>166</v>
      </c>
      <c r="B164" s="55" t="s">
        <v>343</v>
      </c>
      <c r="C164" s="134">
        <f>VLOOKUP(A164,'ESSA Title I-A Formula'!A172:G354,7,FALSE)</f>
        <v>0</v>
      </c>
      <c r="D164" s="134">
        <v>0</v>
      </c>
      <c r="E164" s="134">
        <v>0</v>
      </c>
      <c r="F164" s="134">
        <f>VLOOKUP(A164,'ESSA Title II-A Formula'!A172:G354,7,FALSE)</f>
        <v>0</v>
      </c>
      <c r="G164" s="134">
        <f>VLOOKUP(A164,'ESSA Title III-ELL '!A172:G356,7,FALSE)</f>
        <v>0</v>
      </c>
      <c r="H164" s="134">
        <v>0</v>
      </c>
      <c r="I164" s="134">
        <f>VLOOKUP(A164,'ESSA Title IV'!A172:G354,7,FALSE)</f>
        <v>0</v>
      </c>
      <c r="J164" s="134">
        <v>0</v>
      </c>
    </row>
    <row r="165" spans="1:10" ht="18.75" x14ac:dyDescent="0.3">
      <c r="A165" s="247" t="s">
        <v>167</v>
      </c>
      <c r="B165" s="55" t="s">
        <v>344</v>
      </c>
      <c r="C165" s="134">
        <f>VLOOKUP(A165,'ESSA Title I-A Formula'!A173:G355,7,FALSE)</f>
        <v>0</v>
      </c>
      <c r="D165" s="134">
        <v>0</v>
      </c>
      <c r="E165" s="134">
        <v>0</v>
      </c>
      <c r="F165" s="134">
        <f>VLOOKUP(A165,'ESSA Title II-A Formula'!A173:G355,7,FALSE)</f>
        <v>0</v>
      </c>
      <c r="G165" s="134">
        <f>VLOOKUP(A165,'ESSA Title III-ELL '!A173:G357,7,FALSE)</f>
        <v>0</v>
      </c>
      <c r="H165" s="134">
        <v>0</v>
      </c>
      <c r="I165" s="134">
        <f>VLOOKUP(A165,'ESSA Title IV'!A173:G355,7,FALSE)</f>
        <v>0</v>
      </c>
      <c r="J165" s="134">
        <v>0</v>
      </c>
    </row>
    <row r="166" spans="1:10" ht="18.75" x14ac:dyDescent="0.3">
      <c r="A166" s="247" t="s">
        <v>168</v>
      </c>
      <c r="B166" s="55" t="s">
        <v>345</v>
      </c>
      <c r="C166" s="134">
        <f>VLOOKUP(A166,'ESSA Title I-A Formula'!A174:G356,7,FALSE)</f>
        <v>0</v>
      </c>
      <c r="D166" s="134">
        <v>0</v>
      </c>
      <c r="E166" s="134">
        <v>0</v>
      </c>
      <c r="F166" s="134">
        <f>VLOOKUP(A166,'ESSA Title II-A Formula'!A174:G356,7,FALSE)</f>
        <v>0</v>
      </c>
      <c r="G166" s="134">
        <f>VLOOKUP(A166,'ESSA Title III-ELL '!A174:G358,7,FALSE)</f>
        <v>0</v>
      </c>
      <c r="H166" s="134">
        <v>0</v>
      </c>
      <c r="I166" s="134">
        <f>VLOOKUP(A166,'ESSA Title IV'!A174:G356,7,FALSE)</f>
        <v>0</v>
      </c>
      <c r="J166" s="134">
        <v>0</v>
      </c>
    </row>
    <row r="167" spans="1:10" ht="18.75" x14ac:dyDescent="0.3">
      <c r="A167" s="247" t="s">
        <v>169</v>
      </c>
      <c r="B167" s="55" t="s">
        <v>346</v>
      </c>
      <c r="C167" s="134">
        <f>VLOOKUP(A167,'ESSA Title I-A Formula'!A175:G357,7,FALSE)</f>
        <v>0</v>
      </c>
      <c r="D167" s="134">
        <v>0</v>
      </c>
      <c r="E167" s="134">
        <v>0</v>
      </c>
      <c r="F167" s="134">
        <f>VLOOKUP(A167,'ESSA Title II-A Formula'!A175:G357,7,FALSE)</f>
        <v>0</v>
      </c>
      <c r="G167" s="134">
        <f>VLOOKUP(A167,'ESSA Title III-ELL '!A175:G359,7,FALSE)</f>
        <v>0</v>
      </c>
      <c r="H167" s="134">
        <v>0</v>
      </c>
      <c r="I167" s="134">
        <f>VLOOKUP(A167,'ESSA Title IV'!A175:G357,7,FALSE)</f>
        <v>0</v>
      </c>
      <c r="J167" s="134">
        <v>0</v>
      </c>
    </row>
    <row r="168" spans="1:10" ht="18.75" x14ac:dyDescent="0.3">
      <c r="A168" s="247" t="s">
        <v>170</v>
      </c>
      <c r="B168" s="55" t="s">
        <v>398</v>
      </c>
      <c r="C168" s="134">
        <f>VLOOKUP(A168,'ESSA Title I-A Formula'!A176:G358,7,FALSE)</f>
        <v>46029.260000000009</v>
      </c>
      <c r="D168" s="134">
        <v>0</v>
      </c>
      <c r="E168" s="134">
        <v>0</v>
      </c>
      <c r="F168" s="134">
        <f>VLOOKUP(A168,'ESSA Title II-A Formula'!A176:G358,7,FALSE)</f>
        <v>61409</v>
      </c>
      <c r="G168" s="134">
        <f>VLOOKUP(A168,'ESSA Title III-ELL '!A176:G360,7,FALSE)</f>
        <v>0</v>
      </c>
      <c r="H168" s="134">
        <v>0</v>
      </c>
      <c r="I168" s="134">
        <f>VLOOKUP(A168,'ESSA Title IV'!A176:G358,7,FALSE)</f>
        <v>0</v>
      </c>
      <c r="J168" s="134">
        <v>0</v>
      </c>
    </row>
    <row r="169" spans="1:10" ht="18.75" x14ac:dyDescent="0.3">
      <c r="A169" s="247" t="s">
        <v>171</v>
      </c>
      <c r="B169" s="55" t="s">
        <v>347</v>
      </c>
      <c r="C169" s="134">
        <f>VLOOKUP(A169,'ESSA Title I-A Formula'!A177:G359,7,FALSE)</f>
        <v>24861.619999999995</v>
      </c>
      <c r="D169" s="134">
        <v>0</v>
      </c>
      <c r="E169" s="134">
        <v>0</v>
      </c>
      <c r="F169" s="134">
        <f>VLOOKUP(A169,'ESSA Title II-A Formula'!A177:G359,7,FALSE)</f>
        <v>0</v>
      </c>
      <c r="G169" s="134">
        <f>VLOOKUP(A169,'ESSA Title III-ELL '!A177:G361,7,FALSE)</f>
        <v>0</v>
      </c>
      <c r="H169" s="134">
        <f>'ESSA Title III SAI'!G27</f>
        <v>0</v>
      </c>
      <c r="I169" s="134">
        <f>VLOOKUP(A169,'ESSA Title IV'!A177:G359,7,FALSE)</f>
        <v>15345.09</v>
      </c>
      <c r="J169" s="134">
        <v>0</v>
      </c>
    </row>
    <row r="170" spans="1:10" ht="18.75" x14ac:dyDescent="0.3">
      <c r="A170" s="247" t="s">
        <v>172</v>
      </c>
      <c r="B170" s="55" t="s">
        <v>348</v>
      </c>
      <c r="C170" s="134">
        <f>VLOOKUP(A170,'ESSA Title I-A Formula'!A178:G360,7,FALSE)</f>
        <v>126441.41</v>
      </c>
      <c r="D170" s="134">
        <v>0</v>
      </c>
      <c r="E170" s="134">
        <v>0</v>
      </c>
      <c r="F170" s="134">
        <f>VLOOKUP(A170,'ESSA Title II-A Formula'!A178:G360,7,FALSE)</f>
        <v>0</v>
      </c>
      <c r="G170" s="134">
        <f>VLOOKUP(A170,'ESSA Title III-ELL '!A178:G362,7,FALSE)</f>
        <v>11180.119999999999</v>
      </c>
      <c r="H170" s="134">
        <v>0</v>
      </c>
      <c r="I170" s="134">
        <f>VLOOKUP(A170,'ESSA Title IV'!A178:G360,7,FALSE)</f>
        <v>17654.060000000001</v>
      </c>
      <c r="J170" s="134">
        <v>0</v>
      </c>
    </row>
    <row r="171" spans="1:10" ht="18.75" x14ac:dyDescent="0.3">
      <c r="A171" s="247" t="s">
        <v>173</v>
      </c>
      <c r="B171" s="55" t="s">
        <v>349</v>
      </c>
      <c r="C171" s="134">
        <f>VLOOKUP(A171,'ESSA Title I-A Formula'!A179:G361,7,FALSE)</f>
        <v>2397527.63</v>
      </c>
      <c r="D171" s="134">
        <f>'ESSA Title I-Delinquent'!G19</f>
        <v>16211.31</v>
      </c>
      <c r="E171" s="134">
        <v>0</v>
      </c>
      <c r="F171" s="134">
        <f>VLOOKUP(A171,'ESSA Title II-A Formula'!A179:G361,7,FALSE)</f>
        <v>212002.72999999998</v>
      </c>
      <c r="G171" s="134">
        <f>VLOOKUP(A171,'ESSA Title III-ELL '!A179:G363,7,FALSE)</f>
        <v>94146.260000000009</v>
      </c>
      <c r="H171" s="134">
        <v>0</v>
      </c>
      <c r="I171" s="134">
        <f>VLOOKUP(A171,'ESSA Title IV'!A179:G361,7,FALSE)</f>
        <v>274987.56</v>
      </c>
      <c r="J171" s="134">
        <v>0</v>
      </c>
    </row>
    <row r="172" spans="1:10" ht="18.75" x14ac:dyDescent="0.3">
      <c r="A172" s="247" t="s">
        <v>174</v>
      </c>
      <c r="B172" s="55" t="s">
        <v>350</v>
      </c>
      <c r="C172" s="134">
        <f>VLOOKUP(A172,'ESSA Title I-A Formula'!A180:G362,7,FALSE)</f>
        <v>0</v>
      </c>
      <c r="D172" s="134">
        <v>0</v>
      </c>
      <c r="E172" s="134">
        <v>0</v>
      </c>
      <c r="F172" s="134">
        <f>VLOOKUP(A172,'ESSA Title II-A Formula'!A180:G362,7,FALSE)</f>
        <v>0</v>
      </c>
      <c r="G172" s="134">
        <f>VLOOKUP(A172,'ESSA Title III-ELL '!A180:G364,7,FALSE)</f>
        <v>0</v>
      </c>
      <c r="H172" s="134">
        <v>0</v>
      </c>
      <c r="I172" s="134">
        <f>VLOOKUP(A172,'ESSA Title IV'!A180:G362,7,FALSE)</f>
        <v>0</v>
      </c>
      <c r="J172" s="134">
        <v>0</v>
      </c>
    </row>
    <row r="173" spans="1:10" ht="18.75" x14ac:dyDescent="0.3">
      <c r="A173" s="247" t="s">
        <v>175</v>
      </c>
      <c r="B173" s="55" t="s">
        <v>351</v>
      </c>
      <c r="C173" s="134">
        <f>VLOOKUP(A173,'ESSA Title I-A Formula'!A181:G363,7,FALSE)</f>
        <v>26327</v>
      </c>
      <c r="D173" s="134">
        <v>0</v>
      </c>
      <c r="E173" s="134">
        <v>0</v>
      </c>
      <c r="F173" s="134">
        <f>VLOOKUP(A173,'ESSA Title II-A Formula'!A181:G363,7,FALSE)</f>
        <v>0</v>
      </c>
      <c r="G173" s="134">
        <f>VLOOKUP(A173,'ESSA Title III-ELL '!A181:G365,7,FALSE)</f>
        <v>0</v>
      </c>
      <c r="H173" s="134">
        <f>'ESSA Title III SAI'!G28</f>
        <v>0</v>
      </c>
      <c r="I173" s="134">
        <f>VLOOKUP(A173,'ESSA Title IV'!A181:G363,7,FALSE)</f>
        <v>33708</v>
      </c>
      <c r="J173" s="134">
        <v>0</v>
      </c>
    </row>
    <row r="174" spans="1:10" ht="18.75" x14ac:dyDescent="0.3">
      <c r="A174" s="247" t="s">
        <v>176</v>
      </c>
      <c r="B174" s="55" t="s">
        <v>352</v>
      </c>
      <c r="C174" s="134">
        <f>VLOOKUP(A174,'ESSA Title I-A Formula'!A182:G364,7,FALSE)</f>
        <v>19529.940000000002</v>
      </c>
      <c r="D174" s="134">
        <v>0</v>
      </c>
      <c r="E174" s="134">
        <v>0</v>
      </c>
      <c r="F174" s="134">
        <f>VLOOKUP(A174,'ESSA Title II-A Formula'!A182:G364,7,FALSE)</f>
        <v>5432.77</v>
      </c>
      <c r="G174" s="134">
        <f>VLOOKUP(A174,'ESSA Title III-ELL '!A182:G366,7,FALSE)</f>
        <v>0</v>
      </c>
      <c r="H174" s="134">
        <v>0</v>
      </c>
      <c r="I174" s="134">
        <f>VLOOKUP(A174,'ESSA Title IV'!A182:G364,7,FALSE)</f>
        <v>4011.7</v>
      </c>
      <c r="J174" s="134">
        <v>0</v>
      </c>
    </row>
    <row r="175" spans="1:10" ht="18.75" x14ac:dyDescent="0.3">
      <c r="A175" s="247" t="s">
        <v>177</v>
      </c>
      <c r="B175" s="55" t="s">
        <v>353</v>
      </c>
      <c r="C175" s="134">
        <f>VLOOKUP(A175,'ESSA Title I-A Formula'!A183:G365,7,FALSE)</f>
        <v>0</v>
      </c>
      <c r="D175" s="134">
        <v>0</v>
      </c>
      <c r="E175" s="134">
        <v>0</v>
      </c>
      <c r="F175" s="134">
        <f>VLOOKUP(A175,'ESSA Title II-A Formula'!A183:G365,7,FALSE)</f>
        <v>0</v>
      </c>
      <c r="G175" s="134">
        <f>VLOOKUP(A175,'ESSA Title III-ELL '!A183:G367,7,FALSE)</f>
        <v>0</v>
      </c>
      <c r="H175" s="134">
        <v>0</v>
      </c>
      <c r="I175" s="134">
        <f>VLOOKUP(A175,'ESSA Title IV'!A183:G365,7,FALSE)</f>
        <v>0</v>
      </c>
      <c r="J175" s="134">
        <v>0</v>
      </c>
    </row>
    <row r="176" spans="1:10" ht="18.75" x14ac:dyDescent="0.3">
      <c r="A176" s="247" t="s">
        <v>178</v>
      </c>
      <c r="B176" s="55" t="s">
        <v>354</v>
      </c>
      <c r="C176" s="134">
        <f>VLOOKUP(A176,'ESSA Title I-A Formula'!A184:G366,7,FALSE)</f>
        <v>0</v>
      </c>
      <c r="D176" s="134">
        <v>0</v>
      </c>
      <c r="E176" s="134">
        <v>0</v>
      </c>
      <c r="F176" s="134">
        <f>VLOOKUP(A176,'ESSA Title II-A Formula'!A184:G366,7,FALSE)</f>
        <v>0</v>
      </c>
      <c r="G176" s="134">
        <f>VLOOKUP(A176,'ESSA Title III-ELL '!A184:G368,7,FALSE)</f>
        <v>0</v>
      </c>
      <c r="H176" s="134">
        <v>0</v>
      </c>
      <c r="I176" s="134">
        <f>VLOOKUP(A176,'ESSA Title IV'!A184:G366,7,FALSE)</f>
        <v>0</v>
      </c>
      <c r="J176" s="134">
        <v>0</v>
      </c>
    </row>
    <row r="177" spans="1:10" ht="18.75" x14ac:dyDescent="0.3">
      <c r="A177" s="247" t="s">
        <v>179</v>
      </c>
      <c r="B177" s="55" t="s">
        <v>355</v>
      </c>
      <c r="C177" s="134">
        <f>VLOOKUP(A177,'ESSA Title I-A Formula'!A185:G367,7,FALSE)</f>
        <v>0</v>
      </c>
      <c r="D177" s="134">
        <v>0</v>
      </c>
      <c r="E177" s="134">
        <v>0</v>
      </c>
      <c r="F177" s="134">
        <f>VLOOKUP(A177,'ESSA Title II-A Formula'!A185:G367,7,FALSE)</f>
        <v>0</v>
      </c>
      <c r="G177" s="134">
        <f>VLOOKUP(A177,'ESSA Title III-ELL '!A185:G369,7,FALSE)</f>
        <v>0</v>
      </c>
      <c r="H177" s="134">
        <v>0</v>
      </c>
      <c r="I177" s="134">
        <f>VLOOKUP(A177,'ESSA Title IV'!A185:G367,7,FALSE)</f>
        <v>0</v>
      </c>
      <c r="J177" s="134">
        <v>0</v>
      </c>
    </row>
    <row r="178" spans="1:10" ht="18.75" x14ac:dyDescent="0.3">
      <c r="A178" s="247" t="s">
        <v>180</v>
      </c>
      <c r="B178" s="55" t="s">
        <v>356</v>
      </c>
      <c r="C178" s="134">
        <f>VLOOKUP(A178,'ESSA Title I-A Formula'!A186:G368,7,FALSE)</f>
        <v>1054.0299999999988</v>
      </c>
      <c r="D178" s="134">
        <v>0</v>
      </c>
      <c r="E178" s="134">
        <v>0</v>
      </c>
      <c r="F178" s="134">
        <f>VLOOKUP(A178,'ESSA Title II-A Formula'!A186:G368,7,FALSE)</f>
        <v>0</v>
      </c>
      <c r="G178" s="134">
        <f>VLOOKUP(A178,'ESSA Title III-ELL '!A186:G370,7,FALSE)</f>
        <v>1.2700000000004366</v>
      </c>
      <c r="H178" s="134">
        <f>'ESSA Title III SAI'!G29</f>
        <v>7603.07</v>
      </c>
      <c r="I178" s="134">
        <f>VLOOKUP(A178,'ESSA Title IV'!A186:G368,7,FALSE)</f>
        <v>0</v>
      </c>
      <c r="J178" s="134">
        <v>0</v>
      </c>
    </row>
    <row r="179" spans="1:10" ht="18.75" x14ac:dyDescent="0.3">
      <c r="A179" s="247" t="s">
        <v>181</v>
      </c>
      <c r="B179" s="55" t="s">
        <v>357</v>
      </c>
      <c r="C179" s="134">
        <f>VLOOKUP(A179,'ESSA Title I-A Formula'!A187:G369,7,FALSE)</f>
        <v>44448</v>
      </c>
      <c r="D179" s="134">
        <v>0</v>
      </c>
      <c r="E179" s="134">
        <v>0</v>
      </c>
      <c r="F179" s="134">
        <f>VLOOKUP(A179,'ESSA Title II-A Formula'!A187:G369,7,FALSE)</f>
        <v>0</v>
      </c>
      <c r="G179" s="134">
        <f>VLOOKUP(A179,'ESSA Title III-ELL '!A187:G371,7,FALSE)</f>
        <v>0</v>
      </c>
      <c r="H179" s="134">
        <f>'ESSA Title III SAI'!G30</f>
        <v>3992</v>
      </c>
      <c r="I179" s="134">
        <f>VLOOKUP(A179,'ESSA Title IV'!A187:G369,7,FALSE)</f>
        <v>0</v>
      </c>
      <c r="J179" s="134">
        <v>0</v>
      </c>
    </row>
    <row r="180" spans="1:10" ht="18.75" x14ac:dyDescent="0.3">
      <c r="A180" s="247" t="s">
        <v>182</v>
      </c>
      <c r="B180" s="55" t="s">
        <v>358</v>
      </c>
      <c r="C180" s="134">
        <f>VLOOKUP(A180,'ESSA Title I-A Formula'!A188:G370,7,FALSE)</f>
        <v>0</v>
      </c>
      <c r="D180" s="134">
        <v>0</v>
      </c>
      <c r="E180" s="134">
        <v>0</v>
      </c>
      <c r="F180" s="134">
        <f>VLOOKUP(A180,'ESSA Title II-A Formula'!A188:G370,7,FALSE)</f>
        <v>0</v>
      </c>
      <c r="G180" s="134">
        <f>VLOOKUP(A180,'ESSA Title III-ELL '!A188:G372,7,FALSE)</f>
        <v>0</v>
      </c>
      <c r="H180" s="134">
        <v>0</v>
      </c>
      <c r="I180" s="134">
        <f>VLOOKUP(A180,'ESSA Title IV'!A188:G370,7,FALSE)</f>
        <v>0</v>
      </c>
      <c r="J180" s="134">
        <v>0</v>
      </c>
    </row>
    <row r="181" spans="1:10" ht="18.75" x14ac:dyDescent="0.3">
      <c r="A181" s="247" t="s">
        <v>183</v>
      </c>
      <c r="B181" s="55" t="s">
        <v>359</v>
      </c>
      <c r="C181" s="134">
        <f>VLOOKUP(A181,'ESSA Title I-A Formula'!A189:G371,7,FALSE)</f>
        <v>0</v>
      </c>
      <c r="D181" s="134">
        <v>0</v>
      </c>
      <c r="E181" s="134">
        <v>0</v>
      </c>
      <c r="F181" s="134">
        <f>VLOOKUP(A181,'ESSA Title II-A Formula'!A189:G371,7,FALSE)</f>
        <v>0</v>
      </c>
      <c r="G181" s="134">
        <f>VLOOKUP(A181,'ESSA Title III-ELL '!A189:G373,7,FALSE)</f>
        <v>0</v>
      </c>
      <c r="H181" s="134">
        <v>0</v>
      </c>
      <c r="I181" s="134">
        <f>VLOOKUP(A181,'ESSA Title IV'!A189:G371,7,FALSE)</f>
        <v>0</v>
      </c>
      <c r="J181" s="134">
        <v>0</v>
      </c>
    </row>
    <row r="182" spans="1:10" ht="18.75" x14ac:dyDescent="0.3">
      <c r="A182" s="248" t="s">
        <v>402</v>
      </c>
      <c r="B182" s="55" t="s">
        <v>360</v>
      </c>
      <c r="C182" s="134">
        <f>VLOOKUP(A182,'ESSA Title I-A Formula'!A190:G372,7,FALSE)</f>
        <v>222207.08999999985</v>
      </c>
      <c r="D182" s="134">
        <v>0</v>
      </c>
      <c r="E182" s="134">
        <v>0</v>
      </c>
      <c r="F182" s="134">
        <f>VLOOKUP(A182,'ESSA Title II-A Formula'!A190:G372,7,FALSE)</f>
        <v>255944.47</v>
      </c>
      <c r="G182" s="134">
        <f>VLOOKUP(A182,'ESSA Title III-ELL '!A190:G374,7,FALSE)</f>
        <v>49257</v>
      </c>
      <c r="H182" s="134">
        <v>0</v>
      </c>
      <c r="I182" s="134">
        <f>VLOOKUP(A182,'ESSA Title IV'!A190:G372,7,FALSE)</f>
        <v>91671.049999999988</v>
      </c>
      <c r="J182" s="134">
        <v>0</v>
      </c>
    </row>
    <row r="183" spans="1:10" ht="18.75" x14ac:dyDescent="0.3">
      <c r="A183" s="247" t="s">
        <v>362</v>
      </c>
      <c r="B183" s="55" t="s">
        <v>361</v>
      </c>
      <c r="C183" s="134">
        <f>VLOOKUP(A183,'ESSA Title I-A Formula'!A191:G373,7,FALSE)</f>
        <v>17812.47</v>
      </c>
      <c r="D183" s="134">
        <v>0</v>
      </c>
      <c r="E183" s="134">
        <v>0</v>
      </c>
      <c r="F183" s="134">
        <f>VLOOKUP(A183,'ESSA Title II-A Formula'!A191:G373,7,FALSE)</f>
        <v>3924</v>
      </c>
      <c r="G183" s="134">
        <v>0</v>
      </c>
      <c r="H183" s="134">
        <v>0</v>
      </c>
      <c r="I183" s="134">
        <f>VLOOKUP(A183,'ESSA Title IV'!A191:G373,7,FALSE)</f>
        <v>0</v>
      </c>
      <c r="J183" s="134">
        <v>0</v>
      </c>
    </row>
    <row r="184" spans="1:10" ht="18.75" x14ac:dyDescent="0.3">
      <c r="A184" s="249" t="s">
        <v>370</v>
      </c>
      <c r="B184" s="56" t="s">
        <v>374</v>
      </c>
      <c r="C184" s="134">
        <f>VLOOKUP(A184,'ESSA Title I-A Formula'!A192:G374,7,FALSE)</f>
        <v>69261.189999999944</v>
      </c>
      <c r="D184" s="134">
        <v>0</v>
      </c>
      <c r="E184" s="134">
        <v>0</v>
      </c>
      <c r="F184" s="134">
        <f>VLOOKUP(A184,'ESSA Title II-A Formula'!A192:G374,7,FALSE)</f>
        <v>178044.32</v>
      </c>
      <c r="G184" s="134">
        <f>'ESSA Title III-ELL '!G191</f>
        <v>23677.32</v>
      </c>
      <c r="H184" s="134">
        <f>'ESSA Title III SAI'!G31</f>
        <v>0</v>
      </c>
      <c r="I184" s="134">
        <f>VLOOKUP(A184,'ESSA Title IV'!A192:G374,7,FALSE)</f>
        <v>0</v>
      </c>
      <c r="J184" s="134">
        <v>0</v>
      </c>
    </row>
    <row r="185" spans="1:10" ht="18.75" x14ac:dyDescent="0.3">
      <c r="A185" s="249" t="s">
        <v>371</v>
      </c>
      <c r="B185" s="56" t="s">
        <v>375</v>
      </c>
      <c r="C185" s="134">
        <f>VLOOKUP(A185,'ESSA Title I-A Formula'!A193:G375,7,FALSE)</f>
        <v>37157</v>
      </c>
      <c r="D185" s="134">
        <v>0</v>
      </c>
      <c r="E185" s="134">
        <v>0</v>
      </c>
      <c r="F185" s="134">
        <f>VLOOKUP(A185,'ESSA Title II-A Formula'!A193:G375,7,FALSE)</f>
        <v>113829</v>
      </c>
      <c r="G185" s="134">
        <f>'ESSA Title III-ELL '!G192</f>
        <v>30257.559999999998</v>
      </c>
      <c r="H185" s="134">
        <f>'ESSA Title III SAI'!G32</f>
        <v>14805</v>
      </c>
      <c r="I185" s="134">
        <f>VLOOKUP(A185,'ESSA Title IV'!A193:G375,7,FALSE)</f>
        <v>124486</v>
      </c>
      <c r="J185" s="134">
        <v>0</v>
      </c>
    </row>
    <row r="186" spans="1:10" ht="18.75" x14ac:dyDescent="0.3">
      <c r="A186" s="249" t="s">
        <v>372</v>
      </c>
      <c r="B186" s="57" t="s">
        <v>376</v>
      </c>
      <c r="C186" s="134">
        <f>VLOOKUP(A186,'ESSA Title I-A Formula'!A194:G376,7,FALSE)</f>
        <v>38618.089999999967</v>
      </c>
      <c r="D186" s="134">
        <v>0</v>
      </c>
      <c r="E186" s="134">
        <v>0</v>
      </c>
      <c r="F186" s="134">
        <f>VLOOKUP(A186,'ESSA Title II-A Formula'!A194:G376,7,FALSE)</f>
        <v>2230</v>
      </c>
      <c r="G186" s="134">
        <f>'ESSA Title III-ELL '!G193</f>
        <v>0</v>
      </c>
      <c r="H186" s="134">
        <f>'ESSA Title III SAI'!G33</f>
        <v>3992</v>
      </c>
      <c r="I186" s="134">
        <f>VLOOKUP(A186,'ESSA Title IV'!A194:G376,7,FALSE)</f>
        <v>17789.72</v>
      </c>
      <c r="J186" s="134">
        <v>0</v>
      </c>
    </row>
    <row r="187" spans="1:10" ht="18.75" x14ac:dyDescent="0.3">
      <c r="A187" s="249" t="s">
        <v>403</v>
      </c>
      <c r="B187" s="57" t="s">
        <v>388</v>
      </c>
      <c r="C187" s="134">
        <v>0</v>
      </c>
      <c r="D187" s="134">
        <v>0</v>
      </c>
      <c r="E187" s="134">
        <v>0</v>
      </c>
      <c r="F187" s="134">
        <v>0</v>
      </c>
      <c r="G187" s="134">
        <v>0</v>
      </c>
      <c r="H187" s="134">
        <v>0</v>
      </c>
      <c r="I187" s="134">
        <v>0</v>
      </c>
      <c r="J187" s="134">
        <v>0</v>
      </c>
    </row>
    <row r="188" spans="1:10" ht="18.75" x14ac:dyDescent="0.3">
      <c r="A188" s="249" t="s">
        <v>400</v>
      </c>
      <c r="B188" s="57" t="s">
        <v>389</v>
      </c>
      <c r="C188" s="134">
        <v>0</v>
      </c>
      <c r="D188" s="134">
        <v>0</v>
      </c>
      <c r="E188" s="134">
        <v>0</v>
      </c>
      <c r="F188" s="134">
        <v>0</v>
      </c>
      <c r="G188" s="134">
        <f>'ESSA Title III-ELL '!G194</f>
        <v>14685</v>
      </c>
      <c r="H188" s="134">
        <v>0</v>
      </c>
      <c r="I188" s="134">
        <v>0</v>
      </c>
      <c r="J188" s="134">
        <v>0</v>
      </c>
    </row>
    <row r="189" spans="1:10" ht="18.75" x14ac:dyDescent="0.3">
      <c r="A189" s="249" t="s">
        <v>399</v>
      </c>
      <c r="B189" s="57" t="s">
        <v>390</v>
      </c>
      <c r="C189" s="134">
        <v>0</v>
      </c>
      <c r="D189" s="134">
        <v>0</v>
      </c>
      <c r="E189" s="134">
        <v>0</v>
      </c>
      <c r="F189" s="134">
        <v>0</v>
      </c>
      <c r="G189" s="134">
        <v>0</v>
      </c>
      <c r="H189" s="134">
        <v>0</v>
      </c>
      <c r="I189" s="134">
        <v>0</v>
      </c>
      <c r="J189" s="134">
        <v>0</v>
      </c>
    </row>
    <row r="190" spans="1:10" ht="18.75" x14ac:dyDescent="0.3">
      <c r="A190" s="249" t="s">
        <v>401</v>
      </c>
      <c r="B190" s="57" t="s">
        <v>391</v>
      </c>
      <c r="C190" s="134">
        <v>0</v>
      </c>
      <c r="D190" s="134">
        <v>0</v>
      </c>
      <c r="E190" s="134">
        <v>0</v>
      </c>
      <c r="F190" s="134">
        <v>0</v>
      </c>
      <c r="G190" s="134">
        <f>'ESSA Title III-ELL '!G195</f>
        <v>26434</v>
      </c>
      <c r="H190" s="134">
        <v>0</v>
      </c>
      <c r="I190" s="134">
        <v>0</v>
      </c>
      <c r="J190" s="134">
        <v>0</v>
      </c>
    </row>
    <row r="191" spans="1:10" ht="18.75" x14ac:dyDescent="0.3">
      <c r="A191" s="249" t="s">
        <v>373</v>
      </c>
      <c r="B191" s="57" t="s">
        <v>377</v>
      </c>
      <c r="C191" s="134">
        <v>0</v>
      </c>
      <c r="D191" s="134">
        <v>0</v>
      </c>
      <c r="E191" s="134">
        <v>0</v>
      </c>
      <c r="F191" s="134">
        <v>0</v>
      </c>
      <c r="G191" s="134">
        <f>'ESSA Title III-ELL '!G196</f>
        <v>14604</v>
      </c>
      <c r="H191" s="134">
        <v>0</v>
      </c>
      <c r="I191" s="134">
        <v>0</v>
      </c>
      <c r="J191" s="134">
        <v>0</v>
      </c>
    </row>
    <row r="192" spans="1:10" ht="18.75" x14ac:dyDescent="0.3">
      <c r="A192" s="249" t="s">
        <v>597</v>
      </c>
      <c r="B192" s="57" t="s">
        <v>598</v>
      </c>
      <c r="C192" s="134">
        <v>0</v>
      </c>
      <c r="D192" s="134">
        <v>0</v>
      </c>
      <c r="E192" s="134">
        <f>'StateAgenciesTitle I-Delinquent'!G12</f>
        <v>374585.88</v>
      </c>
      <c r="F192" s="134">
        <v>0</v>
      </c>
      <c r="G192" s="134">
        <f>'ESSA Title III-ELL '!G199</f>
        <v>0</v>
      </c>
      <c r="H192" s="134">
        <v>0</v>
      </c>
      <c r="I192" s="134">
        <v>0</v>
      </c>
      <c r="J192" s="134">
        <v>0</v>
      </c>
    </row>
    <row r="193" spans="1:10" ht="18.75" x14ac:dyDescent="0.3">
      <c r="A193" s="250"/>
      <c r="B193" s="56"/>
      <c r="C193" s="134"/>
      <c r="D193" s="134"/>
      <c r="E193" s="134"/>
      <c r="F193" s="134"/>
      <c r="G193" s="134"/>
      <c r="H193" s="134"/>
      <c r="I193" s="134"/>
      <c r="J193" s="134"/>
    </row>
    <row r="194" spans="1:10" ht="18.75" x14ac:dyDescent="0.3">
      <c r="A194" s="251"/>
      <c r="B194" s="58"/>
      <c r="C194" s="59">
        <f>SUM(C4:C192)</f>
        <v>33121358.490000002</v>
      </c>
      <c r="D194" s="59">
        <f>SUM(D4:D192)</f>
        <v>470828.98000000004</v>
      </c>
      <c r="E194" s="59">
        <f>SUM(E4:E192)</f>
        <v>374585.88</v>
      </c>
      <c r="F194" s="59">
        <f>SUM(F4:F191)</f>
        <v>10627646.560000004</v>
      </c>
      <c r="G194" s="59">
        <f>SUM(G4:G191)</f>
        <v>2950727.5100000002</v>
      </c>
      <c r="H194" s="134">
        <f>SUM(H4:H192)</f>
        <v>275727.86</v>
      </c>
      <c r="I194" s="59">
        <f>SUM(I4:I192)</f>
        <v>6949807.0199999977</v>
      </c>
      <c r="J194" s="134">
        <f>SUM(J5:J193)</f>
        <v>290458.55</v>
      </c>
    </row>
    <row r="195" spans="1:10" x14ac:dyDescent="0.25">
      <c r="A195" s="252"/>
      <c r="B195" s="60"/>
      <c r="C195" s="61"/>
      <c r="D195" s="61"/>
      <c r="E195" s="61"/>
      <c r="F195" s="61"/>
      <c r="G195" s="61"/>
      <c r="H195" s="61"/>
      <c r="I195" s="61"/>
      <c r="J195" s="61"/>
    </row>
    <row r="196" spans="1:10" x14ac:dyDescent="0.25">
      <c r="A196" s="252"/>
      <c r="B196" s="60"/>
      <c r="C196" s="61"/>
      <c r="D196" s="61"/>
      <c r="E196" s="61"/>
      <c r="F196" s="61"/>
      <c r="G196" s="61"/>
      <c r="H196" s="61"/>
      <c r="I196" s="61"/>
      <c r="J196" s="61"/>
    </row>
    <row r="197" spans="1:10" x14ac:dyDescent="0.25">
      <c r="C197" s="52"/>
      <c r="D197" s="52"/>
      <c r="E197" s="52"/>
      <c r="F197" s="52"/>
      <c r="G197" s="52"/>
      <c r="H197" s="52"/>
      <c r="I197" s="52"/>
      <c r="J197" s="52"/>
    </row>
    <row r="198" spans="1:10" x14ac:dyDescent="0.25">
      <c r="C198" s="52"/>
      <c r="D198" s="52"/>
      <c r="E198" s="52"/>
      <c r="F198" s="52"/>
      <c r="G198" s="52"/>
      <c r="H198" s="52"/>
      <c r="I198" s="52"/>
      <c r="J198" s="52"/>
    </row>
    <row r="199" spans="1:10" x14ac:dyDescent="0.25">
      <c r="C199" s="52"/>
      <c r="D199" s="52"/>
      <c r="E199" s="52"/>
      <c r="F199" s="52"/>
      <c r="G199" s="52"/>
      <c r="H199" s="52"/>
      <c r="I199" s="52"/>
      <c r="J199" s="52"/>
    </row>
    <row r="200" spans="1:10" x14ac:dyDescent="0.25">
      <c r="C200" s="52"/>
      <c r="D200" s="52"/>
      <c r="E200" s="52"/>
      <c r="F200" s="52"/>
      <c r="G200" s="52"/>
      <c r="H200" s="52"/>
      <c r="I200" s="52"/>
      <c r="J200" s="52"/>
    </row>
    <row r="201" spans="1:10" x14ac:dyDescent="0.25">
      <c r="C201" s="52"/>
      <c r="D201" s="52"/>
      <c r="E201" s="52"/>
      <c r="F201" s="52"/>
      <c r="G201" s="52"/>
      <c r="H201" s="52"/>
      <c r="I201" s="52"/>
      <c r="J201" s="52"/>
    </row>
    <row r="202" spans="1:10" x14ac:dyDescent="0.25">
      <c r="C202" s="52"/>
      <c r="D202" s="52"/>
      <c r="E202" s="52"/>
      <c r="F202" s="52"/>
      <c r="G202" s="52"/>
      <c r="H202" s="52"/>
      <c r="I202" s="52"/>
      <c r="J202" s="52"/>
    </row>
    <row r="203" spans="1:10" x14ac:dyDescent="0.25">
      <c r="C203" s="52"/>
      <c r="D203" s="52"/>
      <c r="E203" s="52"/>
      <c r="F203" s="52"/>
      <c r="G203" s="52"/>
      <c r="H203" s="52"/>
      <c r="I203" s="52"/>
      <c r="J203" s="52"/>
    </row>
    <row r="204" spans="1:10" x14ac:dyDescent="0.25">
      <c r="C204" s="52"/>
      <c r="D204" s="52"/>
      <c r="E204" s="52"/>
      <c r="F204" s="52"/>
      <c r="G204" s="52"/>
      <c r="H204" s="52"/>
      <c r="I204" s="52"/>
      <c r="J204" s="52"/>
    </row>
    <row r="205" spans="1:10" x14ac:dyDescent="0.25">
      <c r="C205" s="52"/>
      <c r="D205" s="52"/>
      <c r="E205" s="52"/>
      <c r="F205" s="52"/>
      <c r="G205" s="52"/>
      <c r="H205" s="52"/>
      <c r="I205" s="52"/>
      <c r="J205" s="52"/>
    </row>
    <row r="206" spans="1:10" x14ac:dyDescent="0.25">
      <c r="C206" s="52"/>
      <c r="D206" s="52"/>
      <c r="E206" s="52"/>
      <c r="F206" s="52"/>
      <c r="G206" s="52"/>
      <c r="H206" s="52"/>
      <c r="I206" s="52"/>
      <c r="J206" s="52"/>
    </row>
    <row r="207" spans="1:10" x14ac:dyDescent="0.25">
      <c r="C207" s="52"/>
      <c r="D207" s="52"/>
      <c r="E207" s="52"/>
      <c r="F207" s="52"/>
      <c r="G207" s="52"/>
      <c r="H207" s="52"/>
      <c r="I207" s="52"/>
      <c r="J207" s="52"/>
    </row>
    <row r="208" spans="1:10" x14ac:dyDescent="0.25">
      <c r="C208" s="52"/>
      <c r="D208" s="52"/>
      <c r="E208" s="52"/>
      <c r="F208" s="52"/>
      <c r="G208" s="52"/>
      <c r="H208" s="52"/>
      <c r="I208" s="52"/>
      <c r="J208" s="52"/>
    </row>
    <row r="209" spans="3:10" x14ac:dyDescent="0.25">
      <c r="C209" s="52"/>
      <c r="D209" s="52"/>
      <c r="E209" s="52"/>
      <c r="F209" s="52"/>
      <c r="G209" s="52"/>
      <c r="H209" s="52"/>
      <c r="I209" s="52"/>
      <c r="J209" s="52"/>
    </row>
    <row r="210" spans="3:10" x14ac:dyDescent="0.25">
      <c r="C210" s="52"/>
      <c r="D210" s="52"/>
      <c r="E210" s="52"/>
      <c r="F210" s="52"/>
      <c r="G210" s="52"/>
      <c r="H210" s="52"/>
      <c r="I210" s="52"/>
      <c r="J210" s="52"/>
    </row>
    <row r="211" spans="3:10" x14ac:dyDescent="0.25">
      <c r="C211" s="52"/>
      <c r="D211" s="52"/>
      <c r="E211" s="52"/>
      <c r="F211" s="52"/>
      <c r="G211" s="52"/>
      <c r="H211" s="52"/>
      <c r="I211" s="52"/>
      <c r="J211" s="52"/>
    </row>
    <row r="212" spans="3:10" x14ac:dyDescent="0.25">
      <c r="C212" s="52"/>
      <c r="D212" s="52"/>
      <c r="E212" s="52"/>
      <c r="F212" s="52"/>
      <c r="G212" s="52"/>
      <c r="H212" s="52"/>
      <c r="I212" s="52"/>
      <c r="J212" s="52"/>
    </row>
    <row r="213" spans="3:10" x14ac:dyDescent="0.25">
      <c r="C213" s="52"/>
      <c r="D213" s="52"/>
      <c r="E213" s="52"/>
      <c r="F213" s="52"/>
      <c r="G213" s="52"/>
      <c r="H213" s="52"/>
      <c r="I213" s="52"/>
      <c r="J213" s="52"/>
    </row>
    <row r="214" spans="3:10" x14ac:dyDescent="0.25">
      <c r="C214" s="52"/>
      <c r="D214" s="52"/>
      <c r="E214" s="52"/>
      <c r="F214" s="52"/>
      <c r="G214" s="52"/>
      <c r="H214" s="52"/>
      <c r="I214" s="52"/>
      <c r="J214" s="52"/>
    </row>
    <row r="215" spans="3:10" x14ac:dyDescent="0.25">
      <c r="C215" s="52"/>
      <c r="D215" s="52"/>
      <c r="E215" s="52"/>
      <c r="F215" s="52"/>
      <c r="G215" s="52"/>
      <c r="H215" s="52"/>
      <c r="I215" s="52"/>
      <c r="J215" s="52"/>
    </row>
    <row r="216" spans="3:10" x14ac:dyDescent="0.25">
      <c r="C216" s="52"/>
      <c r="D216" s="52"/>
      <c r="E216" s="52"/>
      <c r="F216" s="52"/>
      <c r="G216" s="52"/>
      <c r="H216" s="52"/>
      <c r="I216" s="52"/>
      <c r="J216" s="52"/>
    </row>
    <row r="217" spans="3:10" x14ac:dyDescent="0.25">
      <c r="C217" s="52"/>
      <c r="D217" s="52"/>
      <c r="E217" s="52"/>
      <c r="F217" s="52"/>
      <c r="G217" s="52"/>
      <c r="H217" s="52"/>
      <c r="I217" s="52"/>
      <c r="J217" s="52"/>
    </row>
    <row r="218" spans="3:10" x14ac:dyDescent="0.25">
      <c r="C218" s="52"/>
      <c r="D218" s="52"/>
      <c r="E218" s="52"/>
      <c r="F218" s="52"/>
      <c r="G218" s="52"/>
      <c r="H218" s="52"/>
      <c r="I218" s="52"/>
      <c r="J218" s="52"/>
    </row>
    <row r="219" spans="3:10" x14ac:dyDescent="0.25">
      <c r="C219" s="52"/>
      <c r="D219" s="52"/>
      <c r="E219" s="52"/>
      <c r="F219" s="52"/>
      <c r="G219" s="52"/>
      <c r="H219" s="52"/>
      <c r="I219" s="52"/>
      <c r="J219" s="52"/>
    </row>
    <row r="220" spans="3:10" x14ac:dyDescent="0.25">
      <c r="C220" s="52"/>
      <c r="D220" s="52"/>
      <c r="E220" s="52"/>
      <c r="F220" s="52"/>
      <c r="G220" s="52"/>
      <c r="H220" s="52"/>
      <c r="I220" s="52"/>
      <c r="J220" s="52"/>
    </row>
    <row r="221" spans="3:10" x14ac:dyDescent="0.25">
      <c r="C221" s="52"/>
      <c r="D221" s="52"/>
      <c r="E221" s="52"/>
      <c r="F221" s="52"/>
      <c r="G221" s="52"/>
      <c r="H221" s="52"/>
      <c r="I221" s="52"/>
      <c r="J221" s="52"/>
    </row>
    <row r="222" spans="3:10" x14ac:dyDescent="0.25">
      <c r="C222" s="52"/>
      <c r="D222" s="52"/>
      <c r="E222" s="52"/>
      <c r="F222" s="52"/>
      <c r="G222" s="52"/>
      <c r="H222" s="52"/>
      <c r="I222" s="52"/>
      <c r="J222" s="52"/>
    </row>
    <row r="223" spans="3:10" x14ac:dyDescent="0.25">
      <c r="C223" s="52"/>
      <c r="D223" s="52"/>
      <c r="E223" s="52"/>
      <c r="F223" s="52"/>
      <c r="G223" s="52"/>
      <c r="H223" s="52"/>
      <c r="I223" s="52"/>
      <c r="J223" s="52"/>
    </row>
    <row r="224" spans="3:10" x14ac:dyDescent="0.25">
      <c r="C224" s="52"/>
      <c r="D224" s="52"/>
      <c r="E224" s="52"/>
      <c r="F224" s="52"/>
      <c r="G224" s="52"/>
      <c r="H224" s="52"/>
      <c r="I224" s="52"/>
      <c r="J224" s="52"/>
    </row>
    <row r="225" spans="3:10" x14ac:dyDescent="0.25">
      <c r="C225" s="52"/>
      <c r="D225" s="52"/>
      <c r="E225" s="52"/>
      <c r="F225" s="52"/>
      <c r="G225" s="52"/>
      <c r="H225" s="52"/>
      <c r="I225" s="52"/>
      <c r="J225" s="52"/>
    </row>
  </sheetData>
  <sheetProtection algorithmName="SHA-512" hashValue="QuKFI1K2PfImIDe6u2fP9m8ytucUQpIbjTc+VL5f+x2GoLyBC8/9jUdZ4PV6k8IZo7j2c4LpH8Re5Lb+Gieo9g==" saltValue="sWNIH5jF5fPnu3RPsuY75g==" spinCount="100000" sheet="1" objects="1" scenarios="1"/>
  <autoFilter ref="A3:J192" xr:uid="{00000000-0009-0000-0000-000000000000}"/>
  <mergeCells count="1">
    <mergeCell ref="A1:I2"/>
  </mergeCells>
  <pageMargins left="0.7" right="0.7" top="0.75" bottom="0.75" header="0.3" footer="0.3"/>
  <pageSetup scale="4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J181"/>
  <sheetViews>
    <sheetView workbookViewId="0">
      <pane ySplit="1" topLeftCell="A2" activePane="bottomLeft" state="frozen"/>
      <selection pane="bottomLeft" activeCell="E10" sqref="E10"/>
    </sheetView>
  </sheetViews>
  <sheetFormatPr defaultColWidth="9.140625" defaultRowHeight="15" x14ac:dyDescent="0.25"/>
  <cols>
    <col min="1" max="1" width="7" style="89" bestFit="1" customWidth="1"/>
    <col min="2" max="2" width="31.140625" style="89" bestFit="1" customWidth="1"/>
    <col min="3" max="3" width="11.5703125" style="89" bestFit="1" customWidth="1"/>
    <col min="4" max="4" width="9" style="89" bestFit="1" customWidth="1"/>
    <col min="5" max="5" width="7.28515625" style="89" bestFit="1" customWidth="1"/>
    <col min="6" max="6" width="8" style="89" bestFit="1" customWidth="1"/>
    <col min="7" max="7" width="10.28515625" style="89" bestFit="1" customWidth="1"/>
    <col min="8" max="8" width="9.140625" style="89" bestFit="1" customWidth="1"/>
    <col min="9" max="9" width="10.42578125" style="89" bestFit="1" customWidth="1"/>
    <col min="10" max="10" width="7.28515625" style="89" bestFit="1" customWidth="1"/>
    <col min="11" max="16384" width="9.140625" style="89"/>
  </cols>
  <sheetData>
    <row r="1" spans="1:10" x14ac:dyDescent="0.25">
      <c r="A1" s="88" t="s">
        <v>574</v>
      </c>
      <c r="B1" s="88" t="s">
        <v>404</v>
      </c>
      <c r="C1" s="88" t="s">
        <v>405</v>
      </c>
      <c r="D1" s="88" t="s">
        <v>406</v>
      </c>
      <c r="E1" s="88" t="s">
        <v>407</v>
      </c>
      <c r="F1" s="88" t="s">
        <v>408</v>
      </c>
      <c r="G1" s="88" t="s">
        <v>409</v>
      </c>
      <c r="H1" s="88" t="s">
        <v>410</v>
      </c>
      <c r="I1" s="88" t="s">
        <v>411</v>
      </c>
      <c r="J1" s="88" t="s">
        <v>387</v>
      </c>
    </row>
    <row r="2" spans="1:10" x14ac:dyDescent="0.25">
      <c r="A2" s="90" t="s">
        <v>6</v>
      </c>
      <c r="B2" s="90" t="s">
        <v>184</v>
      </c>
      <c r="C2" s="90" t="s">
        <v>412</v>
      </c>
      <c r="D2" s="91">
        <v>1133906</v>
      </c>
      <c r="E2" s="91">
        <v>0</v>
      </c>
      <c r="F2" s="91">
        <v>177255</v>
      </c>
      <c r="G2" s="91">
        <v>161273</v>
      </c>
      <c r="H2" s="91">
        <v>0</v>
      </c>
      <c r="I2" s="91">
        <v>0</v>
      </c>
      <c r="J2" s="91">
        <v>0</v>
      </c>
    </row>
    <row r="3" spans="1:10" x14ac:dyDescent="0.25">
      <c r="A3" s="90" t="s">
        <v>7</v>
      </c>
      <c r="B3" s="90" t="s">
        <v>413</v>
      </c>
      <c r="C3" s="90" t="s">
        <v>412</v>
      </c>
      <c r="D3" s="91">
        <v>4239216</v>
      </c>
      <c r="E3" s="91">
        <v>0</v>
      </c>
      <c r="F3" s="91">
        <v>700052</v>
      </c>
      <c r="G3" s="91">
        <v>439350</v>
      </c>
      <c r="H3" s="91">
        <v>0</v>
      </c>
      <c r="I3" s="91">
        <v>0</v>
      </c>
      <c r="J3" s="91">
        <v>0</v>
      </c>
    </row>
    <row r="4" spans="1:10" x14ac:dyDescent="0.25">
      <c r="A4" s="90" t="s">
        <v>8</v>
      </c>
      <c r="B4" s="90" t="s">
        <v>186</v>
      </c>
      <c r="C4" s="90" t="s">
        <v>412</v>
      </c>
      <c r="D4" s="91">
        <v>2219724</v>
      </c>
      <c r="E4" s="91">
        <v>0</v>
      </c>
      <c r="F4" s="91">
        <v>360029</v>
      </c>
      <c r="G4" s="91">
        <v>193055</v>
      </c>
      <c r="H4" s="91">
        <v>259</v>
      </c>
      <c r="I4" s="91">
        <v>1415</v>
      </c>
      <c r="J4" s="91">
        <v>0</v>
      </c>
    </row>
    <row r="5" spans="1:10" x14ac:dyDescent="0.25">
      <c r="A5" s="90" t="s">
        <v>9</v>
      </c>
      <c r="B5" s="90" t="s">
        <v>396</v>
      </c>
      <c r="C5" s="90" t="s">
        <v>412</v>
      </c>
      <c r="D5" s="91">
        <v>1291616</v>
      </c>
      <c r="E5" s="91">
        <v>0</v>
      </c>
      <c r="F5" s="91">
        <v>181827</v>
      </c>
      <c r="G5" s="91">
        <v>150638</v>
      </c>
      <c r="H5" s="91">
        <v>0</v>
      </c>
      <c r="I5" s="91">
        <v>0</v>
      </c>
      <c r="J5" s="91">
        <v>0</v>
      </c>
    </row>
    <row r="6" spans="1:10" x14ac:dyDescent="0.25">
      <c r="A6" s="90" t="s">
        <v>10</v>
      </c>
      <c r="B6" s="90" t="s">
        <v>188</v>
      </c>
      <c r="C6" s="90" t="s">
        <v>412</v>
      </c>
      <c r="D6" s="91">
        <v>107756</v>
      </c>
      <c r="E6" s="91">
        <v>0</v>
      </c>
      <c r="F6" s="91">
        <v>28866</v>
      </c>
      <c r="G6" s="91">
        <v>5287</v>
      </c>
      <c r="H6" s="91">
        <v>0</v>
      </c>
      <c r="I6" s="91">
        <v>0</v>
      </c>
      <c r="J6" s="91">
        <v>0</v>
      </c>
    </row>
    <row r="7" spans="1:10" x14ac:dyDescent="0.25">
      <c r="A7" s="90" t="s">
        <v>11</v>
      </c>
      <c r="B7" s="90" t="s">
        <v>189</v>
      </c>
      <c r="C7" s="90" t="s">
        <v>412</v>
      </c>
      <c r="D7" s="91">
        <v>70669</v>
      </c>
      <c r="E7" s="91">
        <v>0</v>
      </c>
      <c r="F7" s="91">
        <v>9078</v>
      </c>
      <c r="G7" s="91">
        <v>2239</v>
      </c>
      <c r="H7" s="91">
        <v>0</v>
      </c>
      <c r="I7" s="91">
        <v>0</v>
      </c>
      <c r="J7" s="91">
        <v>0</v>
      </c>
    </row>
    <row r="8" spans="1:10" x14ac:dyDescent="0.25">
      <c r="A8" s="90" t="s">
        <v>12</v>
      </c>
      <c r="B8" s="90" t="s">
        <v>190</v>
      </c>
      <c r="C8" s="90" t="s">
        <v>412</v>
      </c>
      <c r="D8" s="91">
        <v>3162431</v>
      </c>
      <c r="E8" s="91">
        <v>0</v>
      </c>
      <c r="F8" s="91">
        <v>417424</v>
      </c>
      <c r="G8" s="91">
        <v>251581</v>
      </c>
      <c r="H8" s="91">
        <v>2676</v>
      </c>
      <c r="I8" s="91">
        <v>14617</v>
      </c>
      <c r="J8" s="91">
        <v>0</v>
      </c>
    </row>
    <row r="9" spans="1:10" x14ac:dyDescent="0.25">
      <c r="A9" s="90" t="s">
        <v>13</v>
      </c>
      <c r="B9" s="90" t="s">
        <v>414</v>
      </c>
      <c r="C9" s="90" t="s">
        <v>415</v>
      </c>
      <c r="D9" s="91">
        <v>866152</v>
      </c>
      <c r="E9" s="91">
        <v>9173</v>
      </c>
      <c r="F9" s="91">
        <v>164655</v>
      </c>
      <c r="G9" s="91">
        <v>19654</v>
      </c>
      <c r="H9" s="91">
        <v>90</v>
      </c>
      <c r="I9" s="91">
        <v>472</v>
      </c>
      <c r="J9" s="91">
        <v>40761</v>
      </c>
    </row>
    <row r="10" spans="1:10" x14ac:dyDescent="0.25">
      <c r="A10" s="90" t="s">
        <v>14</v>
      </c>
      <c r="B10" s="90" t="s">
        <v>416</v>
      </c>
      <c r="C10" s="90" t="s">
        <v>415</v>
      </c>
      <c r="D10" s="91">
        <v>109209</v>
      </c>
      <c r="E10" s="91">
        <v>0</v>
      </c>
      <c r="F10" s="91">
        <v>13394</v>
      </c>
      <c r="G10" s="91">
        <v>2177</v>
      </c>
      <c r="H10" s="91">
        <v>0</v>
      </c>
      <c r="I10" s="91">
        <v>0</v>
      </c>
      <c r="J10" s="91">
        <v>0</v>
      </c>
    </row>
    <row r="11" spans="1:10" x14ac:dyDescent="0.25">
      <c r="A11" s="90" t="s">
        <v>15</v>
      </c>
      <c r="B11" s="90" t="s">
        <v>193</v>
      </c>
      <c r="C11" s="90" t="s">
        <v>417</v>
      </c>
      <c r="D11" s="91">
        <v>606895</v>
      </c>
      <c r="E11" s="91">
        <v>0</v>
      </c>
      <c r="F11" s="91">
        <v>173773</v>
      </c>
      <c r="G11" s="91">
        <v>23137</v>
      </c>
      <c r="H11" s="91">
        <v>259</v>
      </c>
      <c r="I11" s="91">
        <v>1415</v>
      </c>
      <c r="J11" s="91">
        <v>0</v>
      </c>
    </row>
    <row r="12" spans="1:10" x14ac:dyDescent="0.25">
      <c r="A12" s="90" t="s">
        <v>16</v>
      </c>
      <c r="B12" s="90" t="s">
        <v>194</v>
      </c>
      <c r="C12" s="90" t="s">
        <v>417</v>
      </c>
      <c r="D12" s="91">
        <v>935415</v>
      </c>
      <c r="E12" s="91">
        <v>0</v>
      </c>
      <c r="F12" s="91">
        <v>90140</v>
      </c>
      <c r="G12" s="91">
        <v>37255</v>
      </c>
      <c r="H12" s="91">
        <v>0</v>
      </c>
      <c r="I12" s="91">
        <v>0</v>
      </c>
      <c r="J12" s="91">
        <v>0</v>
      </c>
    </row>
    <row r="13" spans="1:10" x14ac:dyDescent="0.25">
      <c r="A13" s="90" t="s">
        <v>17</v>
      </c>
      <c r="B13" s="90" t="s">
        <v>195</v>
      </c>
      <c r="C13" s="90" t="s">
        <v>417</v>
      </c>
      <c r="D13" s="91">
        <v>4700413</v>
      </c>
      <c r="E13" s="91">
        <v>218315</v>
      </c>
      <c r="F13" s="91">
        <v>710985</v>
      </c>
      <c r="G13" s="91">
        <v>357376</v>
      </c>
      <c r="H13" s="91">
        <v>0</v>
      </c>
      <c r="I13" s="91">
        <v>0</v>
      </c>
      <c r="J13" s="91">
        <v>0</v>
      </c>
    </row>
    <row r="14" spans="1:10" x14ac:dyDescent="0.25">
      <c r="A14" s="90" t="s">
        <v>18</v>
      </c>
      <c r="B14" s="90" t="s">
        <v>196</v>
      </c>
      <c r="C14" s="90" t="s">
        <v>417</v>
      </c>
      <c r="D14" s="91">
        <v>1184243</v>
      </c>
      <c r="E14" s="91">
        <v>0</v>
      </c>
      <c r="F14" s="91">
        <v>373606</v>
      </c>
      <c r="G14" s="91">
        <v>44719</v>
      </c>
      <c r="H14" s="91">
        <v>1899</v>
      </c>
      <c r="I14" s="91">
        <v>10374</v>
      </c>
      <c r="J14" s="91">
        <v>0</v>
      </c>
    </row>
    <row r="15" spans="1:10" x14ac:dyDescent="0.25">
      <c r="A15" s="90" t="s">
        <v>19</v>
      </c>
      <c r="B15" s="90" t="s">
        <v>197</v>
      </c>
      <c r="C15" s="90" t="s">
        <v>417</v>
      </c>
      <c r="D15" s="91">
        <v>35353</v>
      </c>
      <c r="E15" s="91">
        <v>0</v>
      </c>
      <c r="F15" s="91">
        <v>8329</v>
      </c>
      <c r="G15" s="91">
        <v>1244</v>
      </c>
      <c r="H15" s="91">
        <v>0</v>
      </c>
      <c r="I15" s="91">
        <v>0</v>
      </c>
      <c r="J15" s="91">
        <v>0</v>
      </c>
    </row>
    <row r="16" spans="1:10" x14ac:dyDescent="0.25">
      <c r="A16" s="90" t="s">
        <v>20</v>
      </c>
      <c r="B16" s="90" t="s">
        <v>198</v>
      </c>
      <c r="C16" s="90" t="s">
        <v>417</v>
      </c>
      <c r="D16" s="91">
        <v>11151156</v>
      </c>
      <c r="E16" s="91">
        <v>79492</v>
      </c>
      <c r="F16" s="91">
        <v>1187501</v>
      </c>
      <c r="G16" s="91">
        <v>1013291</v>
      </c>
      <c r="H16" s="91">
        <v>36085</v>
      </c>
      <c r="I16" s="91">
        <v>197093</v>
      </c>
      <c r="J16" s="91">
        <v>0</v>
      </c>
    </row>
    <row r="17" spans="1:10" x14ac:dyDescent="0.25">
      <c r="A17" s="90" t="s">
        <v>21</v>
      </c>
      <c r="B17" s="90" t="s">
        <v>199</v>
      </c>
      <c r="C17" s="90" t="s">
        <v>417</v>
      </c>
      <c r="D17" s="91">
        <v>64682</v>
      </c>
      <c r="E17" s="91">
        <v>0</v>
      </c>
      <c r="F17" s="91">
        <v>20196</v>
      </c>
      <c r="G17" s="91">
        <v>2612</v>
      </c>
      <c r="H17" s="91">
        <v>0</v>
      </c>
      <c r="I17" s="91">
        <v>0</v>
      </c>
      <c r="J17" s="91">
        <v>0</v>
      </c>
    </row>
    <row r="18" spans="1:10" x14ac:dyDescent="0.25">
      <c r="A18" s="90" t="s">
        <v>22</v>
      </c>
      <c r="B18" s="90" t="s">
        <v>418</v>
      </c>
      <c r="C18" s="90" t="s">
        <v>419</v>
      </c>
      <c r="D18" s="91">
        <v>349049</v>
      </c>
      <c r="E18" s="91">
        <v>0</v>
      </c>
      <c r="F18" s="91">
        <v>74291</v>
      </c>
      <c r="G18" s="91">
        <v>0</v>
      </c>
      <c r="H18" s="91">
        <v>0</v>
      </c>
      <c r="I18" s="91">
        <v>0</v>
      </c>
      <c r="J18" s="91">
        <v>0</v>
      </c>
    </row>
    <row r="19" spans="1:10" x14ac:dyDescent="0.25">
      <c r="A19" s="90" t="s">
        <v>23</v>
      </c>
      <c r="B19" s="90" t="s">
        <v>420</v>
      </c>
      <c r="C19" s="90" t="s">
        <v>421</v>
      </c>
      <c r="D19" s="91">
        <v>49963</v>
      </c>
      <c r="E19" s="91">
        <v>0</v>
      </c>
      <c r="F19" s="91">
        <v>12252</v>
      </c>
      <c r="G19" s="91">
        <v>684</v>
      </c>
      <c r="H19" s="91">
        <v>0</v>
      </c>
      <c r="I19" s="91">
        <v>0</v>
      </c>
      <c r="J19" s="91">
        <v>0</v>
      </c>
    </row>
    <row r="20" spans="1:10" x14ac:dyDescent="0.25">
      <c r="A20" s="90" t="s">
        <v>24</v>
      </c>
      <c r="B20" s="90" t="s">
        <v>422</v>
      </c>
      <c r="C20" s="90" t="s">
        <v>421</v>
      </c>
      <c r="D20" s="91">
        <v>18082</v>
      </c>
      <c r="E20" s="91">
        <v>0</v>
      </c>
      <c r="F20" s="91">
        <v>5839</v>
      </c>
      <c r="G20" s="91">
        <v>0</v>
      </c>
      <c r="H20" s="91">
        <v>0</v>
      </c>
      <c r="I20" s="91">
        <v>0</v>
      </c>
      <c r="J20" s="91">
        <v>0</v>
      </c>
    </row>
    <row r="21" spans="1:10" x14ac:dyDescent="0.25">
      <c r="A21" s="90" t="s">
        <v>25</v>
      </c>
      <c r="B21" s="90" t="s">
        <v>423</v>
      </c>
      <c r="C21" s="90" t="s">
        <v>421</v>
      </c>
      <c r="D21" s="91">
        <v>69771</v>
      </c>
      <c r="E21" s="91">
        <v>0</v>
      </c>
      <c r="F21" s="91">
        <v>16714</v>
      </c>
      <c r="G21" s="91">
        <v>249</v>
      </c>
      <c r="H21" s="91">
        <v>0</v>
      </c>
      <c r="I21" s="91">
        <v>0</v>
      </c>
      <c r="J21" s="91">
        <v>0</v>
      </c>
    </row>
    <row r="22" spans="1:10" x14ac:dyDescent="0.25">
      <c r="A22" s="90" t="s">
        <v>26</v>
      </c>
      <c r="B22" s="90" t="s">
        <v>424</v>
      </c>
      <c r="C22" s="90" t="s">
        <v>421</v>
      </c>
      <c r="D22" s="91">
        <v>816</v>
      </c>
      <c r="E22" s="91">
        <v>0</v>
      </c>
      <c r="F22" s="91">
        <v>1184</v>
      </c>
      <c r="G22" s="91">
        <v>62</v>
      </c>
      <c r="H22" s="91">
        <v>0</v>
      </c>
      <c r="I22" s="91">
        <v>0</v>
      </c>
      <c r="J22" s="91">
        <v>0</v>
      </c>
    </row>
    <row r="23" spans="1:10" x14ac:dyDescent="0.25">
      <c r="A23" s="90" t="s">
        <v>27</v>
      </c>
      <c r="B23" s="90" t="s">
        <v>425</v>
      </c>
      <c r="C23" s="90" t="s">
        <v>421</v>
      </c>
      <c r="D23" s="91">
        <v>1799</v>
      </c>
      <c r="E23" s="91">
        <v>0</v>
      </c>
      <c r="F23" s="91">
        <v>2190</v>
      </c>
      <c r="G23" s="91">
        <v>0</v>
      </c>
      <c r="H23" s="91">
        <v>0</v>
      </c>
      <c r="I23" s="91">
        <v>0</v>
      </c>
      <c r="J23" s="91">
        <v>0</v>
      </c>
    </row>
    <row r="24" spans="1:10" x14ac:dyDescent="0.25">
      <c r="A24" s="90" t="s">
        <v>28</v>
      </c>
      <c r="B24" s="90" t="s">
        <v>426</v>
      </c>
      <c r="C24" s="90" t="s">
        <v>427</v>
      </c>
      <c r="D24" s="91">
        <v>234982</v>
      </c>
      <c r="E24" s="91">
        <v>0</v>
      </c>
      <c r="F24" s="91">
        <v>50373</v>
      </c>
      <c r="G24" s="91">
        <v>124</v>
      </c>
      <c r="H24" s="91">
        <v>0</v>
      </c>
      <c r="I24" s="91">
        <v>0</v>
      </c>
      <c r="J24" s="91">
        <v>0</v>
      </c>
    </row>
    <row r="25" spans="1:10" x14ac:dyDescent="0.25">
      <c r="A25" s="90" t="s">
        <v>29</v>
      </c>
      <c r="B25" s="90" t="s">
        <v>428</v>
      </c>
      <c r="C25" s="90" t="s">
        <v>427</v>
      </c>
      <c r="D25" s="91">
        <v>37907</v>
      </c>
      <c r="E25" s="91">
        <v>0</v>
      </c>
      <c r="F25" s="91">
        <v>10898</v>
      </c>
      <c r="G25" s="91">
        <v>1493</v>
      </c>
      <c r="H25" s="91">
        <v>0</v>
      </c>
      <c r="I25" s="91">
        <v>0</v>
      </c>
      <c r="J25" s="91">
        <v>0</v>
      </c>
    </row>
    <row r="26" spans="1:10" x14ac:dyDescent="0.25">
      <c r="A26" s="90" t="s">
        <v>30</v>
      </c>
      <c r="B26" s="90" t="s">
        <v>429</v>
      </c>
      <c r="C26" s="90" t="s">
        <v>430</v>
      </c>
      <c r="D26" s="91">
        <v>3275511</v>
      </c>
      <c r="E26" s="91">
        <v>0</v>
      </c>
      <c r="F26" s="91">
        <v>467170</v>
      </c>
      <c r="G26" s="91">
        <v>280316</v>
      </c>
      <c r="H26" s="91">
        <v>0</v>
      </c>
      <c r="I26" s="91">
        <v>0</v>
      </c>
      <c r="J26" s="91">
        <v>0</v>
      </c>
    </row>
    <row r="27" spans="1:10" x14ac:dyDescent="0.25">
      <c r="A27" s="90" t="s">
        <v>31</v>
      </c>
      <c r="B27" s="90" t="s">
        <v>431</v>
      </c>
      <c r="C27" s="90" t="s">
        <v>430</v>
      </c>
      <c r="D27" s="91">
        <v>2119660</v>
      </c>
      <c r="E27" s="91">
        <v>0</v>
      </c>
      <c r="F27" s="91">
        <v>686897</v>
      </c>
      <c r="G27" s="91">
        <v>184348</v>
      </c>
      <c r="H27" s="91">
        <v>0</v>
      </c>
      <c r="I27" s="91">
        <v>0</v>
      </c>
      <c r="J27" s="91">
        <v>0</v>
      </c>
    </row>
    <row r="28" spans="1:10" x14ac:dyDescent="0.25">
      <c r="A28" s="90" t="s">
        <v>32</v>
      </c>
      <c r="B28" s="90" t="s">
        <v>210</v>
      </c>
      <c r="C28" s="90" t="s">
        <v>432</v>
      </c>
      <c r="D28" s="91">
        <v>160970</v>
      </c>
      <c r="E28" s="91">
        <v>0</v>
      </c>
      <c r="F28" s="91">
        <v>37339</v>
      </c>
      <c r="G28" s="91">
        <v>498</v>
      </c>
      <c r="H28" s="91">
        <v>0</v>
      </c>
      <c r="I28" s="91">
        <v>0</v>
      </c>
      <c r="J28" s="91">
        <v>0</v>
      </c>
    </row>
    <row r="29" spans="1:10" x14ac:dyDescent="0.25">
      <c r="A29" s="90" t="s">
        <v>33</v>
      </c>
      <c r="B29" s="90" t="s">
        <v>211</v>
      </c>
      <c r="C29" s="90" t="s">
        <v>432</v>
      </c>
      <c r="D29" s="91">
        <v>169563</v>
      </c>
      <c r="E29" s="91">
        <v>0</v>
      </c>
      <c r="F29" s="91">
        <v>57158</v>
      </c>
      <c r="G29" s="91">
        <v>1368</v>
      </c>
      <c r="H29" s="91">
        <v>0</v>
      </c>
      <c r="I29" s="91">
        <v>0</v>
      </c>
      <c r="J29" s="91">
        <v>0</v>
      </c>
    </row>
    <row r="30" spans="1:10" x14ac:dyDescent="0.25">
      <c r="A30" s="90" t="s">
        <v>34</v>
      </c>
      <c r="B30" s="90" t="s">
        <v>212</v>
      </c>
      <c r="C30" s="90" t="s">
        <v>433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</row>
    <row r="31" spans="1:10" x14ac:dyDescent="0.25">
      <c r="A31" s="90" t="s">
        <v>35</v>
      </c>
      <c r="B31" s="90" t="s">
        <v>434</v>
      </c>
      <c r="C31" s="90" t="s">
        <v>433</v>
      </c>
      <c r="D31" s="91">
        <v>28551</v>
      </c>
      <c r="E31" s="91">
        <v>0</v>
      </c>
      <c r="F31" s="91">
        <v>11573</v>
      </c>
      <c r="G31" s="91">
        <v>746</v>
      </c>
      <c r="H31" s="91">
        <v>0</v>
      </c>
      <c r="I31" s="91">
        <v>0</v>
      </c>
      <c r="J31" s="91">
        <v>0</v>
      </c>
    </row>
    <row r="32" spans="1:10" x14ac:dyDescent="0.25">
      <c r="A32" s="90" t="s">
        <v>36</v>
      </c>
      <c r="B32" s="90" t="s">
        <v>435</v>
      </c>
      <c r="C32" s="90" t="s">
        <v>436</v>
      </c>
      <c r="D32" s="91">
        <v>97087</v>
      </c>
      <c r="E32" s="91">
        <v>0</v>
      </c>
      <c r="F32" s="91">
        <v>38253</v>
      </c>
      <c r="G32" s="91">
        <v>0</v>
      </c>
      <c r="H32" s="91">
        <v>0</v>
      </c>
      <c r="I32" s="91">
        <v>0</v>
      </c>
      <c r="J32" s="91">
        <v>0</v>
      </c>
    </row>
    <row r="33" spans="1:10" x14ac:dyDescent="0.25">
      <c r="A33" s="90" t="s">
        <v>37</v>
      </c>
      <c r="B33" s="90" t="s">
        <v>437</v>
      </c>
      <c r="C33" s="90" t="s">
        <v>438</v>
      </c>
      <c r="D33" s="91">
        <v>298501</v>
      </c>
      <c r="E33" s="91">
        <v>0</v>
      </c>
      <c r="F33" s="91">
        <v>72282</v>
      </c>
      <c r="G33" s="91">
        <v>0</v>
      </c>
      <c r="H33" s="91">
        <v>0</v>
      </c>
      <c r="I33" s="91">
        <v>0</v>
      </c>
      <c r="J33" s="91">
        <v>0</v>
      </c>
    </row>
    <row r="34" spans="1:10" x14ac:dyDescent="0.25">
      <c r="A34" s="90" t="s">
        <v>38</v>
      </c>
      <c r="B34" s="90" t="s">
        <v>216</v>
      </c>
      <c r="C34" s="90" t="s">
        <v>438</v>
      </c>
      <c r="D34" s="91">
        <v>52992</v>
      </c>
      <c r="E34" s="91">
        <v>0</v>
      </c>
      <c r="F34" s="91">
        <v>23483</v>
      </c>
      <c r="G34" s="91">
        <v>249</v>
      </c>
      <c r="H34" s="91">
        <v>0</v>
      </c>
      <c r="I34" s="91">
        <v>0</v>
      </c>
      <c r="J34" s="91">
        <v>0</v>
      </c>
    </row>
    <row r="35" spans="1:10" x14ac:dyDescent="0.25">
      <c r="A35" s="90" t="s">
        <v>39</v>
      </c>
      <c r="B35" s="90" t="s">
        <v>439</v>
      </c>
      <c r="C35" s="90" t="s">
        <v>438</v>
      </c>
      <c r="D35" s="91">
        <v>153777</v>
      </c>
      <c r="E35" s="91">
        <v>0</v>
      </c>
      <c r="F35" s="91">
        <v>34398</v>
      </c>
      <c r="G35" s="91">
        <v>1741</v>
      </c>
      <c r="H35" s="91">
        <v>0</v>
      </c>
      <c r="I35" s="91">
        <v>0</v>
      </c>
      <c r="J35" s="91">
        <v>0</v>
      </c>
    </row>
    <row r="36" spans="1:10" x14ac:dyDescent="0.25">
      <c r="A36" s="90" t="s">
        <v>40</v>
      </c>
      <c r="B36" s="90" t="s">
        <v>218</v>
      </c>
      <c r="C36" s="90" t="s">
        <v>440</v>
      </c>
      <c r="D36" s="91">
        <v>132791</v>
      </c>
      <c r="E36" s="91">
        <v>0</v>
      </c>
      <c r="F36" s="91">
        <v>37411</v>
      </c>
      <c r="G36" s="91">
        <v>1182</v>
      </c>
      <c r="H36" s="91">
        <v>0</v>
      </c>
      <c r="I36" s="91">
        <v>0</v>
      </c>
      <c r="J36" s="91">
        <v>0</v>
      </c>
    </row>
    <row r="37" spans="1:10" x14ac:dyDescent="0.25">
      <c r="A37" s="90" t="s">
        <v>41</v>
      </c>
      <c r="B37" s="90" t="s">
        <v>219</v>
      </c>
      <c r="C37" s="90" t="s">
        <v>440</v>
      </c>
      <c r="D37" s="91">
        <v>98450</v>
      </c>
      <c r="E37" s="91">
        <v>0</v>
      </c>
      <c r="F37" s="91">
        <v>25178</v>
      </c>
      <c r="G37" s="91">
        <v>2550</v>
      </c>
      <c r="H37" s="91">
        <v>0</v>
      </c>
      <c r="I37" s="91">
        <v>0</v>
      </c>
      <c r="J37" s="91">
        <v>0</v>
      </c>
    </row>
    <row r="38" spans="1:10" x14ac:dyDescent="0.25">
      <c r="A38" s="90" t="s">
        <v>42</v>
      </c>
      <c r="B38" s="90" t="s">
        <v>441</v>
      </c>
      <c r="C38" s="90" t="s">
        <v>442</v>
      </c>
      <c r="D38" s="91">
        <v>211476</v>
      </c>
      <c r="E38" s="91">
        <v>0</v>
      </c>
      <c r="F38" s="91">
        <v>45429</v>
      </c>
      <c r="G38" s="91">
        <v>124</v>
      </c>
      <c r="H38" s="91">
        <v>0</v>
      </c>
      <c r="I38" s="91">
        <v>0</v>
      </c>
      <c r="J38" s="91">
        <v>0</v>
      </c>
    </row>
    <row r="39" spans="1:10" x14ac:dyDescent="0.25">
      <c r="A39" s="90" t="s">
        <v>43</v>
      </c>
      <c r="B39" s="90" t="s">
        <v>443</v>
      </c>
      <c r="C39" s="90" t="s">
        <v>444</v>
      </c>
      <c r="D39" s="91">
        <v>109885</v>
      </c>
      <c r="E39" s="91">
        <v>0</v>
      </c>
      <c r="F39" s="91">
        <v>28020</v>
      </c>
      <c r="G39" s="91">
        <v>0</v>
      </c>
      <c r="H39" s="91">
        <v>0</v>
      </c>
      <c r="I39" s="91">
        <v>0</v>
      </c>
      <c r="J39" s="91">
        <v>0</v>
      </c>
    </row>
    <row r="40" spans="1:10" x14ac:dyDescent="0.25">
      <c r="A40" s="90" t="s">
        <v>44</v>
      </c>
      <c r="B40" s="90" t="s">
        <v>222</v>
      </c>
      <c r="C40" s="90" t="s">
        <v>445</v>
      </c>
      <c r="D40" s="91">
        <v>848275</v>
      </c>
      <c r="E40" s="91">
        <v>0</v>
      </c>
      <c r="F40" s="91">
        <v>218265</v>
      </c>
      <c r="G40" s="91">
        <v>21520</v>
      </c>
      <c r="H40" s="91">
        <v>173</v>
      </c>
      <c r="I40" s="91">
        <v>943</v>
      </c>
      <c r="J40" s="91">
        <v>0</v>
      </c>
    </row>
    <row r="41" spans="1:10" x14ac:dyDescent="0.25">
      <c r="A41" s="90" t="s">
        <v>45</v>
      </c>
      <c r="B41" s="90" t="s">
        <v>223</v>
      </c>
      <c r="C41" s="90" t="s">
        <v>446</v>
      </c>
      <c r="D41" s="91">
        <v>30355586</v>
      </c>
      <c r="E41" s="91">
        <v>525874</v>
      </c>
      <c r="F41" s="91">
        <v>4132234</v>
      </c>
      <c r="G41" s="91">
        <v>1841177</v>
      </c>
      <c r="H41" s="91">
        <v>0</v>
      </c>
      <c r="I41" s="91">
        <v>0</v>
      </c>
      <c r="J41" s="91">
        <v>0</v>
      </c>
    </row>
    <row r="42" spans="1:10" x14ac:dyDescent="0.25">
      <c r="A42" s="90" t="s">
        <v>46</v>
      </c>
      <c r="B42" s="90" t="s">
        <v>447</v>
      </c>
      <c r="C42" s="90" t="s">
        <v>448</v>
      </c>
      <c r="D42" s="91">
        <v>44553</v>
      </c>
      <c r="E42" s="91">
        <v>0</v>
      </c>
      <c r="F42" s="91">
        <v>14685</v>
      </c>
      <c r="G42" s="91">
        <v>0</v>
      </c>
      <c r="H42" s="91">
        <v>0</v>
      </c>
      <c r="I42" s="91">
        <v>0</v>
      </c>
      <c r="J42" s="91">
        <v>0</v>
      </c>
    </row>
    <row r="43" spans="1:10" x14ac:dyDescent="0.25">
      <c r="A43" s="90" t="s">
        <v>47</v>
      </c>
      <c r="B43" s="90" t="s">
        <v>449</v>
      </c>
      <c r="C43" s="90" t="s">
        <v>450</v>
      </c>
      <c r="D43" s="91">
        <v>1833725</v>
      </c>
      <c r="E43" s="91">
        <v>0</v>
      </c>
      <c r="F43" s="91">
        <v>463330</v>
      </c>
      <c r="G43" s="91">
        <v>200146</v>
      </c>
      <c r="H43" s="91">
        <v>0</v>
      </c>
      <c r="I43" s="91">
        <v>0</v>
      </c>
      <c r="J43" s="91">
        <v>0</v>
      </c>
    </row>
    <row r="44" spans="1:10" x14ac:dyDescent="0.25">
      <c r="A44" s="90" t="s">
        <v>48</v>
      </c>
      <c r="B44" s="90" t="s">
        <v>451</v>
      </c>
      <c r="C44" s="90" t="s">
        <v>452</v>
      </c>
      <c r="D44" s="91">
        <v>704856</v>
      </c>
      <c r="E44" s="91">
        <v>0</v>
      </c>
      <c r="F44" s="91">
        <v>103491</v>
      </c>
      <c r="G44" s="91">
        <v>144605</v>
      </c>
      <c r="H44" s="91">
        <v>3108</v>
      </c>
      <c r="I44" s="91">
        <v>16975</v>
      </c>
      <c r="J44" s="91">
        <v>0</v>
      </c>
    </row>
    <row r="45" spans="1:10" x14ac:dyDescent="0.25">
      <c r="A45" s="90" t="s">
        <v>49</v>
      </c>
      <c r="B45" s="90" t="s">
        <v>227</v>
      </c>
      <c r="C45" s="90" t="s">
        <v>453</v>
      </c>
      <c r="D45" s="91">
        <v>154546</v>
      </c>
      <c r="E45" s="91">
        <v>0</v>
      </c>
      <c r="F45" s="91">
        <v>41282</v>
      </c>
      <c r="G45" s="91">
        <v>2052</v>
      </c>
      <c r="H45" s="91">
        <v>0</v>
      </c>
      <c r="I45" s="91">
        <v>0</v>
      </c>
      <c r="J45" s="91">
        <v>0</v>
      </c>
    </row>
    <row r="46" spans="1:10" x14ac:dyDescent="0.25">
      <c r="A46" s="90" t="s">
        <v>50</v>
      </c>
      <c r="B46" s="90" t="s">
        <v>228</v>
      </c>
      <c r="C46" s="90" t="s">
        <v>453</v>
      </c>
      <c r="D46" s="91">
        <v>24929</v>
      </c>
      <c r="E46" s="91">
        <v>0</v>
      </c>
      <c r="F46" s="91">
        <v>9704</v>
      </c>
      <c r="G46" s="91">
        <v>560</v>
      </c>
      <c r="H46" s="91">
        <v>0</v>
      </c>
      <c r="I46" s="91">
        <v>0</v>
      </c>
      <c r="J46" s="91">
        <v>0</v>
      </c>
    </row>
    <row r="47" spans="1:10" x14ac:dyDescent="0.25">
      <c r="A47" s="90" t="s">
        <v>51</v>
      </c>
      <c r="B47" s="90" t="s">
        <v>229</v>
      </c>
      <c r="C47" s="90" t="s">
        <v>453</v>
      </c>
      <c r="D47" s="91">
        <v>61728</v>
      </c>
      <c r="E47" s="91">
        <v>0</v>
      </c>
      <c r="F47" s="91">
        <v>23555</v>
      </c>
      <c r="G47" s="91">
        <v>0</v>
      </c>
      <c r="H47" s="91">
        <v>0</v>
      </c>
      <c r="I47" s="91">
        <v>0</v>
      </c>
      <c r="J47" s="91">
        <v>0</v>
      </c>
    </row>
    <row r="48" spans="1:10" x14ac:dyDescent="0.25">
      <c r="A48" s="90" t="s">
        <v>52</v>
      </c>
      <c r="B48" s="90" t="s">
        <v>230</v>
      </c>
      <c r="C48" s="90" t="s">
        <v>453</v>
      </c>
      <c r="D48" s="91">
        <v>18009</v>
      </c>
      <c r="E48" s="91">
        <v>0</v>
      </c>
      <c r="F48" s="91">
        <v>2406</v>
      </c>
      <c r="G48" s="91">
        <v>0</v>
      </c>
      <c r="H48" s="91">
        <v>0</v>
      </c>
      <c r="I48" s="91">
        <v>0</v>
      </c>
      <c r="J48" s="91">
        <v>0</v>
      </c>
    </row>
    <row r="49" spans="1:10" x14ac:dyDescent="0.25">
      <c r="A49" s="90" t="s">
        <v>53</v>
      </c>
      <c r="B49" s="90" t="s">
        <v>231</v>
      </c>
      <c r="C49" s="90" t="s">
        <v>453</v>
      </c>
      <c r="D49" s="91">
        <v>9723</v>
      </c>
      <c r="E49" s="91">
        <v>0</v>
      </c>
      <c r="F49" s="91">
        <v>987</v>
      </c>
      <c r="G49" s="91">
        <v>0</v>
      </c>
      <c r="H49" s="91">
        <v>0</v>
      </c>
      <c r="I49" s="91">
        <v>0</v>
      </c>
      <c r="J49" s="91">
        <v>0</v>
      </c>
    </row>
    <row r="50" spans="1:10" x14ac:dyDescent="0.25">
      <c r="A50" s="90" t="s">
        <v>54</v>
      </c>
      <c r="B50" s="90" t="s">
        <v>454</v>
      </c>
      <c r="C50" s="90" t="s">
        <v>455</v>
      </c>
      <c r="D50" s="91">
        <v>81203</v>
      </c>
      <c r="E50" s="91">
        <v>0</v>
      </c>
      <c r="F50" s="91">
        <v>12995</v>
      </c>
      <c r="G50" s="91">
        <v>0</v>
      </c>
      <c r="H50" s="91">
        <v>0</v>
      </c>
      <c r="I50" s="91">
        <v>0</v>
      </c>
      <c r="J50" s="91">
        <v>0</v>
      </c>
    </row>
    <row r="51" spans="1:10" x14ac:dyDescent="0.25">
      <c r="A51" s="90" t="s">
        <v>55</v>
      </c>
      <c r="B51" s="90" t="s">
        <v>233</v>
      </c>
      <c r="C51" s="90" t="s">
        <v>455</v>
      </c>
      <c r="D51" s="91">
        <v>4058972</v>
      </c>
      <c r="E51" s="91">
        <v>0</v>
      </c>
      <c r="F51" s="91">
        <v>560351</v>
      </c>
      <c r="G51" s="91">
        <v>143983</v>
      </c>
      <c r="H51" s="91">
        <v>86</v>
      </c>
      <c r="I51" s="91">
        <v>472</v>
      </c>
      <c r="J51" s="91">
        <v>0</v>
      </c>
    </row>
    <row r="52" spans="1:10" x14ac:dyDescent="0.25">
      <c r="A52" s="90" t="s">
        <v>56</v>
      </c>
      <c r="B52" s="90" t="s">
        <v>234</v>
      </c>
      <c r="C52" s="90" t="s">
        <v>455</v>
      </c>
      <c r="D52" s="91">
        <v>1249697</v>
      </c>
      <c r="E52" s="91">
        <v>0</v>
      </c>
      <c r="F52" s="91">
        <v>245896</v>
      </c>
      <c r="G52" s="91">
        <v>12874</v>
      </c>
      <c r="H52" s="89">
        <v>0</v>
      </c>
      <c r="I52" s="91">
        <v>15560</v>
      </c>
      <c r="J52" s="91">
        <v>0</v>
      </c>
    </row>
    <row r="53" spans="1:10" x14ac:dyDescent="0.25">
      <c r="A53" s="90" t="s">
        <v>57</v>
      </c>
      <c r="B53" s="90" t="s">
        <v>235</v>
      </c>
      <c r="C53" s="90" t="s">
        <v>455</v>
      </c>
      <c r="D53" s="91">
        <v>1699157</v>
      </c>
      <c r="E53" s="91">
        <v>0</v>
      </c>
      <c r="F53" s="91">
        <v>146684</v>
      </c>
      <c r="G53" s="91">
        <v>25500</v>
      </c>
      <c r="H53" s="91">
        <v>0</v>
      </c>
      <c r="I53" s="91">
        <v>0</v>
      </c>
      <c r="J53" s="91">
        <v>0</v>
      </c>
    </row>
    <row r="54" spans="1:10" x14ac:dyDescent="0.25">
      <c r="A54" s="90" t="s">
        <v>58</v>
      </c>
      <c r="B54" s="90" t="s">
        <v>236</v>
      </c>
      <c r="C54" s="90" t="s">
        <v>455</v>
      </c>
      <c r="D54" s="91">
        <v>7155565</v>
      </c>
      <c r="E54" s="91">
        <v>15287</v>
      </c>
      <c r="F54" s="91">
        <v>1234884</v>
      </c>
      <c r="G54" s="91">
        <v>161211</v>
      </c>
      <c r="H54" s="91">
        <v>0</v>
      </c>
      <c r="I54" s="91">
        <v>0</v>
      </c>
      <c r="J54" s="91">
        <v>0</v>
      </c>
    </row>
    <row r="55" spans="1:10" x14ac:dyDescent="0.25">
      <c r="A55" s="90" t="s">
        <v>59</v>
      </c>
      <c r="B55" s="90" t="s">
        <v>237</v>
      </c>
      <c r="C55" s="90" t="s">
        <v>455</v>
      </c>
      <c r="D55" s="91">
        <v>174917</v>
      </c>
      <c r="E55" s="91">
        <v>0</v>
      </c>
      <c r="F55" s="91">
        <v>65839</v>
      </c>
      <c r="G55" s="91">
        <v>9578</v>
      </c>
      <c r="H55" s="91">
        <v>0</v>
      </c>
      <c r="I55" s="91">
        <v>0</v>
      </c>
      <c r="J55" s="91">
        <v>0</v>
      </c>
    </row>
    <row r="56" spans="1:10" x14ac:dyDescent="0.25">
      <c r="A56" s="90" t="s">
        <v>60</v>
      </c>
      <c r="B56" s="90" t="s">
        <v>238</v>
      </c>
      <c r="C56" s="90" t="s">
        <v>455</v>
      </c>
      <c r="D56" s="91">
        <v>166287</v>
      </c>
      <c r="E56" s="91">
        <v>0</v>
      </c>
      <c r="F56" s="91">
        <v>87609</v>
      </c>
      <c r="G56" s="91">
        <v>0</v>
      </c>
      <c r="H56" s="91">
        <v>0</v>
      </c>
      <c r="I56" s="91">
        <v>0</v>
      </c>
      <c r="J56" s="91">
        <v>0</v>
      </c>
    </row>
    <row r="57" spans="1:10" x14ac:dyDescent="0.25">
      <c r="A57" s="90" t="s">
        <v>61</v>
      </c>
      <c r="B57" s="90" t="s">
        <v>239</v>
      </c>
      <c r="C57" s="90" t="s">
        <v>455</v>
      </c>
      <c r="D57" s="91">
        <v>543699</v>
      </c>
      <c r="E57" s="91">
        <v>0</v>
      </c>
      <c r="F57" s="91">
        <v>236546</v>
      </c>
      <c r="G57" s="91">
        <v>32591</v>
      </c>
      <c r="H57" s="91">
        <v>13900</v>
      </c>
      <c r="I57" s="91">
        <v>75916</v>
      </c>
      <c r="J57" s="91">
        <v>0</v>
      </c>
    </row>
    <row r="58" spans="1:10" x14ac:dyDescent="0.25">
      <c r="A58" s="90" t="s">
        <v>62</v>
      </c>
      <c r="B58" s="90" t="s">
        <v>240</v>
      </c>
      <c r="C58" s="90" t="s">
        <v>455</v>
      </c>
      <c r="D58" s="91">
        <v>147637</v>
      </c>
      <c r="E58" s="91">
        <v>0</v>
      </c>
      <c r="F58" s="91">
        <v>29694</v>
      </c>
      <c r="G58" s="91">
        <v>8148</v>
      </c>
      <c r="H58" s="91">
        <v>0</v>
      </c>
      <c r="I58" s="91">
        <v>0</v>
      </c>
      <c r="J58" s="91">
        <v>0</v>
      </c>
    </row>
    <row r="59" spans="1:10" x14ac:dyDescent="0.25">
      <c r="A59" s="90" t="s">
        <v>63</v>
      </c>
      <c r="B59" s="90" t="s">
        <v>456</v>
      </c>
      <c r="C59" s="90" t="s">
        <v>455</v>
      </c>
      <c r="D59" s="91">
        <v>116612</v>
      </c>
      <c r="E59" s="91">
        <v>0</v>
      </c>
      <c r="F59" s="91">
        <v>18253</v>
      </c>
      <c r="G59" s="91">
        <v>871</v>
      </c>
      <c r="H59" s="91">
        <v>0</v>
      </c>
      <c r="I59" s="91">
        <v>0</v>
      </c>
      <c r="J59" s="91">
        <v>0</v>
      </c>
    </row>
    <row r="60" spans="1:10" x14ac:dyDescent="0.25">
      <c r="A60" s="90" t="s">
        <v>64</v>
      </c>
      <c r="B60" s="90" t="s">
        <v>242</v>
      </c>
      <c r="C60" s="90" t="s">
        <v>455</v>
      </c>
      <c r="D60" s="91">
        <v>38683</v>
      </c>
      <c r="E60" s="91">
        <v>0</v>
      </c>
      <c r="F60" s="91">
        <v>6429</v>
      </c>
      <c r="G60" s="91">
        <v>1990</v>
      </c>
      <c r="H60" s="91">
        <v>0</v>
      </c>
      <c r="I60" s="91">
        <v>0</v>
      </c>
      <c r="J60" s="91">
        <v>0</v>
      </c>
    </row>
    <row r="61" spans="1:10" x14ac:dyDescent="0.25">
      <c r="A61" s="90" t="s">
        <v>65</v>
      </c>
      <c r="B61" s="90" t="s">
        <v>243</v>
      </c>
      <c r="C61" s="90" t="s">
        <v>455</v>
      </c>
      <c r="D61" s="91">
        <v>152419</v>
      </c>
      <c r="E61" s="91">
        <v>0</v>
      </c>
      <c r="F61" s="91">
        <v>59545</v>
      </c>
      <c r="G61" s="91">
        <v>14989</v>
      </c>
      <c r="H61" s="91">
        <v>0</v>
      </c>
      <c r="I61" s="91">
        <v>0</v>
      </c>
      <c r="J61" s="91">
        <v>0</v>
      </c>
    </row>
    <row r="62" spans="1:10" x14ac:dyDescent="0.25">
      <c r="A62" s="90" t="s">
        <v>66</v>
      </c>
      <c r="B62" s="90" t="s">
        <v>244</v>
      </c>
      <c r="C62" s="90" t="s">
        <v>455</v>
      </c>
      <c r="D62" s="91">
        <v>1061572</v>
      </c>
      <c r="E62" s="91">
        <v>0</v>
      </c>
      <c r="F62" s="91">
        <v>118984</v>
      </c>
      <c r="G62" s="91">
        <v>53177</v>
      </c>
      <c r="H62" s="91">
        <v>1295</v>
      </c>
      <c r="I62" s="91">
        <v>7073</v>
      </c>
      <c r="J62" s="91">
        <v>0</v>
      </c>
    </row>
    <row r="63" spans="1:10" x14ac:dyDescent="0.25">
      <c r="A63" s="90" t="s">
        <v>67</v>
      </c>
      <c r="B63" s="90" t="s">
        <v>457</v>
      </c>
      <c r="C63" s="90" t="s">
        <v>455</v>
      </c>
      <c r="D63" s="91">
        <v>22156</v>
      </c>
      <c r="E63" s="91">
        <v>0</v>
      </c>
      <c r="F63" s="91">
        <v>870</v>
      </c>
      <c r="G63" s="91">
        <v>0</v>
      </c>
      <c r="H63" s="91">
        <v>0</v>
      </c>
      <c r="I63" s="91">
        <v>0</v>
      </c>
      <c r="J63" s="91">
        <v>0</v>
      </c>
    </row>
    <row r="64" spans="1:10" x14ac:dyDescent="0.25">
      <c r="A64" s="90" t="s">
        <v>68</v>
      </c>
      <c r="B64" s="90" t="s">
        <v>458</v>
      </c>
      <c r="C64" s="90" t="s">
        <v>455</v>
      </c>
      <c r="D64" s="91">
        <v>146240</v>
      </c>
      <c r="E64" s="91">
        <v>0</v>
      </c>
      <c r="F64" s="91">
        <v>12084</v>
      </c>
      <c r="G64" s="91">
        <v>311</v>
      </c>
      <c r="H64" s="91">
        <v>0</v>
      </c>
      <c r="I64" s="91">
        <v>0</v>
      </c>
      <c r="J64" s="91">
        <v>0</v>
      </c>
    </row>
    <row r="65" spans="1:10" x14ac:dyDescent="0.25">
      <c r="A65" s="90" t="s">
        <v>69</v>
      </c>
      <c r="B65" s="90" t="s">
        <v>459</v>
      </c>
      <c r="C65" s="90" t="s">
        <v>460</v>
      </c>
      <c r="D65" s="91">
        <v>1058179</v>
      </c>
      <c r="E65" s="91">
        <v>137583</v>
      </c>
      <c r="F65" s="91">
        <v>187367</v>
      </c>
      <c r="G65" s="91">
        <v>2239</v>
      </c>
      <c r="H65" s="91">
        <v>0</v>
      </c>
      <c r="I65" s="91">
        <v>0</v>
      </c>
      <c r="J65" s="91">
        <v>68745</v>
      </c>
    </row>
    <row r="66" spans="1:10" x14ac:dyDescent="0.25">
      <c r="A66" s="90" t="s">
        <v>70</v>
      </c>
      <c r="B66" s="90" t="s">
        <v>461</v>
      </c>
      <c r="C66" s="90" t="s">
        <v>460</v>
      </c>
      <c r="D66" s="91">
        <v>447721</v>
      </c>
      <c r="E66" s="91">
        <v>0</v>
      </c>
      <c r="F66" s="91">
        <v>101193</v>
      </c>
      <c r="G66" s="91">
        <v>1493</v>
      </c>
      <c r="H66" s="89">
        <v>0</v>
      </c>
      <c r="I66" s="89">
        <v>0</v>
      </c>
      <c r="J66" s="91">
        <v>26193</v>
      </c>
    </row>
    <row r="67" spans="1:10" x14ac:dyDescent="0.25">
      <c r="A67" s="90" t="s">
        <v>71</v>
      </c>
      <c r="B67" s="90" t="s">
        <v>462</v>
      </c>
      <c r="C67" s="90" t="s">
        <v>460</v>
      </c>
      <c r="D67" s="91">
        <v>73925</v>
      </c>
      <c r="E67" s="91">
        <v>0</v>
      </c>
      <c r="F67" s="91">
        <v>6454</v>
      </c>
      <c r="G67" s="91">
        <v>0</v>
      </c>
      <c r="H67" s="91">
        <v>0</v>
      </c>
      <c r="I67" s="91">
        <v>0</v>
      </c>
      <c r="J67" s="91">
        <v>0</v>
      </c>
    </row>
    <row r="68" spans="1:10" x14ac:dyDescent="0.25">
      <c r="A68" s="90" t="s">
        <v>72</v>
      </c>
      <c r="B68" s="90" t="s">
        <v>463</v>
      </c>
      <c r="C68" s="90" t="s">
        <v>464</v>
      </c>
      <c r="D68" s="91">
        <v>555726</v>
      </c>
      <c r="E68" s="91">
        <v>0</v>
      </c>
      <c r="F68" s="91">
        <v>118797</v>
      </c>
      <c r="G68" s="91">
        <v>109029</v>
      </c>
      <c r="H68" s="91">
        <v>4230</v>
      </c>
      <c r="I68" s="91">
        <v>23105</v>
      </c>
      <c r="J68" s="91">
        <v>0</v>
      </c>
    </row>
    <row r="69" spans="1:10" x14ac:dyDescent="0.25">
      <c r="A69" s="90" t="s">
        <v>73</v>
      </c>
      <c r="B69" s="90" t="s">
        <v>465</v>
      </c>
      <c r="C69" s="90" t="s">
        <v>464</v>
      </c>
      <c r="D69" s="91">
        <v>619654</v>
      </c>
      <c r="E69" s="91">
        <v>0</v>
      </c>
      <c r="F69" s="91">
        <v>125560</v>
      </c>
      <c r="G69" s="91">
        <v>54421</v>
      </c>
      <c r="H69" s="91">
        <v>1036</v>
      </c>
      <c r="I69" s="91">
        <v>5658</v>
      </c>
      <c r="J69" s="91">
        <v>0</v>
      </c>
    </row>
    <row r="70" spans="1:10" x14ac:dyDescent="0.25">
      <c r="A70" s="90" t="s">
        <v>74</v>
      </c>
      <c r="B70" s="90" t="s">
        <v>252</v>
      </c>
      <c r="C70" s="90" t="s">
        <v>464</v>
      </c>
      <c r="D70" s="91">
        <v>216322</v>
      </c>
      <c r="E70" s="91">
        <v>0</v>
      </c>
      <c r="F70" s="91">
        <v>27861</v>
      </c>
      <c r="G70" s="91">
        <v>12564</v>
      </c>
      <c r="H70" s="91">
        <v>0</v>
      </c>
      <c r="I70" s="91">
        <v>0</v>
      </c>
      <c r="J70" s="91">
        <v>18169</v>
      </c>
    </row>
    <row r="71" spans="1:10" x14ac:dyDescent="0.25">
      <c r="A71" s="90" t="s">
        <v>75</v>
      </c>
      <c r="B71" s="90" t="s">
        <v>466</v>
      </c>
      <c r="C71" s="90" t="s">
        <v>467</v>
      </c>
      <c r="D71" s="91">
        <v>11485</v>
      </c>
      <c r="E71" s="91">
        <v>0</v>
      </c>
      <c r="F71" s="91">
        <v>10933</v>
      </c>
      <c r="G71" s="91">
        <v>0</v>
      </c>
      <c r="H71" s="91">
        <v>0</v>
      </c>
      <c r="I71" s="91">
        <v>0</v>
      </c>
      <c r="J71" s="91">
        <v>0</v>
      </c>
    </row>
    <row r="72" spans="1:10" x14ac:dyDescent="0.25">
      <c r="A72" s="90" t="s">
        <v>76</v>
      </c>
      <c r="B72" s="90" t="s">
        <v>468</v>
      </c>
      <c r="C72" s="90" t="s">
        <v>469</v>
      </c>
      <c r="D72" s="91">
        <v>85077</v>
      </c>
      <c r="E72" s="91">
        <v>0</v>
      </c>
      <c r="F72" s="91">
        <v>19354</v>
      </c>
      <c r="G72" s="91">
        <v>2488</v>
      </c>
      <c r="H72" s="91">
        <v>0</v>
      </c>
      <c r="I72" s="91">
        <v>0</v>
      </c>
      <c r="J72" s="91">
        <v>0</v>
      </c>
    </row>
    <row r="73" spans="1:10" x14ac:dyDescent="0.25">
      <c r="A73" s="90" t="s">
        <v>77</v>
      </c>
      <c r="B73" s="90" t="s">
        <v>255</v>
      </c>
      <c r="C73" s="90" t="s">
        <v>469</v>
      </c>
      <c r="D73" s="91">
        <v>172435</v>
      </c>
      <c r="E73" s="91">
        <v>0</v>
      </c>
      <c r="F73" s="91">
        <v>27572</v>
      </c>
      <c r="G73" s="91">
        <v>7215</v>
      </c>
      <c r="H73" s="91">
        <v>0</v>
      </c>
      <c r="I73" s="91">
        <v>0</v>
      </c>
      <c r="J73" s="91">
        <v>0</v>
      </c>
    </row>
    <row r="74" spans="1:10" x14ac:dyDescent="0.25">
      <c r="A74" s="90" t="s">
        <v>78</v>
      </c>
      <c r="B74" s="90" t="s">
        <v>470</v>
      </c>
      <c r="C74" s="90" t="s">
        <v>471</v>
      </c>
      <c r="D74" s="91">
        <v>277596</v>
      </c>
      <c r="E74" s="91">
        <v>0</v>
      </c>
      <c r="F74" s="91">
        <v>58240</v>
      </c>
      <c r="G74" s="91">
        <v>10573</v>
      </c>
      <c r="H74" s="91">
        <v>0</v>
      </c>
      <c r="I74" s="91">
        <v>0</v>
      </c>
      <c r="J74" s="91">
        <v>0</v>
      </c>
    </row>
    <row r="75" spans="1:10" x14ac:dyDescent="0.25">
      <c r="A75" s="90" t="s">
        <v>79</v>
      </c>
      <c r="B75" s="90" t="s">
        <v>472</v>
      </c>
      <c r="C75" s="90" t="s">
        <v>473</v>
      </c>
      <c r="D75" s="91">
        <v>24539</v>
      </c>
      <c r="E75" s="91">
        <v>0</v>
      </c>
      <c r="F75" s="91">
        <v>4042</v>
      </c>
      <c r="G75" s="91">
        <v>187</v>
      </c>
      <c r="H75" s="91">
        <v>0</v>
      </c>
      <c r="I75" s="91">
        <v>0</v>
      </c>
      <c r="J75" s="91">
        <v>0</v>
      </c>
    </row>
    <row r="76" spans="1:10" x14ac:dyDescent="0.25">
      <c r="A76" s="90" t="s">
        <v>80</v>
      </c>
      <c r="B76" s="90" t="s">
        <v>474</v>
      </c>
      <c r="C76" s="90" t="s">
        <v>475</v>
      </c>
      <c r="D76" s="91">
        <v>289633</v>
      </c>
      <c r="E76" s="91">
        <v>0</v>
      </c>
      <c r="F76" s="91">
        <v>63831</v>
      </c>
      <c r="G76" s="91">
        <v>746</v>
      </c>
      <c r="H76" s="91">
        <v>0</v>
      </c>
      <c r="I76" s="91">
        <v>0</v>
      </c>
      <c r="J76" s="91">
        <v>0</v>
      </c>
    </row>
    <row r="77" spans="1:10" x14ac:dyDescent="0.25">
      <c r="A77" s="90" t="s">
        <v>81</v>
      </c>
      <c r="B77" s="90" t="s">
        <v>476</v>
      </c>
      <c r="C77" s="90" t="s">
        <v>475</v>
      </c>
      <c r="D77" s="91">
        <v>28787</v>
      </c>
      <c r="E77" s="91">
        <v>0</v>
      </c>
      <c r="F77" s="91">
        <v>15280</v>
      </c>
      <c r="G77" s="91">
        <v>0</v>
      </c>
      <c r="H77" s="91">
        <v>0</v>
      </c>
      <c r="I77" s="91">
        <v>0</v>
      </c>
      <c r="J77" s="91">
        <v>0</v>
      </c>
    </row>
    <row r="78" spans="1:10" x14ac:dyDescent="0.25">
      <c r="A78" s="90" t="s">
        <v>82</v>
      </c>
      <c r="B78" s="90" t="s">
        <v>260</v>
      </c>
      <c r="C78" s="90" t="s">
        <v>477</v>
      </c>
      <c r="D78" s="91">
        <v>39900</v>
      </c>
      <c r="E78" s="91">
        <v>0</v>
      </c>
      <c r="F78" s="91">
        <v>11116</v>
      </c>
      <c r="G78" s="91">
        <v>1244</v>
      </c>
      <c r="H78" s="91">
        <v>0</v>
      </c>
      <c r="I78" s="91">
        <v>0</v>
      </c>
      <c r="J78" s="91">
        <v>0</v>
      </c>
    </row>
    <row r="79" spans="1:10" x14ac:dyDescent="0.25">
      <c r="A79" s="90" t="s">
        <v>83</v>
      </c>
      <c r="B79" s="90" t="s">
        <v>261</v>
      </c>
      <c r="C79" s="90" t="s">
        <v>478</v>
      </c>
      <c r="D79" s="91">
        <v>11137945</v>
      </c>
      <c r="E79" s="91">
        <v>36689</v>
      </c>
      <c r="F79" s="91">
        <v>1901702</v>
      </c>
      <c r="G79" s="91">
        <v>411548</v>
      </c>
      <c r="H79" s="91">
        <v>0</v>
      </c>
      <c r="I79" s="91">
        <v>0</v>
      </c>
      <c r="J79" s="91">
        <v>0</v>
      </c>
    </row>
    <row r="80" spans="1:10" x14ac:dyDescent="0.25">
      <c r="A80" s="90" t="s">
        <v>84</v>
      </c>
      <c r="B80" s="90" t="s">
        <v>479</v>
      </c>
      <c r="C80" s="90" t="s">
        <v>480</v>
      </c>
      <c r="D80" s="91">
        <v>24780</v>
      </c>
      <c r="E80" s="91">
        <v>0</v>
      </c>
      <c r="F80" s="91">
        <v>11912</v>
      </c>
      <c r="G80" s="91">
        <v>0</v>
      </c>
      <c r="H80" s="91">
        <v>0</v>
      </c>
      <c r="I80" s="91">
        <v>0</v>
      </c>
      <c r="J80" s="91">
        <v>0</v>
      </c>
    </row>
    <row r="81" spans="1:10" x14ac:dyDescent="0.25">
      <c r="A81" s="90" t="s">
        <v>85</v>
      </c>
      <c r="B81" s="90" t="s">
        <v>481</v>
      </c>
      <c r="C81" s="90" t="s">
        <v>480</v>
      </c>
      <c r="D81" s="91">
        <v>13620</v>
      </c>
      <c r="E81" s="91">
        <v>0</v>
      </c>
      <c r="F81" s="91">
        <v>878</v>
      </c>
      <c r="G81" s="91">
        <v>0</v>
      </c>
      <c r="H81" s="91">
        <v>0</v>
      </c>
      <c r="I81" s="91">
        <v>0</v>
      </c>
      <c r="J81" s="91">
        <v>0</v>
      </c>
    </row>
    <row r="82" spans="1:10" x14ac:dyDescent="0.25">
      <c r="A82" s="90" t="s">
        <v>86</v>
      </c>
      <c r="B82" s="90" t="s">
        <v>264</v>
      </c>
      <c r="C82" s="90" t="s">
        <v>482</v>
      </c>
      <c r="D82" s="91">
        <v>37403</v>
      </c>
      <c r="E82" s="91">
        <v>0</v>
      </c>
      <c r="F82" s="91">
        <v>11174</v>
      </c>
      <c r="G82" s="91">
        <v>0</v>
      </c>
      <c r="H82" s="91">
        <v>0</v>
      </c>
      <c r="I82" s="91">
        <v>0</v>
      </c>
      <c r="J82" s="91">
        <v>0</v>
      </c>
    </row>
    <row r="83" spans="1:10" x14ac:dyDescent="0.25">
      <c r="A83" s="90" t="s">
        <v>87</v>
      </c>
      <c r="B83" s="90" t="s">
        <v>265</v>
      </c>
      <c r="C83" s="90" t="s">
        <v>482</v>
      </c>
      <c r="D83" s="91">
        <v>22333</v>
      </c>
      <c r="E83" s="91">
        <v>0</v>
      </c>
      <c r="F83" s="91">
        <v>4350</v>
      </c>
      <c r="G83" s="91">
        <v>249</v>
      </c>
      <c r="H83" s="91">
        <v>0</v>
      </c>
      <c r="I83" s="91">
        <v>0</v>
      </c>
      <c r="J83" s="91">
        <v>0</v>
      </c>
    </row>
    <row r="84" spans="1:10" x14ac:dyDescent="0.25">
      <c r="A84" s="90" t="s">
        <v>88</v>
      </c>
      <c r="B84" s="90" t="s">
        <v>266</v>
      </c>
      <c r="C84" s="90" t="s">
        <v>482</v>
      </c>
      <c r="D84" s="91">
        <v>35451</v>
      </c>
      <c r="E84" s="91">
        <v>0</v>
      </c>
      <c r="F84" s="91">
        <v>9204</v>
      </c>
      <c r="G84" s="91">
        <v>1306</v>
      </c>
      <c r="H84" s="91">
        <v>0</v>
      </c>
      <c r="I84" s="91">
        <v>0</v>
      </c>
      <c r="J84" s="91">
        <v>0</v>
      </c>
    </row>
    <row r="85" spans="1:10" x14ac:dyDescent="0.25">
      <c r="A85" s="90" t="s">
        <v>89</v>
      </c>
      <c r="B85" s="90" t="s">
        <v>267</v>
      </c>
      <c r="C85" s="90" t="s">
        <v>482</v>
      </c>
      <c r="D85" s="91">
        <v>28638</v>
      </c>
      <c r="E85" s="91">
        <v>0</v>
      </c>
      <c r="F85" s="91">
        <v>3765</v>
      </c>
      <c r="G85" s="91">
        <v>1990</v>
      </c>
      <c r="H85" s="91">
        <v>0</v>
      </c>
      <c r="I85" s="91">
        <v>0</v>
      </c>
      <c r="J85" s="91">
        <v>0</v>
      </c>
    </row>
    <row r="86" spans="1:10" x14ac:dyDescent="0.25">
      <c r="A86" s="90" t="s">
        <v>90</v>
      </c>
      <c r="B86" s="90" t="s">
        <v>483</v>
      </c>
      <c r="C86" s="90" t="s">
        <v>482</v>
      </c>
      <c r="D86" s="91">
        <v>103490</v>
      </c>
      <c r="E86" s="91">
        <v>0</v>
      </c>
      <c r="F86" s="91">
        <v>31869</v>
      </c>
      <c r="G86" s="91">
        <v>10573</v>
      </c>
      <c r="H86" s="91">
        <v>0</v>
      </c>
      <c r="I86" s="91">
        <v>0</v>
      </c>
      <c r="J86" s="91">
        <v>0</v>
      </c>
    </row>
    <row r="87" spans="1:10" x14ac:dyDescent="0.25">
      <c r="A87" s="90" t="s">
        <v>91</v>
      </c>
      <c r="B87" s="90" t="s">
        <v>269</v>
      </c>
      <c r="C87" s="90" t="s">
        <v>484</v>
      </c>
      <c r="D87" s="91">
        <v>273952</v>
      </c>
      <c r="E87" s="91">
        <v>0</v>
      </c>
      <c r="F87" s="91">
        <v>43594</v>
      </c>
      <c r="G87" s="91">
        <v>24505</v>
      </c>
      <c r="H87" s="91">
        <v>0</v>
      </c>
      <c r="I87" s="91">
        <v>0</v>
      </c>
      <c r="J87" s="91">
        <v>18745</v>
      </c>
    </row>
    <row r="88" spans="1:10" x14ac:dyDescent="0.25">
      <c r="A88" s="90" t="s">
        <v>92</v>
      </c>
      <c r="B88" s="90" t="s">
        <v>270</v>
      </c>
      <c r="C88" s="90" t="s">
        <v>485</v>
      </c>
      <c r="D88" s="91">
        <v>492375</v>
      </c>
      <c r="E88" s="91">
        <v>3830</v>
      </c>
      <c r="F88" s="91">
        <v>165802</v>
      </c>
      <c r="G88" s="91">
        <v>12937</v>
      </c>
      <c r="H88" s="91">
        <v>0</v>
      </c>
      <c r="I88" s="91">
        <v>0</v>
      </c>
      <c r="J88" s="91">
        <v>0</v>
      </c>
    </row>
    <row r="89" spans="1:10" x14ac:dyDescent="0.25">
      <c r="A89" s="90" t="s">
        <v>93</v>
      </c>
      <c r="B89" s="90" t="s">
        <v>486</v>
      </c>
      <c r="C89" s="90" t="s">
        <v>485</v>
      </c>
      <c r="D89" s="91">
        <v>88806</v>
      </c>
      <c r="E89" s="91">
        <v>0</v>
      </c>
      <c r="F89" s="91">
        <v>29240</v>
      </c>
      <c r="G89" s="91">
        <v>0</v>
      </c>
      <c r="H89" s="91">
        <v>345</v>
      </c>
      <c r="I89" s="91">
        <v>1886</v>
      </c>
      <c r="J89" s="91">
        <v>0</v>
      </c>
    </row>
    <row r="90" spans="1:10" x14ac:dyDescent="0.25">
      <c r="A90" s="90" t="s">
        <v>94</v>
      </c>
      <c r="B90" s="90" t="s">
        <v>487</v>
      </c>
      <c r="C90" s="90" t="s">
        <v>485</v>
      </c>
      <c r="D90" s="91">
        <v>177474</v>
      </c>
      <c r="E90" s="91">
        <v>0</v>
      </c>
      <c r="F90" s="91">
        <v>51208</v>
      </c>
      <c r="G90" s="91">
        <v>0</v>
      </c>
      <c r="H90" s="91">
        <v>0</v>
      </c>
      <c r="I90" s="91">
        <v>0</v>
      </c>
      <c r="J90" s="91">
        <v>15103</v>
      </c>
    </row>
    <row r="91" spans="1:10" x14ac:dyDescent="0.25">
      <c r="A91" s="90" t="s">
        <v>95</v>
      </c>
      <c r="B91" s="90" t="s">
        <v>273</v>
      </c>
      <c r="C91" s="90" t="s">
        <v>488</v>
      </c>
      <c r="D91" s="91">
        <v>2746985</v>
      </c>
      <c r="E91" s="91">
        <v>47237</v>
      </c>
      <c r="F91" s="91">
        <v>680174</v>
      </c>
      <c r="G91" s="91">
        <v>128994</v>
      </c>
      <c r="H91" s="91">
        <v>0</v>
      </c>
      <c r="I91" s="91">
        <v>0</v>
      </c>
      <c r="J91" s="91">
        <v>0</v>
      </c>
    </row>
    <row r="92" spans="1:10" x14ac:dyDescent="0.25">
      <c r="A92" s="90" t="s">
        <v>96</v>
      </c>
      <c r="B92" s="90" t="s">
        <v>489</v>
      </c>
      <c r="C92" s="90" t="s">
        <v>488</v>
      </c>
      <c r="D92" s="91">
        <v>1592294</v>
      </c>
      <c r="E92" s="91">
        <v>0</v>
      </c>
      <c r="F92" s="91">
        <v>350837</v>
      </c>
      <c r="G92" s="91">
        <v>35452</v>
      </c>
      <c r="H92" s="91">
        <v>0</v>
      </c>
      <c r="I92" s="91">
        <v>0</v>
      </c>
      <c r="J92" s="91">
        <v>0</v>
      </c>
    </row>
    <row r="93" spans="1:10" x14ac:dyDescent="0.25">
      <c r="A93" s="90" t="s">
        <v>97</v>
      </c>
      <c r="B93" s="90" t="s">
        <v>490</v>
      </c>
      <c r="C93" s="90" t="s">
        <v>488</v>
      </c>
      <c r="D93" s="91">
        <v>83878</v>
      </c>
      <c r="E93" s="91">
        <v>0</v>
      </c>
      <c r="F93" s="91">
        <v>39492</v>
      </c>
      <c r="G93" s="91">
        <v>11817</v>
      </c>
      <c r="H93" s="91">
        <v>0</v>
      </c>
      <c r="I93" s="91">
        <v>0</v>
      </c>
      <c r="J93" s="91">
        <v>0</v>
      </c>
    </row>
    <row r="94" spans="1:10" x14ac:dyDescent="0.25">
      <c r="A94" s="90" t="s">
        <v>98</v>
      </c>
      <c r="B94" s="90" t="s">
        <v>276</v>
      </c>
      <c r="C94" s="90" t="s">
        <v>491</v>
      </c>
      <c r="D94" s="91">
        <v>366181</v>
      </c>
      <c r="E94" s="91">
        <v>0</v>
      </c>
      <c r="F94" s="91">
        <v>114895</v>
      </c>
      <c r="G94" s="91">
        <v>2674</v>
      </c>
      <c r="H94" s="91">
        <v>0</v>
      </c>
      <c r="I94" s="91">
        <v>0</v>
      </c>
      <c r="J94" s="91">
        <v>0</v>
      </c>
    </row>
    <row r="95" spans="1:10" x14ac:dyDescent="0.25">
      <c r="A95" s="90" t="s">
        <v>99</v>
      </c>
      <c r="B95" s="90" t="s">
        <v>277</v>
      </c>
      <c r="C95" s="90" t="s">
        <v>491</v>
      </c>
      <c r="D95" s="91">
        <v>32573</v>
      </c>
      <c r="E95" s="91">
        <v>0</v>
      </c>
      <c r="F95" s="91">
        <v>9054</v>
      </c>
      <c r="G95" s="91">
        <v>187</v>
      </c>
      <c r="H95" s="91">
        <v>0</v>
      </c>
      <c r="I95" s="91">
        <v>0</v>
      </c>
      <c r="J95" s="91">
        <v>0</v>
      </c>
    </row>
    <row r="96" spans="1:10" x14ac:dyDescent="0.25">
      <c r="A96" s="90" t="s">
        <v>100</v>
      </c>
      <c r="B96" s="90" t="s">
        <v>278</v>
      </c>
      <c r="C96" s="90" t="s">
        <v>491</v>
      </c>
      <c r="D96" s="91">
        <v>34711</v>
      </c>
      <c r="E96" s="91">
        <v>0</v>
      </c>
      <c r="F96" s="91">
        <v>12530</v>
      </c>
      <c r="G96" s="91">
        <v>373</v>
      </c>
      <c r="H96" s="91">
        <v>0</v>
      </c>
      <c r="I96" s="91">
        <v>0</v>
      </c>
      <c r="J96" s="91">
        <v>0</v>
      </c>
    </row>
    <row r="97" spans="1:10" x14ac:dyDescent="0.25">
      <c r="A97" s="90" t="s">
        <v>101</v>
      </c>
      <c r="B97" s="90" t="s">
        <v>492</v>
      </c>
      <c r="C97" s="90" t="s">
        <v>491</v>
      </c>
      <c r="D97" s="91">
        <v>94315</v>
      </c>
      <c r="E97" s="91">
        <v>0</v>
      </c>
      <c r="F97" s="91">
        <v>18199</v>
      </c>
      <c r="G97" s="91">
        <v>187</v>
      </c>
      <c r="H97" s="91">
        <v>0</v>
      </c>
      <c r="I97" s="91">
        <v>0</v>
      </c>
      <c r="J97" s="91">
        <v>0</v>
      </c>
    </row>
    <row r="98" spans="1:10" x14ac:dyDescent="0.25">
      <c r="A98" s="90" t="s">
        <v>102</v>
      </c>
      <c r="B98" s="90" t="s">
        <v>280</v>
      </c>
      <c r="C98" s="90" t="s">
        <v>491</v>
      </c>
      <c r="D98" s="91">
        <v>0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</row>
    <row r="99" spans="1:10" x14ac:dyDescent="0.25">
      <c r="A99" s="90" t="s">
        <v>103</v>
      </c>
      <c r="B99" s="90" t="s">
        <v>281</v>
      </c>
      <c r="C99" s="90" t="s">
        <v>491</v>
      </c>
      <c r="D99" s="91">
        <v>1541</v>
      </c>
      <c r="E99" s="91">
        <v>0</v>
      </c>
      <c r="F99" s="91">
        <v>5204</v>
      </c>
      <c r="G99" s="91">
        <v>0</v>
      </c>
      <c r="H99" s="91">
        <v>0</v>
      </c>
      <c r="I99" s="91">
        <v>0</v>
      </c>
      <c r="J99" s="91">
        <v>0</v>
      </c>
    </row>
    <row r="100" spans="1:10" x14ac:dyDescent="0.25">
      <c r="A100" s="90" t="s">
        <v>104</v>
      </c>
      <c r="B100" s="90" t="s">
        <v>282</v>
      </c>
      <c r="C100" s="90" t="s">
        <v>493</v>
      </c>
      <c r="D100" s="91">
        <v>38757</v>
      </c>
      <c r="E100" s="91">
        <v>0</v>
      </c>
      <c r="F100" s="91">
        <v>11442</v>
      </c>
      <c r="G100" s="91">
        <v>0</v>
      </c>
      <c r="H100" s="91">
        <v>0</v>
      </c>
      <c r="I100" s="91">
        <v>0</v>
      </c>
      <c r="J100" s="91">
        <v>0</v>
      </c>
    </row>
    <row r="101" spans="1:10" x14ac:dyDescent="0.25">
      <c r="A101" s="90" t="s">
        <v>105</v>
      </c>
      <c r="B101" s="90" t="s">
        <v>494</v>
      </c>
      <c r="C101" s="90" t="s">
        <v>493</v>
      </c>
      <c r="D101" s="91">
        <v>78445</v>
      </c>
      <c r="E101" s="91">
        <v>0</v>
      </c>
      <c r="F101" s="91">
        <v>19317</v>
      </c>
      <c r="G101" s="91">
        <v>1306</v>
      </c>
      <c r="H101" s="91">
        <v>0</v>
      </c>
      <c r="I101" s="91">
        <v>0</v>
      </c>
      <c r="J101" s="91">
        <v>0</v>
      </c>
    </row>
    <row r="102" spans="1:10" x14ac:dyDescent="0.25">
      <c r="A102" s="90" t="s">
        <v>106</v>
      </c>
      <c r="B102" s="90" t="s">
        <v>495</v>
      </c>
      <c r="C102" s="90" t="s">
        <v>493</v>
      </c>
      <c r="D102" s="91">
        <v>16185</v>
      </c>
      <c r="E102" s="91">
        <v>0</v>
      </c>
      <c r="F102" s="91">
        <v>3350</v>
      </c>
      <c r="G102" s="91">
        <v>0</v>
      </c>
      <c r="H102" s="91">
        <v>0</v>
      </c>
      <c r="I102" s="91">
        <v>0</v>
      </c>
      <c r="J102" s="91">
        <v>0</v>
      </c>
    </row>
    <row r="103" spans="1:10" x14ac:dyDescent="0.25">
      <c r="A103" s="90" t="s">
        <v>107</v>
      </c>
      <c r="B103" s="90" t="s">
        <v>496</v>
      </c>
      <c r="C103" s="90" t="s">
        <v>497</v>
      </c>
      <c r="D103" s="91">
        <v>428678</v>
      </c>
      <c r="E103" s="91">
        <v>0</v>
      </c>
      <c r="F103" s="91">
        <v>121938</v>
      </c>
      <c r="G103" s="91">
        <v>7339</v>
      </c>
      <c r="H103" s="91">
        <v>0</v>
      </c>
      <c r="I103" s="91">
        <v>0</v>
      </c>
      <c r="J103" s="91">
        <v>0</v>
      </c>
    </row>
    <row r="104" spans="1:10" x14ac:dyDescent="0.25">
      <c r="A104" s="90" t="s">
        <v>108</v>
      </c>
      <c r="B104" s="90" t="s">
        <v>498</v>
      </c>
      <c r="C104" s="90" t="s">
        <v>497</v>
      </c>
      <c r="D104" s="91">
        <v>31736</v>
      </c>
      <c r="E104" s="91">
        <v>0</v>
      </c>
      <c r="F104" s="91">
        <v>5824</v>
      </c>
      <c r="G104" s="91">
        <v>0</v>
      </c>
      <c r="H104" s="91">
        <v>0</v>
      </c>
      <c r="I104" s="91">
        <v>0</v>
      </c>
      <c r="J104" s="91">
        <v>0</v>
      </c>
    </row>
    <row r="105" spans="1:10" x14ac:dyDescent="0.25">
      <c r="A105" s="90" t="s">
        <v>109</v>
      </c>
      <c r="B105" s="90" t="s">
        <v>499</v>
      </c>
      <c r="C105" s="90" t="s">
        <v>497</v>
      </c>
      <c r="D105" s="91">
        <v>22176</v>
      </c>
      <c r="E105" s="91">
        <v>0</v>
      </c>
      <c r="F105" s="91">
        <v>7606</v>
      </c>
      <c r="G105" s="91">
        <v>0</v>
      </c>
      <c r="H105" s="91">
        <v>0</v>
      </c>
      <c r="I105" s="91">
        <v>0</v>
      </c>
      <c r="J105" s="91">
        <v>0</v>
      </c>
    </row>
    <row r="106" spans="1:10" x14ac:dyDescent="0.25">
      <c r="A106" s="90" t="s">
        <v>110</v>
      </c>
      <c r="B106" s="90" t="s">
        <v>500</v>
      </c>
      <c r="C106" s="90" t="s">
        <v>497</v>
      </c>
      <c r="D106" s="91">
        <v>2101</v>
      </c>
      <c r="E106" s="91">
        <v>0</v>
      </c>
      <c r="F106" s="91">
        <v>5221</v>
      </c>
      <c r="G106" s="91">
        <v>0</v>
      </c>
      <c r="H106" s="91">
        <v>0</v>
      </c>
      <c r="I106" s="91">
        <v>0</v>
      </c>
      <c r="J106" s="91">
        <v>0</v>
      </c>
    </row>
    <row r="107" spans="1:10" x14ac:dyDescent="0.25">
      <c r="A107" s="90" t="s">
        <v>111</v>
      </c>
      <c r="B107" s="90" t="s">
        <v>501</v>
      </c>
      <c r="C107" s="90" t="s">
        <v>502</v>
      </c>
      <c r="D107" s="91">
        <v>22779</v>
      </c>
      <c r="E107" s="91">
        <v>0</v>
      </c>
      <c r="F107" s="91">
        <v>5993</v>
      </c>
      <c r="G107" s="91">
        <v>0</v>
      </c>
      <c r="H107" s="91">
        <v>0</v>
      </c>
      <c r="I107" s="91">
        <v>0</v>
      </c>
      <c r="J107" s="91">
        <v>0</v>
      </c>
    </row>
    <row r="108" spans="1:10" x14ac:dyDescent="0.25">
      <c r="A108" s="90" t="s">
        <v>112</v>
      </c>
      <c r="B108" s="90" t="s">
        <v>290</v>
      </c>
      <c r="C108" s="90" t="s">
        <v>502</v>
      </c>
      <c r="D108" s="91">
        <v>83549</v>
      </c>
      <c r="E108" s="91">
        <v>0</v>
      </c>
      <c r="F108" s="91">
        <v>16976</v>
      </c>
      <c r="G108" s="91">
        <v>0</v>
      </c>
      <c r="H108" s="91">
        <v>0</v>
      </c>
      <c r="I108" s="91">
        <v>0</v>
      </c>
      <c r="J108" s="91">
        <v>0</v>
      </c>
    </row>
    <row r="109" spans="1:10" x14ac:dyDescent="0.25">
      <c r="A109" s="90" t="s">
        <v>113</v>
      </c>
      <c r="B109" s="90" t="s">
        <v>291</v>
      </c>
      <c r="C109" s="90" t="s">
        <v>502</v>
      </c>
      <c r="D109" s="91">
        <v>4214972</v>
      </c>
      <c r="E109" s="91">
        <v>30576</v>
      </c>
      <c r="F109" s="91">
        <v>792610</v>
      </c>
      <c r="G109" s="91">
        <v>72334</v>
      </c>
      <c r="H109" s="91">
        <v>0</v>
      </c>
      <c r="I109" s="91">
        <v>0</v>
      </c>
      <c r="J109" s="91">
        <v>0</v>
      </c>
    </row>
    <row r="110" spans="1:10" x14ac:dyDescent="0.25">
      <c r="A110" s="90" t="s">
        <v>114</v>
      </c>
      <c r="B110" s="90" t="s">
        <v>503</v>
      </c>
      <c r="C110" s="90" t="s">
        <v>504</v>
      </c>
      <c r="D110" s="91">
        <v>1387</v>
      </c>
      <c r="E110" s="91">
        <v>0</v>
      </c>
      <c r="F110" s="91">
        <v>4360</v>
      </c>
      <c r="G110" s="91">
        <v>0</v>
      </c>
      <c r="H110" s="91">
        <v>0</v>
      </c>
      <c r="I110" s="91">
        <v>0</v>
      </c>
      <c r="J110" s="91">
        <v>0</v>
      </c>
    </row>
    <row r="111" spans="1:10" x14ac:dyDescent="0.25">
      <c r="A111" s="90" t="s">
        <v>115</v>
      </c>
      <c r="B111" s="90" t="s">
        <v>505</v>
      </c>
      <c r="C111" s="90" t="s">
        <v>506</v>
      </c>
      <c r="D111" s="91">
        <v>244368</v>
      </c>
      <c r="E111" s="91">
        <v>0</v>
      </c>
      <c r="F111" s="91">
        <v>89859</v>
      </c>
      <c r="G111" s="91">
        <v>14056</v>
      </c>
      <c r="H111" s="91">
        <v>0</v>
      </c>
      <c r="I111" s="91">
        <v>0</v>
      </c>
      <c r="J111" s="91">
        <v>0</v>
      </c>
    </row>
    <row r="112" spans="1:10" x14ac:dyDescent="0.25">
      <c r="A112" s="90" t="s">
        <v>116</v>
      </c>
      <c r="B112" s="90" t="s">
        <v>507</v>
      </c>
      <c r="C112" s="90" t="s">
        <v>508</v>
      </c>
      <c r="D112" s="91">
        <v>808632</v>
      </c>
      <c r="E112" s="91">
        <v>0</v>
      </c>
      <c r="F112" s="91">
        <v>186156</v>
      </c>
      <c r="G112" s="91">
        <v>11133</v>
      </c>
      <c r="H112" s="91">
        <v>0</v>
      </c>
      <c r="I112" s="91">
        <v>0</v>
      </c>
      <c r="J112" s="91">
        <v>51111</v>
      </c>
    </row>
    <row r="113" spans="1:10" x14ac:dyDescent="0.25">
      <c r="A113" s="90" t="s">
        <v>117</v>
      </c>
      <c r="B113" s="90" t="s">
        <v>509</v>
      </c>
      <c r="C113" s="90" t="s">
        <v>508</v>
      </c>
      <c r="D113" s="91">
        <v>132124</v>
      </c>
      <c r="E113" s="91">
        <v>0</v>
      </c>
      <c r="F113" s="91">
        <v>24320</v>
      </c>
      <c r="G113" s="91">
        <v>0</v>
      </c>
      <c r="H113" s="91">
        <v>0</v>
      </c>
      <c r="I113" s="91">
        <v>0</v>
      </c>
      <c r="J113" s="91">
        <v>13951</v>
      </c>
    </row>
    <row r="114" spans="1:10" x14ac:dyDescent="0.25">
      <c r="A114" s="90" t="s">
        <v>118</v>
      </c>
      <c r="B114" s="90" t="s">
        <v>510</v>
      </c>
      <c r="C114" s="90" t="s">
        <v>508</v>
      </c>
      <c r="D114" s="91">
        <v>94676</v>
      </c>
      <c r="E114" s="91">
        <v>0</v>
      </c>
      <c r="F114" s="91">
        <v>22083</v>
      </c>
      <c r="G114" s="91">
        <v>0</v>
      </c>
      <c r="H114" s="91">
        <v>345</v>
      </c>
      <c r="I114" s="91">
        <v>1886</v>
      </c>
      <c r="J114" s="91">
        <v>0</v>
      </c>
    </row>
    <row r="115" spans="1:10" x14ac:dyDescent="0.25">
      <c r="A115" s="90" t="s">
        <v>119</v>
      </c>
      <c r="B115" s="90" t="s">
        <v>511</v>
      </c>
      <c r="C115" s="90" t="s">
        <v>512</v>
      </c>
      <c r="D115" s="91">
        <v>1266562</v>
      </c>
      <c r="E115" s="91">
        <v>0</v>
      </c>
      <c r="F115" s="91">
        <v>226556</v>
      </c>
      <c r="G115" s="91">
        <v>61885</v>
      </c>
      <c r="H115" s="91">
        <v>0</v>
      </c>
      <c r="I115" s="91">
        <v>0</v>
      </c>
      <c r="J115" s="91">
        <v>110906</v>
      </c>
    </row>
    <row r="116" spans="1:10" x14ac:dyDescent="0.25">
      <c r="A116" s="90" t="s">
        <v>120</v>
      </c>
      <c r="B116" s="90" t="s">
        <v>513</v>
      </c>
      <c r="C116" s="90" t="s">
        <v>512</v>
      </c>
      <c r="D116" s="91">
        <v>67345</v>
      </c>
      <c r="E116" s="91">
        <v>0</v>
      </c>
      <c r="F116" s="91">
        <v>18077</v>
      </c>
      <c r="G116" s="91">
        <v>435</v>
      </c>
      <c r="H116" s="91">
        <v>0</v>
      </c>
      <c r="I116" s="91">
        <v>0</v>
      </c>
      <c r="J116" s="91">
        <v>0</v>
      </c>
    </row>
    <row r="117" spans="1:10" x14ac:dyDescent="0.25">
      <c r="A117" s="90" t="s">
        <v>121</v>
      </c>
      <c r="B117" s="90" t="s">
        <v>514</v>
      </c>
      <c r="C117" s="90" t="s">
        <v>515</v>
      </c>
      <c r="D117" s="91">
        <v>206970</v>
      </c>
      <c r="E117" s="91">
        <v>0</v>
      </c>
      <c r="F117" s="91">
        <v>55409</v>
      </c>
      <c r="G117" s="91">
        <v>13496</v>
      </c>
      <c r="H117" s="91">
        <v>0</v>
      </c>
      <c r="I117" s="91">
        <v>0</v>
      </c>
      <c r="J117" s="91">
        <v>0</v>
      </c>
    </row>
    <row r="118" spans="1:10" x14ac:dyDescent="0.25">
      <c r="A118" s="90" t="s">
        <v>122</v>
      </c>
      <c r="B118" s="90" t="s">
        <v>516</v>
      </c>
      <c r="C118" s="90" t="s">
        <v>515</v>
      </c>
      <c r="D118" s="91">
        <v>589685</v>
      </c>
      <c r="E118" s="91">
        <v>0</v>
      </c>
      <c r="F118" s="91">
        <v>144585</v>
      </c>
      <c r="G118" s="91">
        <v>57718</v>
      </c>
      <c r="H118" s="91">
        <v>2590</v>
      </c>
      <c r="I118" s="91">
        <v>14146</v>
      </c>
      <c r="J118" s="91">
        <v>56667</v>
      </c>
    </row>
    <row r="119" spans="1:10" x14ac:dyDescent="0.25">
      <c r="A119" s="90" t="s">
        <v>123</v>
      </c>
      <c r="B119" s="90" t="s">
        <v>517</v>
      </c>
      <c r="C119" s="90" t="s">
        <v>515</v>
      </c>
      <c r="D119" s="91">
        <v>10363</v>
      </c>
      <c r="E119" s="91">
        <v>0</v>
      </c>
      <c r="F119" s="91">
        <v>6938</v>
      </c>
      <c r="G119" s="91">
        <v>124</v>
      </c>
      <c r="H119" s="91">
        <v>0</v>
      </c>
      <c r="I119" s="91">
        <v>0</v>
      </c>
      <c r="J119" s="91">
        <v>0</v>
      </c>
    </row>
    <row r="120" spans="1:10" x14ac:dyDescent="0.25">
      <c r="A120" s="90" t="s">
        <v>124</v>
      </c>
      <c r="B120" s="90" t="s">
        <v>518</v>
      </c>
      <c r="C120" s="90" t="s">
        <v>515</v>
      </c>
      <c r="D120" s="91">
        <v>84209</v>
      </c>
      <c r="E120" s="91">
        <v>0</v>
      </c>
      <c r="F120" s="91">
        <v>14226</v>
      </c>
      <c r="G120" s="91">
        <v>5909</v>
      </c>
      <c r="H120" s="91">
        <v>0</v>
      </c>
      <c r="I120" s="91">
        <v>0</v>
      </c>
      <c r="J120" s="91">
        <v>0</v>
      </c>
    </row>
    <row r="121" spans="1:10" x14ac:dyDescent="0.25">
      <c r="A121" s="90" t="s">
        <v>125</v>
      </c>
      <c r="B121" s="90" t="s">
        <v>303</v>
      </c>
      <c r="C121" s="90" t="s">
        <v>519</v>
      </c>
      <c r="D121" s="91">
        <v>730774</v>
      </c>
      <c r="E121" s="91">
        <v>0</v>
      </c>
      <c r="F121" s="91">
        <v>102095</v>
      </c>
      <c r="G121" s="91">
        <v>1306</v>
      </c>
      <c r="H121" s="91">
        <v>0</v>
      </c>
      <c r="I121" s="91">
        <v>0</v>
      </c>
      <c r="J121" s="91">
        <v>24979</v>
      </c>
    </row>
    <row r="122" spans="1:10" x14ac:dyDescent="0.25">
      <c r="A122" s="90" t="s">
        <v>126</v>
      </c>
      <c r="B122" s="90" t="s">
        <v>304</v>
      </c>
      <c r="C122" s="90" t="s">
        <v>519</v>
      </c>
      <c r="D122" s="91">
        <v>512908</v>
      </c>
      <c r="E122" s="91">
        <v>0</v>
      </c>
      <c r="F122" s="91">
        <v>101553</v>
      </c>
      <c r="G122" s="91">
        <v>3359</v>
      </c>
      <c r="H122" s="91">
        <v>0</v>
      </c>
      <c r="I122" s="91">
        <v>0</v>
      </c>
      <c r="J122" s="91">
        <v>14856</v>
      </c>
    </row>
    <row r="123" spans="1:10" x14ac:dyDescent="0.25">
      <c r="A123" s="90" t="s">
        <v>127</v>
      </c>
      <c r="B123" s="90" t="s">
        <v>305</v>
      </c>
      <c r="C123" s="90" t="s">
        <v>519</v>
      </c>
      <c r="D123" s="91">
        <v>111959</v>
      </c>
      <c r="E123" s="91">
        <v>0</v>
      </c>
      <c r="F123" s="91">
        <v>14652</v>
      </c>
      <c r="G123" s="91">
        <v>1866</v>
      </c>
      <c r="H123" s="91">
        <v>0</v>
      </c>
      <c r="I123" s="91">
        <v>0</v>
      </c>
      <c r="J123" s="91">
        <v>0</v>
      </c>
    </row>
    <row r="124" spans="1:10" x14ac:dyDescent="0.25">
      <c r="A124" s="90" t="s">
        <v>128</v>
      </c>
      <c r="B124" s="90" t="s">
        <v>306</v>
      </c>
      <c r="C124" s="90" t="s">
        <v>519</v>
      </c>
      <c r="D124" s="91">
        <v>91106</v>
      </c>
      <c r="E124" s="91">
        <v>0</v>
      </c>
      <c r="F124" s="91">
        <v>21195</v>
      </c>
      <c r="G124" s="91">
        <v>124</v>
      </c>
      <c r="H124" s="91">
        <v>0</v>
      </c>
      <c r="I124" s="91">
        <v>0</v>
      </c>
      <c r="J124" s="91">
        <v>0</v>
      </c>
    </row>
    <row r="125" spans="1:10" x14ac:dyDescent="0.25">
      <c r="A125" s="90" t="s">
        <v>129</v>
      </c>
      <c r="B125" s="90" t="s">
        <v>307</v>
      </c>
      <c r="C125" s="90" t="s">
        <v>519</v>
      </c>
      <c r="D125" s="91">
        <v>34743</v>
      </c>
      <c r="E125" s="91">
        <v>0</v>
      </c>
      <c r="F125" s="91">
        <v>9657</v>
      </c>
      <c r="G125" s="91">
        <v>0</v>
      </c>
      <c r="H125" s="91">
        <v>0</v>
      </c>
      <c r="I125" s="91">
        <v>0</v>
      </c>
      <c r="J125" s="91">
        <v>0</v>
      </c>
    </row>
    <row r="126" spans="1:10" x14ac:dyDescent="0.25">
      <c r="A126" s="90" t="s">
        <v>130</v>
      </c>
      <c r="B126" s="90" t="s">
        <v>308</v>
      </c>
      <c r="C126" s="90" t="s">
        <v>519</v>
      </c>
      <c r="D126" s="91">
        <v>55059</v>
      </c>
      <c r="E126" s="91">
        <v>0</v>
      </c>
      <c r="F126" s="91">
        <v>10669</v>
      </c>
      <c r="G126" s="91">
        <v>0</v>
      </c>
      <c r="H126" s="91">
        <v>0</v>
      </c>
      <c r="I126" s="91">
        <v>0</v>
      </c>
      <c r="J126" s="91">
        <v>0</v>
      </c>
    </row>
    <row r="127" spans="1:10" x14ac:dyDescent="0.25">
      <c r="A127" s="90" t="s">
        <v>131</v>
      </c>
      <c r="B127" s="90" t="s">
        <v>309</v>
      </c>
      <c r="C127" s="90" t="s">
        <v>520</v>
      </c>
      <c r="D127" s="91">
        <v>24732</v>
      </c>
      <c r="E127" s="91">
        <v>0</v>
      </c>
      <c r="F127" s="91">
        <v>6036</v>
      </c>
      <c r="G127" s="91">
        <v>0</v>
      </c>
      <c r="H127" s="91">
        <v>0</v>
      </c>
      <c r="I127" s="91">
        <v>0</v>
      </c>
      <c r="J127" s="91">
        <v>0</v>
      </c>
    </row>
    <row r="128" spans="1:10" x14ac:dyDescent="0.25">
      <c r="A128" s="90" t="s">
        <v>132</v>
      </c>
      <c r="B128" s="90" t="s">
        <v>310</v>
      </c>
      <c r="C128" s="90" t="s">
        <v>520</v>
      </c>
      <c r="D128" s="91">
        <v>47202</v>
      </c>
      <c r="E128" s="91">
        <v>0</v>
      </c>
      <c r="F128" s="91">
        <v>8393</v>
      </c>
      <c r="G128" s="91">
        <v>809</v>
      </c>
      <c r="H128" s="91">
        <v>0</v>
      </c>
      <c r="I128" s="91">
        <v>0</v>
      </c>
      <c r="J128" s="91">
        <v>0</v>
      </c>
    </row>
    <row r="129" spans="1:10" x14ac:dyDescent="0.25">
      <c r="A129" s="90" t="s">
        <v>133</v>
      </c>
      <c r="B129" s="90" t="s">
        <v>311</v>
      </c>
      <c r="C129" s="90" t="s">
        <v>521</v>
      </c>
      <c r="D129" s="91">
        <v>141807</v>
      </c>
      <c r="E129" s="91">
        <v>0</v>
      </c>
      <c r="F129" s="91">
        <v>44888</v>
      </c>
      <c r="G129" s="91">
        <v>0</v>
      </c>
      <c r="H129" s="91">
        <v>0</v>
      </c>
      <c r="I129" s="91">
        <v>0</v>
      </c>
      <c r="J129" s="91">
        <v>0</v>
      </c>
    </row>
    <row r="130" spans="1:10" x14ac:dyDescent="0.25">
      <c r="A130" s="90" t="s">
        <v>134</v>
      </c>
      <c r="B130" s="90" t="s">
        <v>522</v>
      </c>
      <c r="C130" s="90" t="s">
        <v>521</v>
      </c>
      <c r="D130" s="91">
        <v>122000</v>
      </c>
      <c r="E130" s="91">
        <v>0</v>
      </c>
      <c r="F130" s="91">
        <v>17546</v>
      </c>
      <c r="G130" s="91">
        <v>0</v>
      </c>
      <c r="H130" s="91">
        <v>0</v>
      </c>
      <c r="I130" s="91">
        <v>0</v>
      </c>
      <c r="J130" s="91">
        <v>0</v>
      </c>
    </row>
    <row r="131" spans="1:10" x14ac:dyDescent="0.25">
      <c r="A131" s="90" t="s">
        <v>135</v>
      </c>
      <c r="B131" s="90" t="s">
        <v>523</v>
      </c>
      <c r="C131" s="90" t="s">
        <v>524</v>
      </c>
      <c r="D131" s="91">
        <v>89100</v>
      </c>
      <c r="E131" s="91">
        <v>0</v>
      </c>
      <c r="F131" s="91">
        <v>19811</v>
      </c>
      <c r="G131" s="91">
        <v>8956</v>
      </c>
      <c r="H131" s="91">
        <v>0</v>
      </c>
      <c r="I131" s="91">
        <v>0</v>
      </c>
      <c r="J131" s="91">
        <v>0</v>
      </c>
    </row>
    <row r="132" spans="1:10" x14ac:dyDescent="0.25">
      <c r="A132" s="90" t="s">
        <v>136</v>
      </c>
      <c r="B132" s="90" t="s">
        <v>525</v>
      </c>
      <c r="C132" s="90" t="s">
        <v>524</v>
      </c>
      <c r="D132" s="91">
        <v>29771</v>
      </c>
      <c r="E132" s="91">
        <v>0</v>
      </c>
      <c r="F132" s="91">
        <v>8958</v>
      </c>
      <c r="G132" s="91">
        <v>0</v>
      </c>
      <c r="H132" s="91">
        <v>0</v>
      </c>
      <c r="I132" s="91">
        <v>0</v>
      </c>
      <c r="J132" s="91">
        <v>0</v>
      </c>
    </row>
    <row r="133" spans="1:10" x14ac:dyDescent="0.25">
      <c r="A133" s="90" t="s">
        <v>137</v>
      </c>
      <c r="B133" s="90" t="s">
        <v>315</v>
      </c>
      <c r="C133" s="90" t="s">
        <v>526</v>
      </c>
      <c r="D133" s="91">
        <v>83319</v>
      </c>
      <c r="E133" s="91">
        <v>0</v>
      </c>
      <c r="F133" s="91">
        <v>25140</v>
      </c>
      <c r="G133" s="91">
        <v>11195</v>
      </c>
      <c r="H133" s="91">
        <v>0</v>
      </c>
      <c r="I133" s="91">
        <v>0</v>
      </c>
      <c r="J133" s="91">
        <v>0</v>
      </c>
    </row>
    <row r="134" spans="1:10" x14ac:dyDescent="0.25">
      <c r="A134" s="90" t="s">
        <v>138</v>
      </c>
      <c r="B134" s="90" t="s">
        <v>527</v>
      </c>
      <c r="C134" s="90" t="s">
        <v>528</v>
      </c>
      <c r="D134" s="91">
        <v>62658</v>
      </c>
      <c r="E134" s="91">
        <v>0</v>
      </c>
      <c r="F134" s="91">
        <v>14517</v>
      </c>
      <c r="G134" s="91">
        <v>1555</v>
      </c>
      <c r="H134" s="91">
        <v>0</v>
      </c>
      <c r="I134" s="91">
        <v>0</v>
      </c>
      <c r="J134" s="91">
        <v>0</v>
      </c>
    </row>
    <row r="135" spans="1:10" x14ac:dyDescent="0.25">
      <c r="A135" s="90" t="s">
        <v>139</v>
      </c>
      <c r="B135" s="90" t="s">
        <v>529</v>
      </c>
      <c r="C135" s="90" t="s">
        <v>528</v>
      </c>
      <c r="D135" s="91">
        <v>468449</v>
      </c>
      <c r="E135" s="91">
        <v>0</v>
      </c>
      <c r="F135" s="91">
        <v>120050</v>
      </c>
      <c r="G135" s="91">
        <v>7339</v>
      </c>
      <c r="H135" s="91">
        <v>0</v>
      </c>
      <c r="I135" s="91">
        <v>0</v>
      </c>
      <c r="J135" s="91">
        <v>0</v>
      </c>
    </row>
    <row r="136" spans="1:10" x14ac:dyDescent="0.25">
      <c r="A136" s="90" t="s">
        <v>140</v>
      </c>
      <c r="B136" s="90" t="s">
        <v>530</v>
      </c>
      <c r="C136" s="90" t="s">
        <v>528</v>
      </c>
      <c r="D136" s="91">
        <v>100173</v>
      </c>
      <c r="E136" s="91">
        <v>0</v>
      </c>
      <c r="F136" s="91">
        <v>14889</v>
      </c>
      <c r="G136" s="91">
        <v>4602</v>
      </c>
      <c r="H136" s="91">
        <v>0</v>
      </c>
      <c r="I136" s="91">
        <v>0</v>
      </c>
      <c r="J136" s="91">
        <v>0</v>
      </c>
    </row>
    <row r="137" spans="1:10" x14ac:dyDescent="0.25">
      <c r="A137" s="90" t="s">
        <v>141</v>
      </c>
      <c r="B137" s="90" t="s">
        <v>531</v>
      </c>
      <c r="C137" s="90" t="s">
        <v>528</v>
      </c>
      <c r="D137" s="91">
        <v>38363</v>
      </c>
      <c r="E137" s="91">
        <v>0</v>
      </c>
      <c r="F137" s="91">
        <v>13277</v>
      </c>
      <c r="G137" s="91">
        <v>684</v>
      </c>
      <c r="H137" s="91">
        <v>0</v>
      </c>
      <c r="I137" s="91">
        <v>0</v>
      </c>
      <c r="J137" s="91">
        <v>0</v>
      </c>
    </row>
    <row r="138" spans="1:10" x14ac:dyDescent="0.25">
      <c r="A138" s="90" t="s">
        <v>142</v>
      </c>
      <c r="B138" s="90" t="s">
        <v>320</v>
      </c>
      <c r="C138" s="90" t="s">
        <v>532</v>
      </c>
      <c r="D138" s="91">
        <v>5791514</v>
      </c>
      <c r="E138" s="91">
        <v>71849</v>
      </c>
      <c r="F138" s="91">
        <v>1116143</v>
      </c>
      <c r="G138" s="91">
        <v>67171</v>
      </c>
      <c r="H138" s="91">
        <v>0</v>
      </c>
      <c r="I138" s="91">
        <v>0</v>
      </c>
      <c r="J138" s="91">
        <v>0</v>
      </c>
    </row>
    <row r="139" spans="1:10" x14ac:dyDescent="0.25">
      <c r="A139" s="90" t="s">
        <v>143</v>
      </c>
      <c r="B139" s="90" t="s">
        <v>533</v>
      </c>
      <c r="C139" s="90" t="s">
        <v>532</v>
      </c>
      <c r="D139" s="91">
        <v>1108748</v>
      </c>
      <c r="E139" s="91">
        <v>0</v>
      </c>
      <c r="F139" s="91">
        <v>185937</v>
      </c>
      <c r="G139" s="91">
        <v>18410</v>
      </c>
      <c r="H139" s="91">
        <v>0</v>
      </c>
      <c r="I139" s="91">
        <v>0</v>
      </c>
      <c r="J139" s="91">
        <v>0</v>
      </c>
    </row>
    <row r="140" spans="1:10" x14ac:dyDescent="0.25">
      <c r="A140" s="90" t="s">
        <v>144</v>
      </c>
      <c r="B140" s="90" t="s">
        <v>534</v>
      </c>
      <c r="C140" s="90" t="s">
        <v>535</v>
      </c>
      <c r="D140" s="91">
        <v>46838</v>
      </c>
      <c r="E140" s="91">
        <v>0</v>
      </c>
      <c r="F140" s="91">
        <v>25082</v>
      </c>
      <c r="G140" s="91">
        <v>3545</v>
      </c>
      <c r="H140" s="91">
        <v>0</v>
      </c>
      <c r="I140" s="91">
        <v>0</v>
      </c>
      <c r="J140" s="91">
        <v>0</v>
      </c>
    </row>
    <row r="141" spans="1:10" x14ac:dyDescent="0.25">
      <c r="A141" s="90" t="s">
        <v>145</v>
      </c>
      <c r="B141" s="90" t="s">
        <v>536</v>
      </c>
      <c r="C141" s="90" t="s">
        <v>535</v>
      </c>
      <c r="D141" s="91">
        <v>65600</v>
      </c>
      <c r="E141" s="91">
        <v>0</v>
      </c>
      <c r="F141" s="91">
        <v>13091</v>
      </c>
      <c r="G141" s="91">
        <v>0</v>
      </c>
      <c r="H141" s="91">
        <v>0</v>
      </c>
      <c r="I141" s="91">
        <v>0</v>
      </c>
      <c r="J141" s="91">
        <v>0</v>
      </c>
    </row>
    <row r="142" spans="1:10" x14ac:dyDescent="0.25">
      <c r="A142" s="90" t="s">
        <v>146</v>
      </c>
      <c r="B142" s="90" t="s">
        <v>324</v>
      </c>
      <c r="C142" s="90" t="s">
        <v>537</v>
      </c>
      <c r="D142" s="91">
        <v>272226</v>
      </c>
      <c r="E142" s="91">
        <v>0</v>
      </c>
      <c r="F142" s="91">
        <v>39614</v>
      </c>
      <c r="G142" s="91">
        <v>1679</v>
      </c>
      <c r="H142" s="91">
        <v>0</v>
      </c>
      <c r="I142" s="91">
        <v>0</v>
      </c>
      <c r="J142" s="91">
        <v>0</v>
      </c>
    </row>
    <row r="143" spans="1:10" x14ac:dyDescent="0.25">
      <c r="A143" s="90" t="s">
        <v>147</v>
      </c>
      <c r="B143" s="90" t="s">
        <v>325</v>
      </c>
      <c r="C143" s="90" t="s">
        <v>537</v>
      </c>
      <c r="D143" s="91">
        <v>276082</v>
      </c>
      <c r="E143" s="91">
        <v>0</v>
      </c>
      <c r="F143" s="91">
        <v>92590</v>
      </c>
      <c r="G143" s="91">
        <v>8085</v>
      </c>
      <c r="H143" s="91">
        <v>0</v>
      </c>
      <c r="I143" s="91">
        <v>0</v>
      </c>
      <c r="J143" s="91">
        <v>20412</v>
      </c>
    </row>
    <row r="144" spans="1:10" x14ac:dyDescent="0.25">
      <c r="A144" s="90" t="s">
        <v>148</v>
      </c>
      <c r="B144" s="90" t="s">
        <v>538</v>
      </c>
      <c r="C144" s="90" t="s">
        <v>537</v>
      </c>
      <c r="D144" s="91">
        <v>64744</v>
      </c>
      <c r="E144" s="91">
        <v>0</v>
      </c>
      <c r="F144" s="91">
        <v>14364</v>
      </c>
      <c r="G144" s="91">
        <v>1493</v>
      </c>
      <c r="H144" s="91">
        <v>0</v>
      </c>
      <c r="I144" s="91">
        <v>0</v>
      </c>
      <c r="J144" s="91">
        <v>0</v>
      </c>
    </row>
    <row r="145" spans="1:10" x14ac:dyDescent="0.25">
      <c r="A145" s="90" t="s">
        <v>149</v>
      </c>
      <c r="B145" s="90" t="s">
        <v>539</v>
      </c>
      <c r="C145" s="90" t="s">
        <v>540</v>
      </c>
      <c r="D145" s="91">
        <v>71699</v>
      </c>
      <c r="E145" s="91">
        <v>0</v>
      </c>
      <c r="F145" s="91">
        <v>10517</v>
      </c>
      <c r="G145" s="91">
        <v>1120</v>
      </c>
      <c r="H145" s="91">
        <v>0</v>
      </c>
      <c r="I145" s="91">
        <v>0</v>
      </c>
      <c r="J145" s="91">
        <v>0</v>
      </c>
    </row>
    <row r="146" spans="1:10" x14ac:dyDescent="0.25">
      <c r="A146" s="90" t="s">
        <v>150</v>
      </c>
      <c r="B146" s="90" t="s">
        <v>541</v>
      </c>
      <c r="C146" s="90" t="s">
        <v>540</v>
      </c>
      <c r="D146" s="91">
        <v>140793</v>
      </c>
      <c r="E146" s="91">
        <v>0</v>
      </c>
      <c r="F146" s="91">
        <v>48941</v>
      </c>
      <c r="G146" s="91">
        <v>13310</v>
      </c>
      <c r="H146" s="91">
        <v>259</v>
      </c>
      <c r="I146" s="91">
        <v>1415</v>
      </c>
      <c r="J146" s="91">
        <v>0</v>
      </c>
    </row>
    <row r="147" spans="1:10" x14ac:dyDescent="0.25">
      <c r="A147" s="90" t="s">
        <v>151</v>
      </c>
      <c r="B147" s="90" t="s">
        <v>542</v>
      </c>
      <c r="C147" s="90" t="s">
        <v>540</v>
      </c>
      <c r="D147" s="91">
        <v>70955</v>
      </c>
      <c r="E147" s="91">
        <v>0</v>
      </c>
      <c r="F147" s="91">
        <v>11432</v>
      </c>
      <c r="G147" s="91">
        <v>933</v>
      </c>
      <c r="H147" s="91">
        <v>0</v>
      </c>
      <c r="I147" s="91">
        <v>0</v>
      </c>
      <c r="J147" s="91">
        <v>0</v>
      </c>
    </row>
    <row r="148" spans="1:10" x14ac:dyDescent="0.25">
      <c r="A148" s="90" t="s">
        <v>152</v>
      </c>
      <c r="B148" s="90" t="s">
        <v>543</v>
      </c>
      <c r="C148" s="90" t="s">
        <v>544</v>
      </c>
      <c r="D148" s="91">
        <v>90012</v>
      </c>
      <c r="E148" s="91">
        <v>0</v>
      </c>
      <c r="F148" s="91">
        <v>19417</v>
      </c>
      <c r="G148" s="91">
        <v>0</v>
      </c>
      <c r="H148" s="91">
        <v>0</v>
      </c>
      <c r="I148" s="91">
        <v>0</v>
      </c>
      <c r="J148" s="91">
        <v>0</v>
      </c>
    </row>
    <row r="149" spans="1:10" x14ac:dyDescent="0.25">
      <c r="A149" s="90" t="s">
        <v>153</v>
      </c>
      <c r="B149" s="90" t="s">
        <v>331</v>
      </c>
      <c r="C149" s="90" t="s">
        <v>544</v>
      </c>
      <c r="D149" s="91">
        <v>112185</v>
      </c>
      <c r="E149" s="91">
        <v>0</v>
      </c>
      <c r="F149" s="91">
        <v>10175</v>
      </c>
      <c r="G149" s="91">
        <v>0</v>
      </c>
      <c r="H149" s="89">
        <v>0</v>
      </c>
      <c r="I149" s="89">
        <v>0</v>
      </c>
      <c r="J149" s="91">
        <v>0</v>
      </c>
    </row>
    <row r="150" spans="1:10" x14ac:dyDescent="0.25">
      <c r="A150" s="90" t="s">
        <v>154</v>
      </c>
      <c r="B150" s="90" t="s">
        <v>545</v>
      </c>
      <c r="C150" s="90" t="s">
        <v>544</v>
      </c>
      <c r="D150" s="91">
        <v>455651</v>
      </c>
      <c r="E150" s="91">
        <v>0</v>
      </c>
      <c r="F150" s="91">
        <v>60228</v>
      </c>
      <c r="G150" s="91">
        <v>15425</v>
      </c>
      <c r="H150" s="91">
        <v>432</v>
      </c>
      <c r="I150" s="91">
        <v>2358</v>
      </c>
      <c r="J150" s="91">
        <v>0</v>
      </c>
    </row>
    <row r="151" spans="1:10" x14ac:dyDescent="0.25">
      <c r="A151" s="90" t="s">
        <v>155</v>
      </c>
      <c r="B151" s="90" t="s">
        <v>333</v>
      </c>
      <c r="C151" s="90" t="s">
        <v>546</v>
      </c>
      <c r="D151" s="91">
        <v>18106</v>
      </c>
      <c r="E151" s="91">
        <v>0</v>
      </c>
      <c r="F151" s="91">
        <v>6213</v>
      </c>
      <c r="G151" s="91">
        <v>0</v>
      </c>
      <c r="H151" s="91">
        <v>0</v>
      </c>
      <c r="I151" s="91">
        <v>0</v>
      </c>
      <c r="J151" s="91">
        <v>0</v>
      </c>
    </row>
    <row r="152" spans="1:10" x14ac:dyDescent="0.25">
      <c r="A152" s="90" t="s">
        <v>156</v>
      </c>
      <c r="B152" s="90" t="s">
        <v>334</v>
      </c>
      <c r="C152" s="90" t="s">
        <v>547</v>
      </c>
      <c r="D152" s="91">
        <v>74791</v>
      </c>
      <c r="E152" s="91">
        <v>0</v>
      </c>
      <c r="F152" s="91">
        <v>18786</v>
      </c>
      <c r="G152" s="91">
        <v>5846</v>
      </c>
      <c r="H152" s="91">
        <v>863</v>
      </c>
      <c r="I152" s="91">
        <v>4715</v>
      </c>
      <c r="J152" s="91">
        <v>0</v>
      </c>
    </row>
    <row r="153" spans="1:10" x14ac:dyDescent="0.25">
      <c r="A153" s="90" t="s">
        <v>157</v>
      </c>
      <c r="B153" s="90" t="s">
        <v>335</v>
      </c>
      <c r="C153" s="90" t="s">
        <v>547</v>
      </c>
      <c r="D153" s="91">
        <v>79601</v>
      </c>
      <c r="E153" s="91">
        <v>0</v>
      </c>
      <c r="F153" s="91">
        <v>9879</v>
      </c>
      <c r="G153" s="91">
        <v>1057</v>
      </c>
      <c r="H153" s="91">
        <v>0</v>
      </c>
      <c r="I153" s="91">
        <v>0</v>
      </c>
      <c r="J153" s="91">
        <v>0</v>
      </c>
    </row>
    <row r="154" spans="1:10" x14ac:dyDescent="0.25">
      <c r="A154" s="90" t="s">
        <v>158</v>
      </c>
      <c r="B154" s="90" t="s">
        <v>548</v>
      </c>
      <c r="C154" s="90" t="s">
        <v>549</v>
      </c>
      <c r="D154" s="91">
        <v>38482</v>
      </c>
      <c r="E154" s="91">
        <v>0</v>
      </c>
      <c r="F154" s="91">
        <v>10894</v>
      </c>
      <c r="G154" s="91">
        <v>1306</v>
      </c>
      <c r="H154" s="91">
        <v>0</v>
      </c>
      <c r="I154" s="91">
        <v>0</v>
      </c>
      <c r="J154" s="91">
        <v>0</v>
      </c>
    </row>
    <row r="155" spans="1:10" x14ac:dyDescent="0.25">
      <c r="A155" s="90" t="s">
        <v>159</v>
      </c>
      <c r="B155" s="90" t="s">
        <v>550</v>
      </c>
      <c r="C155" s="90" t="s">
        <v>549</v>
      </c>
      <c r="D155" s="91">
        <v>26254</v>
      </c>
      <c r="E155" s="91">
        <v>0</v>
      </c>
      <c r="F155" s="91">
        <v>8018</v>
      </c>
      <c r="G155" s="91">
        <v>0</v>
      </c>
      <c r="H155" s="91">
        <v>0</v>
      </c>
      <c r="I155" s="91">
        <v>0</v>
      </c>
      <c r="J155" s="91">
        <v>0</v>
      </c>
    </row>
    <row r="156" spans="1:10" x14ac:dyDescent="0.25">
      <c r="A156" s="90" t="s">
        <v>160</v>
      </c>
      <c r="B156" s="90" t="s">
        <v>551</v>
      </c>
      <c r="C156" s="90" t="s">
        <v>552</v>
      </c>
      <c r="D156" s="91">
        <v>256233</v>
      </c>
      <c r="E156" s="91">
        <v>0</v>
      </c>
      <c r="F156" s="91">
        <v>55814</v>
      </c>
      <c r="G156" s="91">
        <v>54048</v>
      </c>
      <c r="H156" s="91">
        <v>777</v>
      </c>
      <c r="I156" s="91">
        <v>4244</v>
      </c>
      <c r="J156" s="91">
        <v>0</v>
      </c>
    </row>
    <row r="157" spans="1:10" x14ac:dyDescent="0.25">
      <c r="A157" s="90" t="s">
        <v>161</v>
      </c>
      <c r="B157" s="90" t="s">
        <v>553</v>
      </c>
      <c r="C157" s="90" t="s">
        <v>554</v>
      </c>
      <c r="D157" s="91">
        <v>61191</v>
      </c>
      <c r="E157" s="91">
        <v>0</v>
      </c>
      <c r="F157" s="91">
        <v>15903</v>
      </c>
      <c r="G157" s="91">
        <v>435</v>
      </c>
      <c r="H157" s="91">
        <v>0</v>
      </c>
      <c r="I157" s="91">
        <v>0</v>
      </c>
      <c r="J157" s="91">
        <v>0</v>
      </c>
    </row>
    <row r="158" spans="1:10" x14ac:dyDescent="0.25">
      <c r="A158" s="90" t="s">
        <v>162</v>
      </c>
      <c r="B158" s="90" t="s">
        <v>555</v>
      </c>
      <c r="C158" s="90" t="s">
        <v>554</v>
      </c>
      <c r="D158" s="91">
        <v>282298</v>
      </c>
      <c r="E158" s="91">
        <v>0</v>
      </c>
      <c r="F158" s="91">
        <v>100826</v>
      </c>
      <c r="G158" s="91">
        <v>3048</v>
      </c>
      <c r="H158" s="91">
        <v>0</v>
      </c>
      <c r="I158" s="91">
        <v>0</v>
      </c>
      <c r="J158" s="91">
        <v>0</v>
      </c>
    </row>
    <row r="159" spans="1:10" x14ac:dyDescent="0.25">
      <c r="A159" s="90" t="s">
        <v>163</v>
      </c>
      <c r="B159" s="90" t="s">
        <v>340</v>
      </c>
      <c r="C159" s="90" t="s">
        <v>556</v>
      </c>
      <c r="D159" s="91">
        <v>54935</v>
      </c>
      <c r="E159" s="91">
        <v>0</v>
      </c>
      <c r="F159" s="91">
        <v>17950</v>
      </c>
      <c r="G159" s="91">
        <v>0</v>
      </c>
      <c r="H159" s="91">
        <v>0</v>
      </c>
      <c r="I159" s="91">
        <v>0</v>
      </c>
      <c r="J159" s="91">
        <v>0</v>
      </c>
    </row>
    <row r="160" spans="1:10" x14ac:dyDescent="0.25">
      <c r="A160" s="90" t="s">
        <v>164</v>
      </c>
      <c r="B160" s="90" t="s">
        <v>341</v>
      </c>
      <c r="C160" s="90" t="s">
        <v>556</v>
      </c>
      <c r="D160" s="91">
        <v>13895</v>
      </c>
      <c r="E160" s="91">
        <v>0</v>
      </c>
      <c r="F160" s="91">
        <v>3863</v>
      </c>
      <c r="G160" s="91">
        <v>1804</v>
      </c>
      <c r="H160" s="91">
        <v>0</v>
      </c>
      <c r="I160" s="91">
        <v>0</v>
      </c>
      <c r="J160" s="91">
        <v>0</v>
      </c>
    </row>
    <row r="161" spans="1:10" x14ac:dyDescent="0.25">
      <c r="A161" s="90" t="s">
        <v>165</v>
      </c>
      <c r="B161" s="90" t="s">
        <v>342</v>
      </c>
      <c r="C161" s="90" t="s">
        <v>556</v>
      </c>
      <c r="D161" s="91">
        <v>16736</v>
      </c>
      <c r="E161" s="91">
        <v>0</v>
      </c>
      <c r="F161" s="91">
        <v>4787</v>
      </c>
      <c r="G161" s="91">
        <v>0</v>
      </c>
      <c r="H161" s="91">
        <v>0</v>
      </c>
      <c r="I161" s="91">
        <v>0</v>
      </c>
      <c r="J161" s="91">
        <v>0</v>
      </c>
    </row>
    <row r="162" spans="1:10" x14ac:dyDescent="0.25">
      <c r="A162" s="90" t="s">
        <v>166</v>
      </c>
      <c r="B162" s="90" t="s">
        <v>343</v>
      </c>
      <c r="C162" s="90" t="s">
        <v>556</v>
      </c>
      <c r="D162" s="91">
        <v>1003</v>
      </c>
      <c r="E162" s="91">
        <v>0</v>
      </c>
      <c r="F162" s="91">
        <v>2385</v>
      </c>
      <c r="G162" s="91">
        <v>0</v>
      </c>
      <c r="H162" s="91">
        <v>0</v>
      </c>
      <c r="I162" s="91">
        <v>0</v>
      </c>
      <c r="J162" s="91">
        <v>0</v>
      </c>
    </row>
    <row r="163" spans="1:10" x14ac:dyDescent="0.25">
      <c r="A163" s="90" t="s">
        <v>167</v>
      </c>
      <c r="B163" s="90" t="s">
        <v>344</v>
      </c>
      <c r="C163" s="90" t="s">
        <v>556</v>
      </c>
      <c r="D163" s="91">
        <v>27809</v>
      </c>
      <c r="E163" s="91">
        <v>0</v>
      </c>
      <c r="F163" s="91">
        <v>3938</v>
      </c>
      <c r="G163" s="91">
        <v>124</v>
      </c>
      <c r="H163" s="91">
        <v>0</v>
      </c>
      <c r="I163" s="91">
        <v>0</v>
      </c>
      <c r="J163" s="91">
        <v>0</v>
      </c>
    </row>
    <row r="164" spans="1:10" x14ac:dyDescent="0.25">
      <c r="A164" s="90" t="s">
        <v>168</v>
      </c>
      <c r="B164" s="90" t="s">
        <v>557</v>
      </c>
      <c r="C164" s="90" t="s">
        <v>558</v>
      </c>
      <c r="D164" s="91">
        <v>320384</v>
      </c>
      <c r="E164" s="91">
        <v>0</v>
      </c>
      <c r="F164" s="91">
        <v>61651</v>
      </c>
      <c r="G164" s="91">
        <v>22577</v>
      </c>
      <c r="H164" s="91">
        <v>0</v>
      </c>
      <c r="I164" s="91">
        <v>0</v>
      </c>
      <c r="J164" s="91">
        <v>0</v>
      </c>
    </row>
    <row r="165" spans="1:10" x14ac:dyDescent="0.25">
      <c r="A165" s="90" t="s">
        <v>169</v>
      </c>
      <c r="B165" s="90" t="s">
        <v>559</v>
      </c>
      <c r="C165" s="90" t="s">
        <v>558</v>
      </c>
      <c r="D165" s="91">
        <v>142825</v>
      </c>
      <c r="E165" s="91">
        <v>0</v>
      </c>
      <c r="F165" s="91">
        <v>34393</v>
      </c>
      <c r="G165" s="91">
        <v>8023</v>
      </c>
      <c r="H165" s="91">
        <v>0</v>
      </c>
      <c r="I165" s="91">
        <v>0</v>
      </c>
      <c r="J165" s="91">
        <v>0</v>
      </c>
    </row>
    <row r="166" spans="1:10" x14ac:dyDescent="0.25">
      <c r="A166" s="90" t="s">
        <v>170</v>
      </c>
      <c r="B166" s="90" t="s">
        <v>398</v>
      </c>
      <c r="C166" s="90" t="s">
        <v>558</v>
      </c>
      <c r="D166" s="91">
        <v>211260</v>
      </c>
      <c r="E166" s="91">
        <v>0</v>
      </c>
      <c r="F166" s="91">
        <v>52170</v>
      </c>
      <c r="G166" s="91">
        <v>25438</v>
      </c>
      <c r="H166" s="91">
        <v>691</v>
      </c>
      <c r="I166" s="91">
        <v>3772</v>
      </c>
      <c r="J166" s="91">
        <v>0</v>
      </c>
    </row>
    <row r="167" spans="1:10" x14ac:dyDescent="0.25">
      <c r="A167" s="90" t="s">
        <v>171</v>
      </c>
      <c r="B167" s="90" t="s">
        <v>560</v>
      </c>
      <c r="C167" s="90" t="s">
        <v>558</v>
      </c>
      <c r="D167" s="91">
        <v>215568</v>
      </c>
      <c r="E167" s="91">
        <v>0</v>
      </c>
      <c r="F167" s="91">
        <v>52170</v>
      </c>
      <c r="G167" s="91">
        <v>4540</v>
      </c>
      <c r="H167" s="91">
        <v>0</v>
      </c>
      <c r="I167" s="91">
        <v>0</v>
      </c>
      <c r="J167" s="91">
        <v>0</v>
      </c>
    </row>
    <row r="168" spans="1:10" x14ac:dyDescent="0.25">
      <c r="A168" s="90" t="s">
        <v>172</v>
      </c>
      <c r="B168" s="90" t="s">
        <v>561</v>
      </c>
      <c r="C168" s="90" t="s">
        <v>558</v>
      </c>
      <c r="D168" s="91">
        <v>235121</v>
      </c>
      <c r="E168" s="91">
        <v>0</v>
      </c>
      <c r="F168" s="91">
        <v>52592</v>
      </c>
      <c r="G168" s="91">
        <v>16171</v>
      </c>
      <c r="H168" s="91">
        <v>0</v>
      </c>
      <c r="I168" s="91">
        <v>0</v>
      </c>
      <c r="J168" s="91">
        <v>0</v>
      </c>
    </row>
    <row r="169" spans="1:10" x14ac:dyDescent="0.25">
      <c r="A169" s="90" t="s">
        <v>173</v>
      </c>
      <c r="B169" s="90" t="s">
        <v>349</v>
      </c>
      <c r="C169" s="90" t="s">
        <v>558</v>
      </c>
      <c r="D169" s="91">
        <v>4868735</v>
      </c>
      <c r="E169" s="91">
        <v>15286</v>
      </c>
      <c r="F169" s="91">
        <v>662721</v>
      </c>
      <c r="G169" s="91">
        <v>301960</v>
      </c>
      <c r="H169" s="91">
        <v>0</v>
      </c>
      <c r="I169" s="91">
        <v>0</v>
      </c>
      <c r="J169" s="91">
        <v>0</v>
      </c>
    </row>
    <row r="170" spans="1:10" x14ac:dyDescent="0.25">
      <c r="A170" s="90" t="s">
        <v>174</v>
      </c>
      <c r="B170" s="90" t="s">
        <v>562</v>
      </c>
      <c r="C170" s="90" t="s">
        <v>558</v>
      </c>
      <c r="D170" s="91">
        <v>90035</v>
      </c>
      <c r="E170" s="91">
        <v>0</v>
      </c>
      <c r="F170" s="91">
        <v>20182</v>
      </c>
      <c r="G170" s="91">
        <v>5411</v>
      </c>
      <c r="H170" s="91">
        <v>0</v>
      </c>
      <c r="I170" s="91">
        <v>0</v>
      </c>
      <c r="J170" s="91">
        <v>0</v>
      </c>
    </row>
    <row r="171" spans="1:10" x14ac:dyDescent="0.25">
      <c r="A171" s="90" t="s">
        <v>175</v>
      </c>
      <c r="B171" s="90" t="s">
        <v>563</v>
      </c>
      <c r="C171" s="90" t="s">
        <v>558</v>
      </c>
      <c r="D171" s="91">
        <v>412385</v>
      </c>
      <c r="E171" s="91">
        <v>0</v>
      </c>
      <c r="F171" s="91">
        <v>100885</v>
      </c>
      <c r="G171" s="91">
        <v>47206</v>
      </c>
      <c r="H171" s="91">
        <v>0</v>
      </c>
      <c r="I171" s="91">
        <v>0</v>
      </c>
      <c r="J171" s="91">
        <v>0</v>
      </c>
    </row>
    <row r="172" spans="1:10" x14ac:dyDescent="0.25">
      <c r="A172" s="90" t="s">
        <v>176</v>
      </c>
      <c r="B172" s="90" t="s">
        <v>564</v>
      </c>
      <c r="C172" s="90" t="s">
        <v>558</v>
      </c>
      <c r="D172" s="91">
        <v>159149</v>
      </c>
      <c r="E172" s="91">
        <v>0</v>
      </c>
      <c r="F172" s="91">
        <v>45014</v>
      </c>
      <c r="G172" s="91">
        <v>5535</v>
      </c>
      <c r="H172" s="91">
        <v>0</v>
      </c>
      <c r="I172" s="91">
        <v>0</v>
      </c>
      <c r="J172" s="91">
        <v>0</v>
      </c>
    </row>
    <row r="173" spans="1:10" x14ac:dyDescent="0.25">
      <c r="A173" s="90" t="s">
        <v>177</v>
      </c>
      <c r="B173" s="90" t="s">
        <v>565</v>
      </c>
      <c r="C173" s="90" t="s">
        <v>558</v>
      </c>
      <c r="D173" s="91">
        <v>13128</v>
      </c>
      <c r="E173" s="91">
        <v>0</v>
      </c>
      <c r="F173" s="91">
        <v>3701</v>
      </c>
      <c r="G173" s="91">
        <v>124</v>
      </c>
      <c r="H173" s="91">
        <v>0</v>
      </c>
      <c r="I173" s="91">
        <v>0</v>
      </c>
      <c r="J173" s="91">
        <v>0</v>
      </c>
    </row>
    <row r="174" spans="1:10" x14ac:dyDescent="0.25">
      <c r="A174" s="90" t="s">
        <v>178</v>
      </c>
      <c r="B174" s="90" t="s">
        <v>566</v>
      </c>
      <c r="C174" s="90" t="s">
        <v>558</v>
      </c>
      <c r="D174" s="91">
        <v>15043</v>
      </c>
      <c r="E174" s="91">
        <v>0</v>
      </c>
      <c r="F174" s="91">
        <v>5613</v>
      </c>
      <c r="G174" s="91">
        <v>0</v>
      </c>
      <c r="H174" s="91">
        <v>0</v>
      </c>
      <c r="I174" s="91">
        <v>0</v>
      </c>
      <c r="J174" s="91">
        <v>0</v>
      </c>
    </row>
    <row r="175" spans="1:10" x14ac:dyDescent="0.25">
      <c r="A175" s="90" t="s">
        <v>179</v>
      </c>
      <c r="B175" s="90" t="s">
        <v>567</v>
      </c>
      <c r="C175" s="90" t="s">
        <v>558</v>
      </c>
      <c r="D175" s="91">
        <v>6281</v>
      </c>
      <c r="E175" s="91">
        <v>0</v>
      </c>
      <c r="F175" s="91">
        <v>4827</v>
      </c>
      <c r="G175" s="91">
        <v>0</v>
      </c>
      <c r="H175" s="91">
        <v>0</v>
      </c>
      <c r="I175" s="91">
        <v>0</v>
      </c>
      <c r="J175" s="91">
        <v>0</v>
      </c>
    </row>
    <row r="176" spans="1:10" x14ac:dyDescent="0.25">
      <c r="A176" s="90" t="s">
        <v>180</v>
      </c>
      <c r="B176" s="90" t="s">
        <v>356</v>
      </c>
      <c r="C176" s="90" t="s">
        <v>568</v>
      </c>
      <c r="D176" s="91">
        <v>151015</v>
      </c>
      <c r="E176" s="91">
        <v>0</v>
      </c>
      <c r="F176" s="91">
        <v>34559</v>
      </c>
      <c r="G176" s="91">
        <v>18596</v>
      </c>
      <c r="H176" s="91">
        <v>259</v>
      </c>
      <c r="I176" s="91">
        <v>1415</v>
      </c>
      <c r="J176" s="91">
        <v>0</v>
      </c>
    </row>
    <row r="177" spans="1:10" x14ac:dyDescent="0.25">
      <c r="A177" s="90" t="s">
        <v>181</v>
      </c>
      <c r="B177" s="90" t="s">
        <v>569</v>
      </c>
      <c r="C177" s="90" t="s">
        <v>568</v>
      </c>
      <c r="D177" s="91">
        <v>106817</v>
      </c>
      <c r="E177" s="91">
        <v>0</v>
      </c>
      <c r="F177" s="91">
        <v>22126</v>
      </c>
      <c r="G177" s="91">
        <v>7650</v>
      </c>
      <c r="H177" s="91">
        <v>0</v>
      </c>
      <c r="I177" s="91">
        <v>0</v>
      </c>
      <c r="J177" s="91">
        <v>0</v>
      </c>
    </row>
    <row r="178" spans="1:10" x14ac:dyDescent="0.25">
      <c r="A178" s="90" t="s">
        <v>182</v>
      </c>
      <c r="B178" s="90" t="s">
        <v>570</v>
      </c>
      <c r="C178" s="90" t="s">
        <v>568</v>
      </c>
      <c r="D178" s="91">
        <v>37779</v>
      </c>
      <c r="E178" s="91">
        <v>0</v>
      </c>
      <c r="F178" s="91">
        <v>6746</v>
      </c>
      <c r="G178" s="91">
        <v>2488</v>
      </c>
      <c r="H178" s="91">
        <v>173</v>
      </c>
      <c r="I178" s="91">
        <v>943</v>
      </c>
      <c r="J178" s="91">
        <v>0</v>
      </c>
    </row>
    <row r="179" spans="1:10" x14ac:dyDescent="0.25">
      <c r="A179" s="90" t="s">
        <v>183</v>
      </c>
      <c r="B179" s="90" t="s">
        <v>359</v>
      </c>
      <c r="C179" s="90" t="s">
        <v>568</v>
      </c>
      <c r="D179" s="91">
        <v>9402</v>
      </c>
      <c r="E179" s="91">
        <v>0</v>
      </c>
      <c r="F179" s="91">
        <v>5090</v>
      </c>
      <c r="G179" s="91">
        <v>311</v>
      </c>
      <c r="H179" s="91">
        <v>0</v>
      </c>
      <c r="I179" s="91">
        <v>0</v>
      </c>
      <c r="J179" s="91">
        <v>0</v>
      </c>
    </row>
    <row r="180" spans="1:10" x14ac:dyDescent="0.25">
      <c r="A180" s="90" t="s">
        <v>402</v>
      </c>
      <c r="B180" s="90" t="s">
        <v>571</v>
      </c>
      <c r="C180" s="90" t="s">
        <v>572</v>
      </c>
      <c r="D180" s="91">
        <v>1937006</v>
      </c>
      <c r="E180" s="91">
        <v>0</v>
      </c>
      <c r="F180" s="91">
        <v>31916</v>
      </c>
      <c r="G180" s="91">
        <v>207609</v>
      </c>
      <c r="H180" s="91">
        <v>5180</v>
      </c>
      <c r="I180" s="91">
        <v>28292</v>
      </c>
      <c r="J180" s="91">
        <v>0</v>
      </c>
    </row>
    <row r="181" spans="1:10" x14ac:dyDescent="0.25">
      <c r="A181" s="90" t="s">
        <v>362</v>
      </c>
      <c r="B181" s="90" t="s">
        <v>573</v>
      </c>
      <c r="C181" s="90" t="s">
        <v>572</v>
      </c>
      <c r="D181" s="89">
        <v>96246</v>
      </c>
      <c r="E181" s="91">
        <v>0</v>
      </c>
      <c r="F181" s="91">
        <v>9762</v>
      </c>
      <c r="G181" s="92">
        <v>0</v>
      </c>
      <c r="H181" s="92">
        <v>0</v>
      </c>
      <c r="I181" s="92">
        <v>0</v>
      </c>
      <c r="J181" s="92">
        <v>0</v>
      </c>
    </row>
  </sheetData>
  <sheetProtection password="EF32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66CCFF"/>
  </sheetPr>
  <dimension ref="A1:AM225"/>
  <sheetViews>
    <sheetView zoomScale="98" zoomScaleNormal="98" workbookViewId="0">
      <pane xSplit="7" ySplit="11" topLeftCell="U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Y20" sqref="Y20"/>
    </sheetView>
  </sheetViews>
  <sheetFormatPr defaultColWidth="9.140625" defaultRowHeight="15" x14ac:dyDescent="0.25"/>
  <cols>
    <col min="1" max="1" width="9.140625" style="118"/>
    <col min="2" max="2" width="33" style="7" bestFit="1" customWidth="1"/>
    <col min="3" max="3" width="18.5703125" style="7" customWidth="1"/>
    <col min="4" max="4" width="18.28515625" style="182" customWidth="1"/>
    <col min="5" max="5" width="28.140625" style="7" customWidth="1"/>
    <col min="6" max="6" width="15.7109375" style="7" customWidth="1"/>
    <col min="7" max="7" width="17.42578125" style="7" customWidth="1"/>
    <col min="8" max="16" width="15.7109375" style="7" customWidth="1"/>
    <col min="17" max="17" width="15.7109375" style="94" customWidth="1"/>
    <col min="18" max="34" width="15.7109375" style="7" customWidth="1"/>
    <col min="35" max="35" width="14.42578125" style="7" customWidth="1"/>
    <col min="36" max="36" width="13.7109375" style="7" customWidth="1"/>
    <col min="37" max="37" width="12.85546875" style="7" customWidth="1"/>
    <col min="38" max="38" width="12" style="7" customWidth="1"/>
    <col min="39" max="39" width="12.85546875" style="7" customWidth="1"/>
    <col min="40" max="16384" width="9.140625" style="7"/>
  </cols>
  <sheetData>
    <row r="1" spans="1:39" s="62" customFormat="1" ht="21" x14ac:dyDescent="0.35">
      <c r="A1" s="122" t="s">
        <v>0</v>
      </c>
      <c r="B1" s="64"/>
      <c r="C1" s="122" t="s">
        <v>662</v>
      </c>
      <c r="D1" s="177"/>
      <c r="E1" s="122"/>
      <c r="F1" s="63"/>
      <c r="G1" s="63"/>
      <c r="H1" s="66"/>
      <c r="I1" s="66"/>
      <c r="J1" s="65" t="str">
        <f>C1</f>
        <v>Title I-A Formula  (Revised Final 11/18/21)</v>
      </c>
      <c r="K1" s="65"/>
      <c r="L1" s="63"/>
      <c r="M1" s="63"/>
      <c r="N1" s="63"/>
      <c r="O1" s="63"/>
      <c r="P1" s="65" t="str">
        <f>C1</f>
        <v>Title I-A Formula  (Revised Final 11/18/21)</v>
      </c>
      <c r="Q1" s="97"/>
      <c r="R1" s="65"/>
      <c r="S1" s="65"/>
      <c r="T1" s="63"/>
      <c r="U1" s="63"/>
      <c r="V1" s="65" t="str">
        <f>C1</f>
        <v>Title I-A Formula  (Revised Final 11/18/21)</v>
      </c>
      <c r="W1" s="63"/>
      <c r="X1" s="66"/>
      <c r="Y1" s="66"/>
      <c r="Z1" s="65"/>
      <c r="AA1" s="65"/>
      <c r="AB1" s="65" t="str">
        <f>C1</f>
        <v>Title I-A Formula  (Revised Final 11/18/21)</v>
      </c>
      <c r="AC1" s="63"/>
      <c r="AD1" s="63"/>
      <c r="AE1" s="63"/>
      <c r="AF1" s="65" t="str">
        <f>C1</f>
        <v>Title I-A Formula  (Revised Final 11/18/21)</v>
      </c>
      <c r="AG1" s="66"/>
      <c r="AH1" s="65"/>
      <c r="AI1" s="122"/>
      <c r="AJ1" s="122"/>
      <c r="AK1" s="122"/>
      <c r="AL1" s="122"/>
      <c r="AM1" s="122"/>
    </row>
    <row r="2" spans="1:39" s="62" customFormat="1" ht="15.75" x14ac:dyDescent="0.25">
      <c r="A2" s="123" t="s">
        <v>1</v>
      </c>
      <c r="B2" s="64"/>
      <c r="C2" s="68" t="s">
        <v>363</v>
      </c>
      <c r="D2" s="178"/>
      <c r="E2" s="68"/>
      <c r="F2" s="67"/>
      <c r="G2" s="67"/>
      <c r="H2" s="66"/>
      <c r="I2" s="66"/>
      <c r="J2" s="67" t="str">
        <f>"FY"&amp;C4</f>
        <v>FY2021-2022</v>
      </c>
      <c r="K2" s="67"/>
      <c r="L2" s="69"/>
      <c r="M2" s="69"/>
      <c r="N2" s="67"/>
      <c r="O2" s="67"/>
      <c r="P2" s="67" t="str">
        <f>"FY"&amp;C4</f>
        <v>FY2021-2022</v>
      </c>
      <c r="Q2" s="98"/>
      <c r="R2" s="67"/>
      <c r="S2" s="67"/>
      <c r="T2" s="69"/>
      <c r="U2" s="69"/>
      <c r="V2" s="67" t="str">
        <f>"FY"&amp;C4</f>
        <v>FY2021-2022</v>
      </c>
      <c r="W2" s="67"/>
      <c r="X2" s="67"/>
      <c r="Y2" s="67"/>
      <c r="Z2" s="67"/>
      <c r="AA2" s="67"/>
      <c r="AB2" s="67" t="str">
        <f>"FY"&amp;C4</f>
        <v>FY2021-2022</v>
      </c>
      <c r="AC2" s="69"/>
      <c r="AD2" s="67"/>
      <c r="AE2" s="67"/>
      <c r="AF2" s="67" t="str">
        <f>"FY"&amp;C4</f>
        <v>FY2021-2022</v>
      </c>
      <c r="AG2" s="67"/>
      <c r="AH2" s="67"/>
      <c r="AI2" s="67"/>
      <c r="AJ2" s="67"/>
      <c r="AK2" s="67"/>
      <c r="AL2" s="67"/>
      <c r="AM2" s="67"/>
    </row>
    <row r="3" spans="1:39" s="62" customFormat="1" ht="15.75" x14ac:dyDescent="0.25">
      <c r="A3" s="123" t="s">
        <v>3</v>
      </c>
      <c r="B3" s="64"/>
      <c r="C3" s="123">
        <v>4010</v>
      </c>
      <c r="D3" s="179"/>
      <c r="E3" s="123"/>
      <c r="F3" s="67"/>
      <c r="G3" s="67"/>
      <c r="H3" s="66"/>
      <c r="I3" s="66"/>
      <c r="J3" s="66"/>
      <c r="K3" s="66"/>
      <c r="L3" s="66"/>
      <c r="M3" s="66"/>
      <c r="N3" s="66"/>
      <c r="O3" s="66"/>
      <c r="P3" s="66"/>
      <c r="Q3" s="9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</row>
    <row r="4" spans="1:39" s="62" customFormat="1" ht="21" x14ac:dyDescent="0.35">
      <c r="A4" s="123" t="s">
        <v>2</v>
      </c>
      <c r="B4" s="64"/>
      <c r="C4" s="122" t="s">
        <v>640</v>
      </c>
      <c r="D4" s="179"/>
      <c r="E4" s="123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9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</row>
    <row r="5" spans="1:39" s="62" customFormat="1" ht="15.75" x14ac:dyDescent="0.25">
      <c r="A5" s="123" t="s">
        <v>392</v>
      </c>
      <c r="B5" s="64"/>
      <c r="C5" s="67" t="s">
        <v>613</v>
      </c>
      <c r="D5" s="179"/>
      <c r="E5" s="67"/>
      <c r="F5" s="67"/>
      <c r="G5" s="70"/>
      <c r="H5" s="70"/>
      <c r="I5" s="70"/>
      <c r="J5" s="70"/>
      <c r="K5" s="70"/>
      <c r="L5" s="70"/>
      <c r="M5" s="70"/>
      <c r="N5" s="70"/>
      <c r="O5" s="70"/>
      <c r="P5" s="70"/>
      <c r="Q5" s="99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39" s="62" customFormat="1" ht="15.75" x14ac:dyDescent="0.25">
      <c r="A6" s="123" t="s">
        <v>4</v>
      </c>
      <c r="B6" s="64"/>
      <c r="C6" s="67" t="s">
        <v>364</v>
      </c>
      <c r="D6" s="179"/>
      <c r="E6" s="67"/>
      <c r="F6" s="67"/>
      <c r="G6" s="70"/>
      <c r="H6" s="70"/>
      <c r="I6" s="70"/>
      <c r="J6" s="70"/>
      <c r="K6" s="70"/>
      <c r="L6" s="70"/>
      <c r="M6" s="70"/>
      <c r="N6" s="70"/>
      <c r="O6" s="70"/>
      <c r="P6" s="70"/>
      <c r="Q6" s="99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spans="1:39" s="62" customFormat="1" ht="15.75" x14ac:dyDescent="0.25">
      <c r="A7" s="123"/>
      <c r="B7" s="64"/>
      <c r="C7" s="67" t="s">
        <v>617</v>
      </c>
      <c r="D7" s="179"/>
      <c r="E7" s="67"/>
      <c r="F7" s="67"/>
      <c r="G7" s="70"/>
      <c r="H7" s="70"/>
      <c r="I7" s="70"/>
      <c r="J7" s="70"/>
      <c r="K7" s="70"/>
      <c r="L7" s="70"/>
      <c r="M7" s="70"/>
      <c r="N7" s="70"/>
      <c r="O7" s="70"/>
      <c r="P7" s="70"/>
      <c r="Q7" s="9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 s="62" customFormat="1" ht="15.75" x14ac:dyDescent="0.25">
      <c r="A8" s="123" t="s">
        <v>378</v>
      </c>
      <c r="B8" s="64"/>
      <c r="C8" s="67" t="s">
        <v>577</v>
      </c>
      <c r="D8" s="179"/>
      <c r="E8" s="67"/>
      <c r="F8" s="67"/>
      <c r="G8" s="70"/>
      <c r="H8" s="70"/>
      <c r="I8" s="70"/>
      <c r="J8" s="70"/>
      <c r="K8" s="70"/>
      <c r="L8" s="70"/>
      <c r="M8" s="70"/>
      <c r="N8" s="70"/>
      <c r="O8" s="70"/>
      <c r="P8" s="70"/>
      <c r="Q8" s="99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</row>
    <row r="9" spans="1:39" s="62" customFormat="1" ht="15.75" x14ac:dyDescent="0.25">
      <c r="A9" s="123" t="s">
        <v>379</v>
      </c>
      <c r="B9" s="64"/>
      <c r="C9" s="67" t="s">
        <v>380</v>
      </c>
      <c r="D9" s="179"/>
      <c r="E9" s="67"/>
      <c r="F9" s="67"/>
      <c r="G9" s="70"/>
      <c r="H9" s="70"/>
      <c r="I9" s="70"/>
      <c r="J9" s="70"/>
      <c r="K9" s="70"/>
      <c r="L9" s="70"/>
      <c r="M9" s="70"/>
      <c r="N9" s="70"/>
      <c r="O9" s="70"/>
      <c r="P9" s="70"/>
      <c r="Q9" s="9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</row>
    <row r="10" spans="1:39" s="62" customFormat="1" ht="16.5" thickBot="1" x14ac:dyDescent="0.3">
      <c r="A10" s="123" t="s">
        <v>393</v>
      </c>
      <c r="B10" s="64"/>
      <c r="C10" s="67" t="s">
        <v>641</v>
      </c>
      <c r="D10" s="179"/>
      <c r="E10" s="67"/>
      <c r="F10" s="67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9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1:39" s="37" customFormat="1" ht="48.75" customHeight="1" thickBot="1" x14ac:dyDescent="0.3">
      <c r="A11" s="114" t="s">
        <v>365</v>
      </c>
      <c r="B11" s="87" t="s">
        <v>366</v>
      </c>
      <c r="C11" s="289" t="s">
        <v>367</v>
      </c>
      <c r="D11" s="107" t="s">
        <v>612</v>
      </c>
      <c r="E11" s="41" t="s">
        <v>607</v>
      </c>
      <c r="F11" s="42" t="s">
        <v>368</v>
      </c>
      <c r="G11" s="49" t="s">
        <v>369</v>
      </c>
      <c r="H11" s="100" t="s">
        <v>645</v>
      </c>
      <c r="I11" s="100" t="s">
        <v>614</v>
      </c>
      <c r="J11" s="100" t="s">
        <v>615</v>
      </c>
      <c r="K11" s="100" t="s">
        <v>616</v>
      </c>
      <c r="L11" s="100" t="s">
        <v>646</v>
      </c>
      <c r="M11" s="100" t="s">
        <v>618</v>
      </c>
      <c r="N11" s="100" t="s">
        <v>625</v>
      </c>
      <c r="O11" s="100" t="s">
        <v>626</v>
      </c>
      <c r="P11" s="100" t="s">
        <v>627</v>
      </c>
      <c r="Q11" s="101" t="s">
        <v>628</v>
      </c>
      <c r="R11" s="100" t="s">
        <v>629</v>
      </c>
      <c r="S11" s="100" t="s">
        <v>630</v>
      </c>
      <c r="T11" s="100" t="s">
        <v>631</v>
      </c>
      <c r="U11" s="100" t="s">
        <v>632</v>
      </c>
      <c r="V11" s="100" t="s">
        <v>633</v>
      </c>
      <c r="W11" s="100" t="s">
        <v>634</v>
      </c>
      <c r="X11" s="100" t="s">
        <v>635</v>
      </c>
      <c r="Y11" s="100" t="s">
        <v>636</v>
      </c>
      <c r="Z11" s="100" t="s">
        <v>647</v>
      </c>
      <c r="AA11" s="100" t="s">
        <v>648</v>
      </c>
      <c r="AB11" s="100" t="s">
        <v>649</v>
      </c>
      <c r="AC11" s="100" t="s">
        <v>650</v>
      </c>
      <c r="AD11" s="100" t="s">
        <v>651</v>
      </c>
      <c r="AE11" s="100" t="s">
        <v>652</v>
      </c>
      <c r="AF11" s="100" t="s">
        <v>653</v>
      </c>
      <c r="AG11" s="100" t="s">
        <v>654</v>
      </c>
      <c r="AH11" s="100" t="s">
        <v>655</v>
      </c>
      <c r="AI11" s="100" t="s">
        <v>656</v>
      </c>
      <c r="AJ11" s="100" t="s">
        <v>657</v>
      </c>
      <c r="AK11" s="100" t="s">
        <v>658</v>
      </c>
      <c r="AL11" s="100" t="s">
        <v>610</v>
      </c>
      <c r="AM11" s="100" t="s">
        <v>611</v>
      </c>
    </row>
    <row r="12" spans="1:39" s="3" customFormat="1" ht="18" customHeight="1" thickBot="1" x14ac:dyDescent="0.35">
      <c r="A12" s="148" t="s">
        <v>6</v>
      </c>
      <c r="B12" s="286" t="s">
        <v>184</v>
      </c>
      <c r="C12" s="291">
        <v>1244315</v>
      </c>
      <c r="D12" s="287"/>
      <c r="E12" s="186">
        <f>C12</f>
        <v>1244315</v>
      </c>
      <c r="F12" s="186">
        <f>SUM(H12:AK12)</f>
        <v>1139690.2599999998</v>
      </c>
      <c r="G12" s="186">
        <f>E12-(F12+AL12+AM12)</f>
        <v>104624.74000000022</v>
      </c>
      <c r="H12" s="189"/>
      <c r="I12" s="189"/>
      <c r="J12" s="189"/>
      <c r="K12" s="189">
        <v>19806.79</v>
      </c>
      <c r="L12" s="189">
        <v>72539.45</v>
      </c>
      <c r="M12" s="189">
        <v>90592.33</v>
      </c>
      <c r="N12" s="189"/>
      <c r="O12" s="189">
        <f>106027.05+135278.12</f>
        <v>241305.16999999998</v>
      </c>
      <c r="P12" s="189">
        <v>411853.31</v>
      </c>
      <c r="Q12" s="189">
        <v>106024.33</v>
      </c>
      <c r="R12" s="189">
        <v>117684.5</v>
      </c>
      <c r="S12" s="189">
        <v>79884.38</v>
      </c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90"/>
      <c r="AJ12" s="190"/>
      <c r="AK12" s="190"/>
      <c r="AL12" s="190"/>
      <c r="AM12" s="190"/>
    </row>
    <row r="13" spans="1:39" s="3" customFormat="1" ht="18" customHeight="1" thickBot="1" x14ac:dyDescent="0.35">
      <c r="A13" s="148" t="s">
        <v>7</v>
      </c>
      <c r="B13" s="286" t="s">
        <v>413</v>
      </c>
      <c r="C13" s="292">
        <v>4995086</v>
      </c>
      <c r="D13" s="287"/>
      <c r="E13" s="186">
        <f t="shared" ref="E13:E76" si="0">C13</f>
        <v>4995086</v>
      </c>
      <c r="F13" s="186">
        <f t="shared" ref="F13:F77" si="1">SUM(H13:AK13)</f>
        <v>4323704.6899999995</v>
      </c>
      <c r="G13" s="186">
        <f t="shared" ref="G13:G77" si="2">E13-(F13+AL13+AM13)</f>
        <v>671381.31000000052</v>
      </c>
      <c r="H13" s="189"/>
      <c r="I13" s="189"/>
      <c r="J13" s="189"/>
      <c r="K13" s="189"/>
      <c r="L13" s="189">
        <v>150641.1</v>
      </c>
      <c r="M13" s="189">
        <v>435657.33</v>
      </c>
      <c r="N13" s="189">
        <v>77563.88</v>
      </c>
      <c r="O13" s="189">
        <v>367443.67</v>
      </c>
      <c r="P13" s="189">
        <v>455367.47</v>
      </c>
      <c r="Q13" s="189">
        <v>229122.67</v>
      </c>
      <c r="R13" s="189">
        <f>393584+585113.94</f>
        <v>978697.94</v>
      </c>
      <c r="S13" s="189">
        <f>431940.39+437985.59</f>
        <v>869925.98</v>
      </c>
      <c r="T13" s="189"/>
      <c r="U13" s="189">
        <v>759284.65</v>
      </c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90"/>
      <c r="AJ13" s="190"/>
      <c r="AK13" s="190"/>
      <c r="AL13" s="190"/>
      <c r="AM13" s="190"/>
    </row>
    <row r="14" spans="1:39" s="3" customFormat="1" ht="18" customHeight="1" thickBot="1" x14ac:dyDescent="0.35">
      <c r="A14" s="148" t="s">
        <v>8</v>
      </c>
      <c r="B14" s="286" t="s">
        <v>186</v>
      </c>
      <c r="C14" s="292">
        <v>1997121</v>
      </c>
      <c r="D14" s="287"/>
      <c r="E14" s="186">
        <f t="shared" si="0"/>
        <v>1997121</v>
      </c>
      <c r="F14" s="186">
        <f t="shared" si="1"/>
        <v>1520772.2300000002</v>
      </c>
      <c r="G14" s="186">
        <f t="shared" si="2"/>
        <v>476348.76999999979</v>
      </c>
      <c r="H14" s="189"/>
      <c r="I14" s="189"/>
      <c r="J14" s="189"/>
      <c r="K14" s="189"/>
      <c r="L14" s="189"/>
      <c r="M14" s="189">
        <v>567744.56000000006</v>
      </c>
      <c r="N14" s="189"/>
      <c r="O14" s="189">
        <v>261869.01</v>
      </c>
      <c r="P14" s="189">
        <v>148291.04999999999</v>
      </c>
      <c r="Q14" s="189">
        <v>129521.97</v>
      </c>
      <c r="R14" s="189">
        <v>138999.56</v>
      </c>
      <c r="S14" s="189">
        <v>127421.32</v>
      </c>
      <c r="T14" s="189"/>
      <c r="U14" s="189">
        <v>146924.76</v>
      </c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90"/>
      <c r="AJ14" s="190"/>
      <c r="AK14" s="190"/>
      <c r="AL14" s="190"/>
      <c r="AM14" s="190"/>
    </row>
    <row r="15" spans="1:39" s="3" customFormat="1" ht="18" customHeight="1" thickBot="1" x14ac:dyDescent="0.35">
      <c r="A15" s="148" t="s">
        <v>9</v>
      </c>
      <c r="B15" s="286" t="s">
        <v>396</v>
      </c>
      <c r="C15" s="292">
        <v>1271355</v>
      </c>
      <c r="D15" s="287"/>
      <c r="E15" s="186">
        <f t="shared" si="0"/>
        <v>1271355</v>
      </c>
      <c r="F15" s="186">
        <f t="shared" si="1"/>
        <v>1106585.4100000001</v>
      </c>
      <c r="G15" s="186">
        <f t="shared" si="2"/>
        <v>164769.58999999985</v>
      </c>
      <c r="H15" s="189"/>
      <c r="I15" s="189"/>
      <c r="J15" s="189"/>
      <c r="K15" s="189">
        <v>128541.14</v>
      </c>
      <c r="L15" s="189"/>
      <c r="M15" s="189">
        <v>167580</v>
      </c>
      <c r="N15" s="189"/>
      <c r="O15" s="189">
        <v>194645</v>
      </c>
      <c r="P15" s="189">
        <v>85331</v>
      </c>
      <c r="Q15" s="189"/>
      <c r="R15" s="189">
        <v>206651.88</v>
      </c>
      <c r="S15" s="189"/>
      <c r="T15" s="189">
        <v>323836.39</v>
      </c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90"/>
      <c r="AJ15" s="190"/>
      <c r="AK15" s="190"/>
      <c r="AL15" s="190"/>
      <c r="AM15" s="190"/>
    </row>
    <row r="16" spans="1:39" s="3" customFormat="1" ht="18" customHeight="1" thickBot="1" x14ac:dyDescent="0.35">
      <c r="A16" s="148" t="s">
        <v>10</v>
      </c>
      <c r="B16" s="286" t="s">
        <v>188</v>
      </c>
      <c r="C16" s="292">
        <v>91168</v>
      </c>
      <c r="D16" s="287">
        <v>9025</v>
      </c>
      <c r="E16" s="278">
        <v>0</v>
      </c>
      <c r="F16" s="186">
        <f t="shared" si="1"/>
        <v>0</v>
      </c>
      <c r="G16" s="186">
        <v>0</v>
      </c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90"/>
      <c r="AJ16" s="190"/>
      <c r="AK16" s="190"/>
      <c r="AL16" s="190"/>
      <c r="AM16" s="190"/>
    </row>
    <row r="17" spans="1:39" s="3" customFormat="1" ht="18" customHeight="1" thickBot="1" x14ac:dyDescent="0.35">
      <c r="A17" s="148" t="s">
        <v>11</v>
      </c>
      <c r="B17" s="286" t="s">
        <v>189</v>
      </c>
      <c r="C17" s="292">
        <v>31335</v>
      </c>
      <c r="D17" s="287">
        <v>9025</v>
      </c>
      <c r="E17" s="278">
        <f>0</f>
        <v>0</v>
      </c>
      <c r="F17" s="186">
        <f t="shared" si="1"/>
        <v>0</v>
      </c>
      <c r="G17" s="186">
        <f t="shared" si="2"/>
        <v>0</v>
      </c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90"/>
      <c r="AJ17" s="190"/>
      <c r="AK17" s="190"/>
      <c r="AL17" s="190"/>
      <c r="AM17" s="190"/>
    </row>
    <row r="18" spans="1:39" s="3" customFormat="1" ht="18" customHeight="1" thickBot="1" x14ac:dyDescent="0.35">
      <c r="A18" s="148" t="s">
        <v>12</v>
      </c>
      <c r="B18" s="286" t="s">
        <v>587</v>
      </c>
      <c r="C18" s="292">
        <v>2511125</v>
      </c>
      <c r="D18" s="287"/>
      <c r="E18" s="186">
        <f t="shared" si="0"/>
        <v>2511125</v>
      </c>
      <c r="F18" s="186">
        <f t="shared" si="1"/>
        <v>2070396.35</v>
      </c>
      <c r="G18" s="186">
        <f t="shared" si="2"/>
        <v>440728.64999999991</v>
      </c>
      <c r="H18" s="189"/>
      <c r="I18" s="189"/>
      <c r="J18" s="189"/>
      <c r="K18" s="189"/>
      <c r="L18" s="189">
        <v>185557.54</v>
      </c>
      <c r="M18" s="189">
        <v>177383.1</v>
      </c>
      <c r="N18" s="189">
        <v>144889.51999999999</v>
      </c>
      <c r="O18" s="189">
        <v>226592.05</v>
      </c>
      <c r="P18" s="189">
        <v>205049.29</v>
      </c>
      <c r="Q18" s="189">
        <v>240424.21</v>
      </c>
      <c r="R18" s="189">
        <v>254355.01</v>
      </c>
      <c r="S18" s="189">
        <v>437416.3</v>
      </c>
      <c r="T18" s="189"/>
      <c r="U18" s="189"/>
      <c r="V18" s="189">
        <v>198729.33</v>
      </c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90"/>
      <c r="AJ18" s="190"/>
      <c r="AK18" s="190"/>
      <c r="AL18" s="190"/>
      <c r="AM18" s="190"/>
    </row>
    <row r="19" spans="1:39" s="3" customFormat="1" ht="18" customHeight="1" thickBot="1" x14ac:dyDescent="0.35">
      <c r="A19" s="148" t="s">
        <v>13</v>
      </c>
      <c r="B19" s="286" t="s">
        <v>414</v>
      </c>
      <c r="C19" s="292">
        <v>858069</v>
      </c>
      <c r="D19" s="287"/>
      <c r="E19" s="186">
        <f t="shared" si="0"/>
        <v>858069</v>
      </c>
      <c r="F19" s="186">
        <f t="shared" si="1"/>
        <v>412588.75</v>
      </c>
      <c r="G19" s="186">
        <f t="shared" si="2"/>
        <v>445480.25</v>
      </c>
      <c r="H19" s="189"/>
      <c r="I19" s="189"/>
      <c r="J19" s="189"/>
      <c r="K19" s="189"/>
      <c r="L19" s="189"/>
      <c r="M19" s="189">
        <v>64642.720000000001</v>
      </c>
      <c r="N19" s="189">
        <v>51399.42</v>
      </c>
      <c r="O19" s="189">
        <v>47755.7</v>
      </c>
      <c r="P19" s="189">
        <v>51552.85</v>
      </c>
      <c r="Q19" s="189">
        <v>50652.639999999999</v>
      </c>
      <c r="R19" s="189">
        <v>48748.68</v>
      </c>
      <c r="S19" s="189">
        <v>97836.74</v>
      </c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90"/>
      <c r="AJ19" s="190"/>
      <c r="AK19" s="190"/>
      <c r="AL19" s="190"/>
      <c r="AM19" s="190"/>
    </row>
    <row r="20" spans="1:39" s="3" customFormat="1" ht="18" customHeight="1" thickBot="1" x14ac:dyDescent="0.35">
      <c r="A20" s="148" t="s">
        <v>14</v>
      </c>
      <c r="B20" s="286" t="s">
        <v>416</v>
      </c>
      <c r="C20" s="292">
        <v>87568</v>
      </c>
      <c r="D20" s="287"/>
      <c r="E20" s="186">
        <f t="shared" si="0"/>
        <v>87568</v>
      </c>
      <c r="F20" s="186">
        <f t="shared" si="1"/>
        <v>86303</v>
      </c>
      <c r="G20" s="186">
        <f t="shared" si="2"/>
        <v>1265</v>
      </c>
      <c r="H20" s="189"/>
      <c r="I20" s="189"/>
      <c r="J20" s="189"/>
      <c r="K20" s="189"/>
      <c r="L20" s="189">
        <v>32709.94</v>
      </c>
      <c r="M20" s="189"/>
      <c r="N20" s="191"/>
      <c r="O20" s="189"/>
      <c r="P20" s="189"/>
      <c r="Q20" s="189">
        <v>32754.07</v>
      </c>
      <c r="R20" s="189"/>
      <c r="S20" s="189">
        <v>20838.990000000002</v>
      </c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90"/>
      <c r="AJ20" s="190"/>
      <c r="AK20" s="190"/>
      <c r="AL20" s="190"/>
      <c r="AM20" s="190"/>
    </row>
    <row r="21" spans="1:39" s="3" customFormat="1" ht="18" customHeight="1" thickBot="1" x14ac:dyDescent="0.35">
      <c r="A21" s="148" t="s">
        <v>15</v>
      </c>
      <c r="B21" s="286" t="s">
        <v>193</v>
      </c>
      <c r="C21" s="292">
        <v>671483</v>
      </c>
      <c r="D21" s="287"/>
      <c r="E21" s="186">
        <f t="shared" si="0"/>
        <v>671483</v>
      </c>
      <c r="F21" s="186">
        <f t="shared" si="1"/>
        <v>522987.17000000004</v>
      </c>
      <c r="G21" s="186">
        <f t="shared" si="2"/>
        <v>148495.82999999996</v>
      </c>
      <c r="H21" s="189"/>
      <c r="I21" s="189"/>
      <c r="J21" s="189"/>
      <c r="K21" s="189"/>
      <c r="L21" s="189"/>
      <c r="M21" s="189">
        <v>55077.05</v>
      </c>
      <c r="N21" s="189">
        <v>41075.46</v>
      </c>
      <c r="O21" s="189">
        <v>37489.21</v>
      </c>
      <c r="P21" s="189">
        <v>39568.980000000003</v>
      </c>
      <c r="Q21" s="189">
        <v>92002.51</v>
      </c>
      <c r="R21" s="189">
        <v>38553.49</v>
      </c>
      <c r="S21" s="222">
        <v>60977.88</v>
      </c>
      <c r="T21" s="189">
        <v>118370.09</v>
      </c>
      <c r="U21" s="189">
        <v>39030.699999999997</v>
      </c>
      <c r="V21" s="189">
        <v>841.8</v>
      </c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90"/>
      <c r="AJ21" s="190"/>
      <c r="AK21" s="190"/>
      <c r="AL21" s="190"/>
      <c r="AM21" s="190"/>
    </row>
    <row r="22" spans="1:39" s="3" customFormat="1" ht="18" customHeight="1" thickBot="1" x14ac:dyDescent="0.35">
      <c r="A22" s="148" t="s">
        <v>16</v>
      </c>
      <c r="B22" s="286" t="s">
        <v>194</v>
      </c>
      <c r="C22" s="292">
        <v>667744</v>
      </c>
      <c r="D22" s="287"/>
      <c r="E22" s="186">
        <f t="shared" si="0"/>
        <v>667744</v>
      </c>
      <c r="F22" s="186">
        <f t="shared" si="1"/>
        <v>590186.63</v>
      </c>
      <c r="G22" s="186">
        <f t="shared" si="2"/>
        <v>77557.37</v>
      </c>
      <c r="H22" s="189"/>
      <c r="I22" s="189"/>
      <c r="J22" s="189"/>
      <c r="K22" s="189"/>
      <c r="L22" s="189">
        <v>32190.99</v>
      </c>
      <c r="M22" s="189">
        <v>69460.53</v>
      </c>
      <c r="N22" s="189">
        <v>57675.97</v>
      </c>
      <c r="O22" s="189">
        <v>114538.72</v>
      </c>
      <c r="P22" s="191"/>
      <c r="Q22" s="189">
        <v>56434.05</v>
      </c>
      <c r="R22" s="189">
        <v>50993.75</v>
      </c>
      <c r="S22" s="189">
        <f>51629.9+51746.55</f>
        <v>103376.45000000001</v>
      </c>
      <c r="T22" s="189"/>
      <c r="U22" s="189"/>
      <c r="V22" s="189">
        <v>105516.17</v>
      </c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90"/>
      <c r="AJ22" s="190"/>
      <c r="AK22" s="190"/>
      <c r="AL22" s="190"/>
      <c r="AM22" s="190"/>
    </row>
    <row r="23" spans="1:39" s="3" customFormat="1" ht="18" customHeight="1" thickBot="1" x14ac:dyDescent="0.35">
      <c r="A23" s="148" t="s">
        <v>17</v>
      </c>
      <c r="B23" s="286" t="s">
        <v>195</v>
      </c>
      <c r="C23" s="292">
        <v>5059613</v>
      </c>
      <c r="D23" s="287"/>
      <c r="E23" s="186">
        <f t="shared" si="0"/>
        <v>5059613</v>
      </c>
      <c r="F23" s="186">
        <f t="shared" si="1"/>
        <v>4150984.15</v>
      </c>
      <c r="G23" s="186">
        <f t="shared" si="2"/>
        <v>908628.85000000009</v>
      </c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>
        <v>3111135.27</v>
      </c>
      <c r="U23" s="189"/>
      <c r="V23" s="189">
        <v>1039848.88</v>
      </c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90"/>
      <c r="AJ23" s="190"/>
      <c r="AK23" s="190"/>
      <c r="AL23" s="190"/>
      <c r="AM23" s="190"/>
    </row>
    <row r="24" spans="1:39" s="3" customFormat="1" ht="18" customHeight="1" thickBot="1" x14ac:dyDescent="0.35">
      <c r="A24" s="148" t="s">
        <v>18</v>
      </c>
      <c r="B24" s="286" t="s">
        <v>196</v>
      </c>
      <c r="C24" s="292">
        <v>421746</v>
      </c>
      <c r="D24" s="287"/>
      <c r="E24" s="186">
        <f t="shared" si="0"/>
        <v>421746</v>
      </c>
      <c r="F24" s="186">
        <f t="shared" si="1"/>
        <v>366893.83999999997</v>
      </c>
      <c r="G24" s="186">
        <f t="shared" si="2"/>
        <v>54852.160000000033</v>
      </c>
      <c r="H24" s="189"/>
      <c r="I24" s="189"/>
      <c r="J24" s="189"/>
      <c r="K24" s="189"/>
      <c r="L24" s="189"/>
      <c r="M24" s="189">
        <v>94781.6</v>
      </c>
      <c r="N24" s="189">
        <v>33672.17</v>
      </c>
      <c r="O24" s="189">
        <f>33672.17+30628.31</f>
        <v>64300.479999999996</v>
      </c>
      <c r="P24" s="189">
        <v>32653.65</v>
      </c>
      <c r="Q24" s="189"/>
      <c r="R24" s="189">
        <v>32964.959999999999</v>
      </c>
      <c r="S24" s="189">
        <v>35840.47</v>
      </c>
      <c r="T24" s="189">
        <v>44037.99</v>
      </c>
      <c r="U24" s="189"/>
      <c r="V24" s="189">
        <v>28642.52</v>
      </c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90"/>
      <c r="AJ24" s="190"/>
      <c r="AK24" s="190"/>
      <c r="AL24" s="190"/>
      <c r="AM24" s="190"/>
    </row>
    <row r="25" spans="1:39" s="3" customFormat="1" ht="18" customHeight="1" thickBot="1" x14ac:dyDescent="0.35">
      <c r="A25" s="148" t="s">
        <v>19</v>
      </c>
      <c r="B25" s="286" t="s">
        <v>197</v>
      </c>
      <c r="C25" s="292">
        <v>21416</v>
      </c>
      <c r="D25" s="287">
        <v>9025</v>
      </c>
      <c r="E25" s="278">
        <f>0</f>
        <v>0</v>
      </c>
      <c r="F25" s="186">
        <f t="shared" si="1"/>
        <v>0</v>
      </c>
      <c r="G25" s="186">
        <f t="shared" si="2"/>
        <v>0</v>
      </c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90"/>
      <c r="AJ25" s="190"/>
      <c r="AK25" s="190"/>
      <c r="AL25" s="190"/>
      <c r="AM25" s="190"/>
    </row>
    <row r="26" spans="1:39" s="3" customFormat="1" ht="18" customHeight="1" thickBot="1" x14ac:dyDescent="0.35">
      <c r="A26" s="148" t="s">
        <v>20</v>
      </c>
      <c r="B26" s="286" t="s">
        <v>198</v>
      </c>
      <c r="C26" s="292">
        <v>10249123</v>
      </c>
      <c r="D26" s="287"/>
      <c r="E26" s="186">
        <f t="shared" si="0"/>
        <v>10249123</v>
      </c>
      <c r="F26" s="186">
        <f t="shared" si="1"/>
        <v>8116054.9699999997</v>
      </c>
      <c r="G26" s="186">
        <f t="shared" si="2"/>
        <v>2133068.0300000003</v>
      </c>
      <c r="H26" s="189"/>
      <c r="I26" s="189"/>
      <c r="J26" s="189"/>
      <c r="K26" s="189"/>
      <c r="L26" s="189"/>
      <c r="M26" s="189"/>
      <c r="N26" s="189">
        <v>1312298.1399999999</v>
      </c>
      <c r="O26" s="189">
        <v>492841.75</v>
      </c>
      <c r="P26" s="189"/>
      <c r="Q26" s="189">
        <f>1465666.89+609297.37</f>
        <v>2074964.2599999998</v>
      </c>
      <c r="R26" s="189">
        <v>678974.79</v>
      </c>
      <c r="S26" s="189">
        <v>678318.57</v>
      </c>
      <c r="T26" s="189"/>
      <c r="U26" s="189"/>
      <c r="V26" s="189">
        <v>2878657.46</v>
      </c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90"/>
      <c r="AJ26" s="190"/>
      <c r="AK26" s="190"/>
      <c r="AL26" s="190"/>
      <c r="AM26" s="190"/>
    </row>
    <row r="27" spans="1:39" s="3" customFormat="1" ht="18" customHeight="1" thickBot="1" x14ac:dyDescent="0.35">
      <c r="A27" s="148" t="s">
        <v>21</v>
      </c>
      <c r="B27" s="286" t="s">
        <v>199</v>
      </c>
      <c r="C27" s="292">
        <v>634052</v>
      </c>
      <c r="D27" s="287"/>
      <c r="E27" s="186">
        <f t="shared" si="0"/>
        <v>634052</v>
      </c>
      <c r="F27" s="186">
        <f t="shared" si="1"/>
        <v>631324</v>
      </c>
      <c r="G27" s="186">
        <f t="shared" si="2"/>
        <v>2728</v>
      </c>
      <c r="H27" s="189"/>
      <c r="I27" s="189"/>
      <c r="J27" s="189"/>
      <c r="K27" s="189"/>
      <c r="L27" s="189">
        <v>29799</v>
      </c>
      <c r="M27" s="189"/>
      <c r="N27" s="189"/>
      <c r="O27" s="189">
        <v>245823</v>
      </c>
      <c r="P27" s="189"/>
      <c r="Q27" s="189"/>
      <c r="R27" s="189">
        <f>70231+188779</f>
        <v>259010</v>
      </c>
      <c r="S27" s="189">
        <v>96692</v>
      </c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90"/>
      <c r="AJ27" s="190"/>
      <c r="AK27" s="190"/>
      <c r="AL27" s="190"/>
      <c r="AM27" s="190"/>
    </row>
    <row r="28" spans="1:39" s="3" customFormat="1" ht="18" customHeight="1" thickBot="1" x14ac:dyDescent="0.35">
      <c r="A28" s="148" t="s">
        <v>22</v>
      </c>
      <c r="B28" s="286" t="s">
        <v>418</v>
      </c>
      <c r="C28" s="292">
        <v>403862</v>
      </c>
      <c r="D28" s="287"/>
      <c r="E28" s="186">
        <f t="shared" si="0"/>
        <v>403862</v>
      </c>
      <c r="F28" s="186">
        <f t="shared" si="1"/>
        <v>339735.20000000007</v>
      </c>
      <c r="G28" s="186">
        <f t="shared" si="2"/>
        <v>64126.79999999993</v>
      </c>
      <c r="H28" s="189"/>
      <c r="I28" s="189"/>
      <c r="J28" s="189"/>
      <c r="K28" s="189"/>
      <c r="L28" s="189"/>
      <c r="M28" s="189"/>
      <c r="N28" s="189"/>
      <c r="O28" s="189">
        <v>139491.45000000001</v>
      </c>
      <c r="P28" s="189">
        <v>33633.760000000002</v>
      </c>
      <c r="Q28" s="189">
        <v>16296.78</v>
      </c>
      <c r="R28" s="189">
        <v>15589.76</v>
      </c>
      <c r="S28" s="189">
        <v>35888.550000000003</v>
      </c>
      <c r="T28" s="189">
        <v>11195.37</v>
      </c>
      <c r="U28" s="189">
        <f>52338.02+35301.51</f>
        <v>87639.53</v>
      </c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90"/>
      <c r="AJ28" s="190"/>
      <c r="AK28" s="190"/>
      <c r="AL28" s="190"/>
      <c r="AM28" s="190"/>
    </row>
    <row r="29" spans="1:39" s="3" customFormat="1" ht="18" customHeight="1" thickBot="1" x14ac:dyDescent="0.35">
      <c r="A29" s="148" t="s">
        <v>23</v>
      </c>
      <c r="B29" s="286" t="s">
        <v>420</v>
      </c>
      <c r="C29" s="292">
        <v>32804</v>
      </c>
      <c r="D29" s="287"/>
      <c r="E29" s="186">
        <f t="shared" si="0"/>
        <v>32804</v>
      </c>
      <c r="F29" s="186">
        <f t="shared" si="1"/>
        <v>32479</v>
      </c>
      <c r="G29" s="186">
        <f t="shared" si="2"/>
        <v>325</v>
      </c>
      <c r="H29" s="189"/>
      <c r="I29" s="189"/>
      <c r="J29" s="189"/>
      <c r="K29" s="189"/>
      <c r="L29" s="189"/>
      <c r="M29" s="189"/>
      <c r="N29" s="189"/>
      <c r="O29" s="189"/>
      <c r="P29" s="189">
        <v>24868</v>
      </c>
      <c r="Q29" s="189"/>
      <c r="R29" s="189"/>
      <c r="S29" s="189">
        <v>7611</v>
      </c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90"/>
      <c r="AJ29" s="190"/>
      <c r="AK29" s="190"/>
      <c r="AL29" s="190"/>
      <c r="AM29" s="190"/>
    </row>
    <row r="30" spans="1:39" s="3" customFormat="1" ht="18" customHeight="1" thickBot="1" x14ac:dyDescent="0.35">
      <c r="A30" s="148" t="s">
        <v>24</v>
      </c>
      <c r="B30" s="286" t="s">
        <v>422</v>
      </c>
      <c r="C30" s="292">
        <v>13488</v>
      </c>
      <c r="D30" s="287"/>
      <c r="E30" s="186">
        <f t="shared" si="0"/>
        <v>13488</v>
      </c>
      <c r="F30" s="186">
        <f t="shared" si="1"/>
        <v>0</v>
      </c>
      <c r="G30" s="186">
        <f t="shared" si="2"/>
        <v>13488</v>
      </c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90"/>
      <c r="AJ30" s="190"/>
      <c r="AK30" s="190"/>
      <c r="AL30" s="190"/>
      <c r="AM30" s="190"/>
    </row>
    <row r="31" spans="1:39" s="3" customFormat="1" ht="18" customHeight="1" thickBot="1" x14ac:dyDescent="0.35">
      <c r="A31" s="148" t="s">
        <v>25</v>
      </c>
      <c r="B31" s="286" t="s">
        <v>423</v>
      </c>
      <c r="C31" s="292">
        <v>172486</v>
      </c>
      <c r="D31" s="287"/>
      <c r="E31" s="186">
        <f t="shared" si="0"/>
        <v>172486</v>
      </c>
      <c r="F31" s="186">
        <f t="shared" si="1"/>
        <v>166425.84</v>
      </c>
      <c r="G31" s="186">
        <f t="shared" si="2"/>
        <v>6060.1600000000035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>
        <v>108750.39</v>
      </c>
      <c r="R31" s="189"/>
      <c r="S31" s="189">
        <v>57675.45</v>
      </c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90"/>
      <c r="AJ31" s="190"/>
      <c r="AK31" s="190"/>
      <c r="AL31" s="190"/>
      <c r="AM31" s="190"/>
    </row>
    <row r="32" spans="1:39" s="3" customFormat="1" ht="18" customHeight="1" thickBot="1" x14ac:dyDescent="0.35">
      <c r="A32" s="148" t="s">
        <v>26</v>
      </c>
      <c r="B32" s="286" t="s">
        <v>424</v>
      </c>
      <c r="C32" s="292">
        <v>1533</v>
      </c>
      <c r="D32" s="287"/>
      <c r="E32" s="186">
        <f t="shared" si="0"/>
        <v>1533</v>
      </c>
      <c r="F32" s="186">
        <f t="shared" si="1"/>
        <v>1533</v>
      </c>
      <c r="G32" s="186">
        <f t="shared" si="2"/>
        <v>0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>
        <v>1533</v>
      </c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90"/>
      <c r="AJ32" s="190"/>
      <c r="AK32" s="190"/>
      <c r="AL32" s="190"/>
      <c r="AM32" s="190"/>
    </row>
    <row r="33" spans="1:39" s="3" customFormat="1" ht="18" customHeight="1" thickBot="1" x14ac:dyDescent="0.35">
      <c r="A33" s="148" t="s">
        <v>27</v>
      </c>
      <c r="B33" s="286" t="s">
        <v>205</v>
      </c>
      <c r="C33" s="292">
        <v>1271</v>
      </c>
      <c r="D33" s="287"/>
      <c r="E33" s="186">
        <f t="shared" si="0"/>
        <v>1271</v>
      </c>
      <c r="F33" s="186">
        <f t="shared" si="1"/>
        <v>1271</v>
      </c>
      <c r="G33" s="186">
        <f t="shared" si="2"/>
        <v>0</v>
      </c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>
        <v>1271</v>
      </c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90"/>
      <c r="AJ33" s="190"/>
      <c r="AK33" s="190"/>
      <c r="AL33" s="190"/>
      <c r="AM33" s="190"/>
    </row>
    <row r="34" spans="1:39" s="3" customFormat="1" ht="18" customHeight="1" thickBot="1" x14ac:dyDescent="0.35">
      <c r="A34" s="148" t="s">
        <v>28</v>
      </c>
      <c r="B34" s="286" t="s">
        <v>426</v>
      </c>
      <c r="C34" s="292">
        <v>681167</v>
      </c>
      <c r="D34" s="287"/>
      <c r="E34" s="186">
        <f t="shared" si="0"/>
        <v>681167</v>
      </c>
      <c r="F34" s="186">
        <f t="shared" si="1"/>
        <v>521191</v>
      </c>
      <c r="G34" s="186">
        <f t="shared" si="2"/>
        <v>159976</v>
      </c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>
        <v>521191</v>
      </c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90"/>
      <c r="AJ34" s="190"/>
      <c r="AK34" s="190"/>
      <c r="AL34" s="190"/>
      <c r="AM34" s="190"/>
    </row>
    <row r="35" spans="1:39" s="3" customFormat="1" ht="18" customHeight="1" thickBot="1" x14ac:dyDescent="0.35">
      <c r="A35" s="148" t="s">
        <v>29</v>
      </c>
      <c r="B35" s="286" t="s">
        <v>428</v>
      </c>
      <c r="C35" s="292">
        <v>43681</v>
      </c>
      <c r="D35" s="287"/>
      <c r="E35" s="186">
        <f t="shared" si="0"/>
        <v>43681</v>
      </c>
      <c r="F35" s="186">
        <f t="shared" si="1"/>
        <v>43681</v>
      </c>
      <c r="G35" s="186">
        <f t="shared" si="2"/>
        <v>0</v>
      </c>
      <c r="H35" s="189"/>
      <c r="I35" s="189"/>
      <c r="J35" s="189"/>
      <c r="K35" s="189"/>
      <c r="L35" s="189"/>
      <c r="M35" s="189"/>
      <c r="N35" s="189"/>
      <c r="O35" s="189"/>
      <c r="P35" s="189">
        <v>24897.7</v>
      </c>
      <c r="Q35" s="189"/>
      <c r="R35" s="189"/>
      <c r="S35" s="189">
        <v>18783.3</v>
      </c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90"/>
      <c r="AJ35" s="190"/>
      <c r="AK35" s="190"/>
      <c r="AL35" s="190"/>
      <c r="AM35" s="190"/>
    </row>
    <row r="36" spans="1:39" s="3" customFormat="1" ht="18" customHeight="1" thickBot="1" x14ac:dyDescent="0.35">
      <c r="A36" s="148" t="s">
        <v>30</v>
      </c>
      <c r="B36" s="286" t="s">
        <v>208</v>
      </c>
      <c r="C36" s="292">
        <v>2898902</v>
      </c>
      <c r="D36" s="287"/>
      <c r="E36" s="186">
        <f t="shared" si="0"/>
        <v>2898902</v>
      </c>
      <c r="F36" s="186">
        <f t="shared" si="1"/>
        <v>1459393</v>
      </c>
      <c r="G36" s="186">
        <f t="shared" si="2"/>
        <v>1439509</v>
      </c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>
        <v>1032055.5</v>
      </c>
      <c r="S36" s="189">
        <v>427337.5</v>
      </c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90"/>
      <c r="AJ36" s="190"/>
      <c r="AK36" s="190"/>
      <c r="AL36" s="190"/>
      <c r="AM36" s="190"/>
    </row>
    <row r="37" spans="1:39" s="3" customFormat="1" ht="18" customHeight="1" thickBot="1" x14ac:dyDescent="0.35">
      <c r="A37" s="148" t="s">
        <v>31</v>
      </c>
      <c r="B37" s="286" t="s">
        <v>209</v>
      </c>
      <c r="C37" s="292">
        <v>2039180</v>
      </c>
      <c r="D37" s="287"/>
      <c r="E37" s="186">
        <f t="shared" si="0"/>
        <v>2039180</v>
      </c>
      <c r="F37" s="186">
        <f t="shared" si="1"/>
        <v>1791955.5899999999</v>
      </c>
      <c r="G37" s="186">
        <f t="shared" si="2"/>
        <v>247224.41000000015</v>
      </c>
      <c r="H37" s="189"/>
      <c r="I37" s="189"/>
      <c r="J37" s="189"/>
      <c r="K37" s="189">
        <v>84289.64</v>
      </c>
      <c r="L37" s="189">
        <v>216037.23</v>
      </c>
      <c r="M37" s="189">
        <v>221708.72</v>
      </c>
      <c r="N37" s="189">
        <v>174405.78</v>
      </c>
      <c r="O37" s="189">
        <v>201686.5</v>
      </c>
      <c r="P37" s="189"/>
      <c r="Q37" s="189">
        <f>215988.44+205372.28</f>
        <v>421360.72</v>
      </c>
      <c r="R37" s="189"/>
      <c r="S37" s="189">
        <v>472467</v>
      </c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90"/>
      <c r="AJ37" s="190"/>
      <c r="AK37" s="190"/>
      <c r="AL37" s="190"/>
      <c r="AM37" s="190"/>
    </row>
    <row r="38" spans="1:39" s="3" customFormat="1" ht="18" customHeight="1" thickBot="1" x14ac:dyDescent="0.35">
      <c r="A38" s="148" t="s">
        <v>32</v>
      </c>
      <c r="B38" s="286" t="s">
        <v>210</v>
      </c>
      <c r="C38" s="292">
        <v>127134</v>
      </c>
      <c r="D38" s="287"/>
      <c r="E38" s="186">
        <f t="shared" si="0"/>
        <v>127134</v>
      </c>
      <c r="F38" s="186">
        <f t="shared" si="1"/>
        <v>127134</v>
      </c>
      <c r="G38" s="186">
        <f t="shared" si="2"/>
        <v>0</v>
      </c>
      <c r="H38" s="189"/>
      <c r="I38" s="189"/>
      <c r="J38" s="189"/>
      <c r="K38" s="189"/>
      <c r="L38" s="189"/>
      <c r="M38" s="189">
        <v>63399.09</v>
      </c>
      <c r="N38" s="189"/>
      <c r="O38" s="189"/>
      <c r="P38" s="189"/>
      <c r="Q38" s="189"/>
      <c r="R38" s="189">
        <v>63734.91</v>
      </c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90"/>
      <c r="AJ38" s="190"/>
      <c r="AK38" s="190"/>
      <c r="AL38" s="190"/>
      <c r="AM38" s="190"/>
    </row>
    <row r="39" spans="1:39" s="3" customFormat="1" ht="18" customHeight="1" thickBot="1" x14ac:dyDescent="0.35">
      <c r="A39" s="148" t="s">
        <v>33</v>
      </c>
      <c r="B39" s="286" t="s">
        <v>211</v>
      </c>
      <c r="C39" s="292">
        <v>171993</v>
      </c>
      <c r="D39" s="287"/>
      <c r="E39" s="186">
        <f t="shared" si="0"/>
        <v>171993</v>
      </c>
      <c r="F39" s="186">
        <f t="shared" si="1"/>
        <v>171992.99999999997</v>
      </c>
      <c r="G39" s="186">
        <f t="shared" si="2"/>
        <v>0</v>
      </c>
      <c r="H39" s="189"/>
      <c r="I39" s="189"/>
      <c r="J39" s="189"/>
      <c r="K39" s="189"/>
      <c r="L39" s="189"/>
      <c r="M39" s="189"/>
      <c r="N39" s="189"/>
      <c r="O39" s="189">
        <f>14533.33*2</f>
        <v>29066.66</v>
      </c>
      <c r="P39" s="189">
        <v>87199.98</v>
      </c>
      <c r="Q39" s="189"/>
      <c r="R39" s="189">
        <f>14533.33*2</f>
        <v>29066.66</v>
      </c>
      <c r="S39" s="189">
        <v>14571.33</v>
      </c>
      <c r="T39" s="189"/>
      <c r="U39" s="189">
        <v>12088.37</v>
      </c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90"/>
      <c r="AJ39" s="190"/>
      <c r="AK39" s="190"/>
      <c r="AL39" s="190"/>
      <c r="AM39" s="190"/>
    </row>
    <row r="40" spans="1:39" s="3" customFormat="1" ht="18" customHeight="1" thickBot="1" x14ac:dyDescent="0.35">
      <c r="A40" s="148" t="s">
        <v>34</v>
      </c>
      <c r="B40" s="286" t="s">
        <v>212</v>
      </c>
      <c r="C40" s="292">
        <v>20703</v>
      </c>
      <c r="D40" s="287">
        <v>9025</v>
      </c>
      <c r="E40" s="278">
        <f>0</f>
        <v>0</v>
      </c>
      <c r="F40" s="186">
        <f t="shared" si="1"/>
        <v>0</v>
      </c>
      <c r="G40" s="186">
        <f t="shared" si="2"/>
        <v>0</v>
      </c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90"/>
      <c r="AJ40" s="190"/>
      <c r="AK40" s="190"/>
      <c r="AL40" s="190"/>
      <c r="AM40" s="190"/>
    </row>
    <row r="41" spans="1:39" s="3" customFormat="1" ht="18" customHeight="1" thickBot="1" x14ac:dyDescent="0.35">
      <c r="A41" s="148" t="s">
        <v>35</v>
      </c>
      <c r="B41" s="286" t="s">
        <v>434</v>
      </c>
      <c r="C41" s="292">
        <v>57737</v>
      </c>
      <c r="D41" s="287">
        <v>9025</v>
      </c>
      <c r="E41" s="278">
        <f>0</f>
        <v>0</v>
      </c>
      <c r="F41" s="186">
        <f t="shared" si="1"/>
        <v>0</v>
      </c>
      <c r="G41" s="186">
        <f t="shared" si="2"/>
        <v>0</v>
      </c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90"/>
      <c r="AJ41" s="190"/>
      <c r="AK41" s="190"/>
      <c r="AL41" s="190"/>
      <c r="AM41" s="190"/>
    </row>
    <row r="42" spans="1:39" s="3" customFormat="1" ht="18" customHeight="1" thickBot="1" x14ac:dyDescent="0.35">
      <c r="A42" s="148" t="s">
        <v>36</v>
      </c>
      <c r="B42" s="286" t="s">
        <v>435</v>
      </c>
      <c r="C42" s="292">
        <v>95361</v>
      </c>
      <c r="D42" s="287"/>
      <c r="E42" s="186">
        <f t="shared" si="0"/>
        <v>95361</v>
      </c>
      <c r="F42" s="186">
        <f t="shared" si="1"/>
        <v>95361</v>
      </c>
      <c r="G42" s="186">
        <f t="shared" si="2"/>
        <v>0</v>
      </c>
      <c r="H42" s="189"/>
      <c r="I42" s="189"/>
      <c r="J42" s="189"/>
      <c r="K42" s="189"/>
      <c r="L42" s="189"/>
      <c r="M42" s="189"/>
      <c r="N42" s="189">
        <f>66865.96+1897.32</f>
        <v>68763.280000000013</v>
      </c>
      <c r="O42" s="189"/>
      <c r="P42" s="189">
        <v>17806.259999999998</v>
      </c>
      <c r="Q42" s="189"/>
      <c r="R42" s="189">
        <v>8791.4599999999991</v>
      </c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90"/>
      <c r="AJ42" s="190"/>
      <c r="AK42" s="190"/>
      <c r="AL42" s="190"/>
      <c r="AM42" s="190"/>
    </row>
    <row r="43" spans="1:39" s="3" customFormat="1" ht="18" customHeight="1" thickBot="1" x14ac:dyDescent="0.35">
      <c r="A43" s="148" t="s">
        <v>37</v>
      </c>
      <c r="B43" s="286" t="s">
        <v>437</v>
      </c>
      <c r="C43" s="292">
        <v>292391</v>
      </c>
      <c r="D43" s="287"/>
      <c r="E43" s="186">
        <f t="shared" si="0"/>
        <v>292391</v>
      </c>
      <c r="F43" s="186">
        <f t="shared" si="1"/>
        <v>286575.93999999994</v>
      </c>
      <c r="G43" s="186">
        <f t="shared" si="2"/>
        <v>5815.0600000000559</v>
      </c>
      <c r="H43" s="189"/>
      <c r="I43" s="189"/>
      <c r="J43" s="189"/>
      <c r="K43" s="189">
        <v>23230.07</v>
      </c>
      <c r="L43" s="189">
        <v>23568.84</v>
      </c>
      <c r="M43" s="189">
        <f>23568.84+27361.84</f>
        <v>50930.68</v>
      </c>
      <c r="N43" s="189"/>
      <c r="O43" s="189">
        <v>23568.87</v>
      </c>
      <c r="P43" s="189">
        <v>23573.18</v>
      </c>
      <c r="Q43" s="189">
        <v>20646.68</v>
      </c>
      <c r="R43" s="189">
        <v>18597.91</v>
      </c>
      <c r="S43" s="189">
        <v>29438.85</v>
      </c>
      <c r="T43" s="189">
        <v>21665.02</v>
      </c>
      <c r="U43" s="189">
        <v>21677.93</v>
      </c>
      <c r="V43" s="189">
        <v>29677.91</v>
      </c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90"/>
      <c r="AJ43" s="190"/>
      <c r="AK43" s="190"/>
      <c r="AL43" s="190"/>
      <c r="AM43" s="190"/>
    </row>
    <row r="44" spans="1:39" s="3" customFormat="1" ht="18" customHeight="1" thickBot="1" x14ac:dyDescent="0.35">
      <c r="A44" s="148" t="s">
        <v>38</v>
      </c>
      <c r="B44" s="286" t="s">
        <v>216</v>
      </c>
      <c r="C44" s="292">
        <v>95903</v>
      </c>
      <c r="D44" s="287"/>
      <c r="E44" s="186">
        <f t="shared" si="0"/>
        <v>95903</v>
      </c>
      <c r="F44" s="186">
        <f t="shared" si="1"/>
        <v>95883</v>
      </c>
      <c r="G44" s="186">
        <f t="shared" si="2"/>
        <v>20</v>
      </c>
      <c r="H44" s="189"/>
      <c r="I44" s="189"/>
      <c r="J44" s="189"/>
      <c r="K44" s="189"/>
      <c r="L44" s="189"/>
      <c r="M44" s="189"/>
      <c r="N44" s="189"/>
      <c r="O44" s="189">
        <v>45904</v>
      </c>
      <c r="P44" s="189"/>
      <c r="Q44" s="189"/>
      <c r="R44" s="189"/>
      <c r="S44" s="189">
        <v>49979</v>
      </c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90"/>
      <c r="AJ44" s="190"/>
      <c r="AK44" s="190"/>
      <c r="AL44" s="190"/>
      <c r="AM44" s="190"/>
    </row>
    <row r="45" spans="1:39" s="3" customFormat="1" ht="18" customHeight="1" thickBot="1" x14ac:dyDescent="0.35">
      <c r="A45" s="148" t="s">
        <v>39</v>
      </c>
      <c r="B45" s="286" t="s">
        <v>439</v>
      </c>
      <c r="C45" s="292">
        <v>142018</v>
      </c>
      <c r="D45" s="287"/>
      <c r="E45" s="186">
        <f t="shared" si="0"/>
        <v>142018</v>
      </c>
      <c r="F45" s="186">
        <f t="shared" si="1"/>
        <v>126999.24</v>
      </c>
      <c r="G45" s="186">
        <f t="shared" si="2"/>
        <v>15018.759999999995</v>
      </c>
      <c r="H45" s="189"/>
      <c r="I45" s="189"/>
      <c r="J45" s="189"/>
      <c r="K45" s="189"/>
      <c r="L45" s="189"/>
      <c r="M45" s="189"/>
      <c r="N45" s="189">
        <f>5780</f>
        <v>5780</v>
      </c>
      <c r="O45" s="189">
        <f>10083.58+10086.7</f>
        <v>20170.28</v>
      </c>
      <c r="P45" s="189">
        <v>10061.209999999999</v>
      </c>
      <c r="Q45" s="189">
        <v>18362.32</v>
      </c>
      <c r="R45" s="189">
        <v>24861.46</v>
      </c>
      <c r="S45" s="303">
        <v>11831.66</v>
      </c>
      <c r="T45" s="189">
        <v>11918.88</v>
      </c>
      <c r="U45" s="189">
        <v>22677.94</v>
      </c>
      <c r="V45" s="189">
        <v>1335.49</v>
      </c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90"/>
      <c r="AJ45" s="190"/>
      <c r="AK45" s="190"/>
      <c r="AL45" s="190"/>
      <c r="AM45" s="190"/>
    </row>
    <row r="46" spans="1:39" s="3" customFormat="1" ht="18" customHeight="1" thickBot="1" x14ac:dyDescent="0.35">
      <c r="A46" s="148" t="s">
        <v>40</v>
      </c>
      <c r="B46" s="286" t="s">
        <v>218</v>
      </c>
      <c r="C46" s="292">
        <v>206105</v>
      </c>
      <c r="D46" s="287"/>
      <c r="E46" s="186">
        <f t="shared" si="0"/>
        <v>206105</v>
      </c>
      <c r="F46" s="186">
        <f t="shared" si="1"/>
        <v>206105</v>
      </c>
      <c r="G46" s="186">
        <f t="shared" si="2"/>
        <v>0</v>
      </c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>
        <v>206105</v>
      </c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90"/>
      <c r="AJ46" s="190"/>
      <c r="AK46" s="190"/>
      <c r="AL46" s="190"/>
      <c r="AM46" s="190"/>
    </row>
    <row r="47" spans="1:39" s="3" customFormat="1" ht="18" customHeight="1" thickBot="1" x14ac:dyDescent="0.35">
      <c r="A47" s="148" t="s">
        <v>41</v>
      </c>
      <c r="B47" s="286" t="s">
        <v>219</v>
      </c>
      <c r="C47" s="292">
        <v>157198</v>
      </c>
      <c r="D47" s="287"/>
      <c r="E47" s="186">
        <f t="shared" si="0"/>
        <v>157198</v>
      </c>
      <c r="F47" s="186">
        <f t="shared" si="1"/>
        <v>157198</v>
      </c>
      <c r="G47" s="186">
        <f t="shared" si="2"/>
        <v>0</v>
      </c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>
        <v>99432.41</v>
      </c>
      <c r="S47" s="189">
        <v>57765.59</v>
      </c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90"/>
      <c r="AJ47" s="190"/>
      <c r="AK47" s="190"/>
      <c r="AL47" s="190"/>
      <c r="AM47" s="190"/>
    </row>
    <row r="48" spans="1:39" s="3" customFormat="1" ht="18" customHeight="1" thickBot="1" x14ac:dyDescent="0.35">
      <c r="A48" s="148" t="s">
        <v>42</v>
      </c>
      <c r="B48" s="286" t="s">
        <v>441</v>
      </c>
      <c r="C48" s="292">
        <v>206380</v>
      </c>
      <c r="D48" s="287"/>
      <c r="E48" s="186">
        <f t="shared" si="0"/>
        <v>206380</v>
      </c>
      <c r="F48" s="186">
        <f t="shared" si="1"/>
        <v>173482.04</v>
      </c>
      <c r="G48" s="186">
        <f t="shared" si="2"/>
        <v>32897.959999999992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>
        <v>173482.04</v>
      </c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90"/>
      <c r="AJ48" s="190"/>
      <c r="AK48" s="190"/>
      <c r="AL48" s="190"/>
      <c r="AM48" s="190"/>
    </row>
    <row r="49" spans="1:39" s="3" customFormat="1" ht="18" customHeight="1" thickBot="1" x14ac:dyDescent="0.35">
      <c r="A49" s="148" t="s">
        <v>43</v>
      </c>
      <c r="B49" s="286" t="s">
        <v>443</v>
      </c>
      <c r="C49" s="292">
        <v>167754</v>
      </c>
      <c r="D49" s="287"/>
      <c r="E49" s="186">
        <f t="shared" si="0"/>
        <v>167754</v>
      </c>
      <c r="F49" s="186">
        <f t="shared" si="1"/>
        <v>162527.20000000001</v>
      </c>
      <c r="G49" s="186">
        <f t="shared" si="2"/>
        <v>5226.7999999999884</v>
      </c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>
        <v>162527.20000000001</v>
      </c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90"/>
      <c r="AJ49" s="190"/>
      <c r="AK49" s="190"/>
      <c r="AL49" s="190"/>
      <c r="AM49" s="190"/>
    </row>
    <row r="50" spans="1:39" s="3" customFormat="1" ht="18" customHeight="1" thickBot="1" x14ac:dyDescent="0.35">
      <c r="A50" s="148" t="s">
        <v>44</v>
      </c>
      <c r="B50" s="286" t="s">
        <v>222</v>
      </c>
      <c r="C50" s="292">
        <v>1106181</v>
      </c>
      <c r="D50" s="287"/>
      <c r="E50" s="186">
        <f t="shared" si="0"/>
        <v>1106181</v>
      </c>
      <c r="F50" s="186">
        <f t="shared" si="1"/>
        <v>1051270.31</v>
      </c>
      <c r="G50" s="186">
        <f t="shared" si="2"/>
        <v>54910.689999999944</v>
      </c>
      <c r="H50" s="189"/>
      <c r="I50" s="189"/>
      <c r="J50" s="189"/>
      <c r="K50" s="189"/>
      <c r="L50" s="189"/>
      <c r="M50" s="189">
        <v>385514.77</v>
      </c>
      <c r="N50" s="189"/>
      <c r="O50" s="189">
        <v>163297.94</v>
      </c>
      <c r="P50" s="189">
        <v>93723.9</v>
      </c>
      <c r="Q50" s="189">
        <v>83171.649999999994</v>
      </c>
      <c r="R50" s="189">
        <v>110078.26</v>
      </c>
      <c r="S50" s="189">
        <v>89078.61</v>
      </c>
      <c r="T50" s="189"/>
      <c r="U50" s="189"/>
      <c r="V50" s="189">
        <v>126405.18</v>
      </c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90"/>
      <c r="AJ50" s="190"/>
      <c r="AK50" s="190"/>
      <c r="AL50" s="190"/>
      <c r="AM50" s="190"/>
    </row>
    <row r="51" spans="1:39" s="3" customFormat="1" ht="18" customHeight="1" thickBot="1" x14ac:dyDescent="0.35">
      <c r="A51" s="148" t="s">
        <v>45</v>
      </c>
      <c r="B51" s="286" t="s">
        <v>223</v>
      </c>
      <c r="C51" s="292">
        <v>27851697</v>
      </c>
      <c r="D51" s="287"/>
      <c r="E51" s="186">
        <f t="shared" si="0"/>
        <v>27851697</v>
      </c>
      <c r="F51" s="186">
        <f t="shared" si="1"/>
        <v>24153575.619999997</v>
      </c>
      <c r="G51" s="186">
        <f t="shared" si="2"/>
        <v>3698121.3800000027</v>
      </c>
      <c r="H51" s="189"/>
      <c r="I51" s="189"/>
      <c r="J51" s="189"/>
      <c r="K51" s="189"/>
      <c r="L51" s="189"/>
      <c r="M51" s="189"/>
      <c r="N51" s="189">
        <v>5501965.4500000002</v>
      </c>
      <c r="O51" s="189"/>
      <c r="P51" s="189">
        <v>2417695</v>
      </c>
      <c r="Q51" s="189">
        <f>2046748.62+2805900.17</f>
        <v>4852648.79</v>
      </c>
      <c r="R51" s="189"/>
      <c r="S51" s="189">
        <f>2449787.53+2515361.1+3992379.24</f>
        <v>8957527.870000001</v>
      </c>
      <c r="T51" s="189"/>
      <c r="U51" s="189"/>
      <c r="V51" s="189">
        <v>2423738.5099999998</v>
      </c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90"/>
      <c r="AJ51" s="190"/>
      <c r="AK51" s="190"/>
      <c r="AL51" s="190"/>
      <c r="AM51" s="190"/>
    </row>
    <row r="52" spans="1:39" s="3" customFormat="1" ht="18" customHeight="1" thickBot="1" x14ac:dyDescent="0.35">
      <c r="A52" s="148" t="s">
        <v>46</v>
      </c>
      <c r="B52" s="286" t="s">
        <v>588</v>
      </c>
      <c r="C52" s="292">
        <v>48993</v>
      </c>
      <c r="D52" s="287"/>
      <c r="E52" s="186">
        <f t="shared" si="0"/>
        <v>48993</v>
      </c>
      <c r="F52" s="186">
        <f t="shared" si="1"/>
        <v>48993</v>
      </c>
      <c r="G52" s="186">
        <f t="shared" si="2"/>
        <v>0</v>
      </c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>
        <v>48993</v>
      </c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90"/>
      <c r="AJ52" s="190"/>
      <c r="AK52" s="190"/>
      <c r="AL52" s="190"/>
      <c r="AM52" s="190"/>
    </row>
    <row r="53" spans="1:39" s="3" customFormat="1" ht="18" customHeight="1" thickBot="1" x14ac:dyDescent="0.35">
      <c r="A53" s="148" t="s">
        <v>47</v>
      </c>
      <c r="B53" s="286" t="s">
        <v>449</v>
      </c>
      <c r="C53" s="292">
        <v>1360947</v>
      </c>
      <c r="D53" s="287"/>
      <c r="E53" s="186">
        <f t="shared" si="0"/>
        <v>1360947</v>
      </c>
      <c r="F53" s="186">
        <f t="shared" si="1"/>
        <v>843452.58000000007</v>
      </c>
      <c r="G53" s="186">
        <f t="shared" si="2"/>
        <v>517494.41999999993</v>
      </c>
      <c r="H53" s="189"/>
      <c r="I53" s="189"/>
      <c r="J53" s="189"/>
      <c r="K53" s="189"/>
      <c r="L53" s="189"/>
      <c r="M53" s="189"/>
      <c r="N53" s="189">
        <v>366993.49</v>
      </c>
      <c r="O53" s="189"/>
      <c r="P53" s="189">
        <v>201520.13</v>
      </c>
      <c r="Q53" s="189">
        <v>96732.89</v>
      </c>
      <c r="R53" s="189"/>
      <c r="S53" s="189">
        <v>103415.55</v>
      </c>
      <c r="T53" s="189">
        <v>74790.52</v>
      </c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90"/>
      <c r="AJ53" s="190"/>
      <c r="AK53" s="190"/>
      <c r="AL53" s="190"/>
      <c r="AM53" s="190"/>
    </row>
    <row r="54" spans="1:39" s="3" customFormat="1" ht="18" customHeight="1" thickBot="1" x14ac:dyDescent="0.35">
      <c r="A54" s="148" t="s">
        <v>48</v>
      </c>
      <c r="B54" s="286" t="s">
        <v>226</v>
      </c>
      <c r="C54" s="292">
        <v>509144</v>
      </c>
      <c r="D54" s="287"/>
      <c r="E54" s="186">
        <f t="shared" si="0"/>
        <v>509144</v>
      </c>
      <c r="F54" s="186">
        <f t="shared" si="1"/>
        <v>509144</v>
      </c>
      <c r="G54" s="186">
        <f t="shared" si="2"/>
        <v>0</v>
      </c>
      <c r="H54" s="189"/>
      <c r="I54" s="189"/>
      <c r="J54" s="189"/>
      <c r="K54" s="189"/>
      <c r="L54" s="189"/>
      <c r="M54" s="189"/>
      <c r="N54" s="189"/>
      <c r="O54" s="189">
        <v>251276.39</v>
      </c>
      <c r="P54" s="189"/>
      <c r="Q54" s="189">
        <v>111834.92</v>
      </c>
      <c r="R54" s="189"/>
      <c r="S54" s="189">
        <v>84945.46</v>
      </c>
      <c r="T54" s="189">
        <v>61087.23</v>
      </c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90"/>
      <c r="AJ54" s="190"/>
      <c r="AK54" s="190"/>
      <c r="AL54" s="190"/>
      <c r="AM54" s="190"/>
    </row>
    <row r="55" spans="1:39" s="3" customFormat="1" ht="18" customHeight="1" thickBot="1" x14ac:dyDescent="0.35">
      <c r="A55" s="148" t="s">
        <v>49</v>
      </c>
      <c r="B55" s="286" t="s">
        <v>227</v>
      </c>
      <c r="C55" s="292">
        <v>159622</v>
      </c>
      <c r="D55" s="287"/>
      <c r="E55" s="186">
        <f t="shared" si="0"/>
        <v>159622</v>
      </c>
      <c r="F55" s="186">
        <f t="shared" si="1"/>
        <v>159622</v>
      </c>
      <c r="G55" s="186">
        <f t="shared" si="2"/>
        <v>0</v>
      </c>
      <c r="H55" s="189"/>
      <c r="I55" s="189"/>
      <c r="J55" s="189"/>
      <c r="K55" s="189"/>
      <c r="L55" s="189"/>
      <c r="M55" s="189"/>
      <c r="N55" s="189"/>
      <c r="O55" s="189">
        <v>76202.41</v>
      </c>
      <c r="P55" s="189"/>
      <c r="Q55" s="189">
        <v>40141.629999999997</v>
      </c>
      <c r="R55" s="189"/>
      <c r="S55" s="189"/>
      <c r="T55" s="189"/>
      <c r="U55" s="189">
        <v>43277.96</v>
      </c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90"/>
      <c r="AJ55" s="190"/>
      <c r="AK55" s="190"/>
      <c r="AL55" s="190"/>
      <c r="AM55" s="190"/>
    </row>
    <row r="56" spans="1:39" s="3" customFormat="1" ht="18" customHeight="1" thickBot="1" x14ac:dyDescent="0.35">
      <c r="A56" s="148" t="s">
        <v>50</v>
      </c>
      <c r="B56" s="286" t="s">
        <v>228</v>
      </c>
      <c r="C56" s="292">
        <v>31090</v>
      </c>
      <c r="D56" s="287">
        <v>9025</v>
      </c>
      <c r="E56" s="278">
        <f>0</f>
        <v>0</v>
      </c>
      <c r="F56" s="186">
        <f t="shared" si="1"/>
        <v>0</v>
      </c>
      <c r="G56" s="186">
        <f t="shared" si="2"/>
        <v>0</v>
      </c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90"/>
      <c r="AJ56" s="190"/>
      <c r="AK56" s="190"/>
      <c r="AL56" s="190"/>
      <c r="AM56" s="190"/>
    </row>
    <row r="57" spans="1:39" s="3" customFormat="1" ht="18" customHeight="1" thickBot="1" x14ac:dyDescent="0.35">
      <c r="A57" s="148" t="s">
        <v>51</v>
      </c>
      <c r="B57" s="286" t="s">
        <v>229</v>
      </c>
      <c r="C57" s="292">
        <v>33628</v>
      </c>
      <c r="D57" s="287"/>
      <c r="E57" s="186">
        <f t="shared" si="0"/>
        <v>33628</v>
      </c>
      <c r="F57" s="186">
        <f t="shared" si="1"/>
        <v>33628</v>
      </c>
      <c r="G57" s="186">
        <f t="shared" si="2"/>
        <v>0</v>
      </c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>
        <v>33628</v>
      </c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90"/>
      <c r="AJ57" s="190"/>
      <c r="AK57" s="190"/>
      <c r="AL57" s="190"/>
      <c r="AM57" s="190"/>
    </row>
    <row r="58" spans="1:39" s="3" customFormat="1" ht="18" customHeight="1" thickBot="1" x14ac:dyDescent="0.35">
      <c r="A58" s="148" t="s">
        <v>52</v>
      </c>
      <c r="B58" s="286" t="s">
        <v>230</v>
      </c>
      <c r="C58" s="292">
        <v>27630</v>
      </c>
      <c r="D58" s="287"/>
      <c r="E58" s="186">
        <f t="shared" si="0"/>
        <v>27630</v>
      </c>
      <c r="F58" s="186">
        <f t="shared" si="1"/>
        <v>27630</v>
      </c>
      <c r="G58" s="186">
        <f t="shared" si="2"/>
        <v>0</v>
      </c>
      <c r="H58" s="189"/>
      <c r="I58" s="189"/>
      <c r="J58" s="189"/>
      <c r="K58" s="189"/>
      <c r="L58" s="189"/>
      <c r="M58" s="189"/>
      <c r="N58" s="189"/>
      <c r="O58" s="189">
        <v>13815</v>
      </c>
      <c r="P58" s="189"/>
      <c r="Q58" s="189"/>
      <c r="R58" s="189"/>
      <c r="S58" s="189">
        <v>13815</v>
      </c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90"/>
      <c r="AJ58" s="190"/>
      <c r="AK58" s="190"/>
      <c r="AL58" s="190"/>
      <c r="AM58" s="190"/>
    </row>
    <row r="59" spans="1:39" s="3" customFormat="1" ht="18" customHeight="1" thickBot="1" x14ac:dyDescent="0.35">
      <c r="A59" s="148" t="s">
        <v>53</v>
      </c>
      <c r="B59" s="286" t="s">
        <v>231</v>
      </c>
      <c r="C59" s="292">
        <v>13240</v>
      </c>
      <c r="D59" s="287">
        <v>9025</v>
      </c>
      <c r="E59" s="278">
        <f>0</f>
        <v>0</v>
      </c>
      <c r="F59" s="186">
        <f t="shared" si="1"/>
        <v>0</v>
      </c>
      <c r="G59" s="186">
        <f t="shared" si="2"/>
        <v>0</v>
      </c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90"/>
      <c r="AJ59" s="190"/>
      <c r="AK59" s="190"/>
      <c r="AL59" s="190"/>
      <c r="AM59" s="190"/>
    </row>
    <row r="60" spans="1:39" s="3" customFormat="1" ht="18" customHeight="1" thickBot="1" x14ac:dyDescent="0.35">
      <c r="A60" s="148" t="s">
        <v>54</v>
      </c>
      <c r="B60" s="286" t="s">
        <v>232</v>
      </c>
      <c r="C60" s="292">
        <v>82329</v>
      </c>
      <c r="D60" s="287"/>
      <c r="E60" s="186">
        <f t="shared" si="0"/>
        <v>82329</v>
      </c>
      <c r="F60" s="186">
        <f t="shared" si="1"/>
        <v>22226.75</v>
      </c>
      <c r="G60" s="186">
        <f t="shared" si="2"/>
        <v>60102.25</v>
      </c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>
        <v>22226.75</v>
      </c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90"/>
      <c r="AJ60" s="190"/>
      <c r="AK60" s="190"/>
      <c r="AL60" s="190"/>
      <c r="AM60" s="190"/>
    </row>
    <row r="61" spans="1:39" s="3" customFormat="1" ht="18" customHeight="1" thickBot="1" x14ac:dyDescent="0.35">
      <c r="A61" s="148" t="s">
        <v>55</v>
      </c>
      <c r="B61" s="286" t="s">
        <v>233</v>
      </c>
      <c r="C61" s="292">
        <v>4253178</v>
      </c>
      <c r="D61" s="287"/>
      <c r="E61" s="186">
        <f t="shared" si="0"/>
        <v>4253178</v>
      </c>
      <c r="F61" s="186">
        <f t="shared" si="1"/>
        <v>2464049.39</v>
      </c>
      <c r="G61" s="186">
        <f t="shared" si="2"/>
        <v>1789128.6099999999</v>
      </c>
      <c r="H61" s="189"/>
      <c r="I61" s="189"/>
      <c r="J61" s="189"/>
      <c r="K61" s="189"/>
      <c r="L61" s="189"/>
      <c r="M61" s="189"/>
      <c r="N61" s="189"/>
      <c r="O61" s="189"/>
      <c r="P61" s="189"/>
      <c r="Q61" s="189">
        <v>2001389.48</v>
      </c>
      <c r="R61" s="189"/>
      <c r="S61" s="189">
        <v>462659.91</v>
      </c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90"/>
      <c r="AJ61" s="190"/>
      <c r="AK61" s="190"/>
      <c r="AL61" s="190"/>
      <c r="AM61" s="190"/>
    </row>
    <row r="62" spans="1:39" s="3" customFormat="1" ht="18" customHeight="1" thickBot="1" x14ac:dyDescent="0.35">
      <c r="A62" s="148" t="s">
        <v>56</v>
      </c>
      <c r="B62" s="286" t="s">
        <v>234</v>
      </c>
      <c r="C62" s="292">
        <v>1401023</v>
      </c>
      <c r="D62" s="287"/>
      <c r="E62" s="186">
        <f t="shared" si="0"/>
        <v>1401023</v>
      </c>
      <c r="F62" s="186">
        <f t="shared" si="1"/>
        <v>1152502.6199999999</v>
      </c>
      <c r="G62" s="186">
        <f t="shared" si="2"/>
        <v>248520.38000000012</v>
      </c>
      <c r="H62" s="189"/>
      <c r="I62" s="189"/>
      <c r="J62" s="189"/>
      <c r="K62" s="189"/>
      <c r="L62" s="189"/>
      <c r="M62" s="189">
        <v>386061.03</v>
      </c>
      <c r="N62" s="189"/>
      <c r="O62" s="189"/>
      <c r="P62" s="189"/>
      <c r="Q62" s="189">
        <v>424727.67</v>
      </c>
      <c r="R62" s="189"/>
      <c r="S62" s="189">
        <v>229913.95</v>
      </c>
      <c r="T62" s="189"/>
      <c r="U62" s="189">
        <v>111799.97</v>
      </c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90"/>
      <c r="AJ62" s="190"/>
      <c r="AK62" s="190"/>
      <c r="AL62" s="190"/>
      <c r="AM62" s="190"/>
    </row>
    <row r="63" spans="1:39" s="3" customFormat="1" ht="18" customHeight="1" thickBot="1" x14ac:dyDescent="0.35">
      <c r="A63" s="148" t="s">
        <v>57</v>
      </c>
      <c r="B63" s="286" t="s">
        <v>235</v>
      </c>
      <c r="C63" s="292">
        <v>1314994</v>
      </c>
      <c r="D63" s="287"/>
      <c r="E63" s="186">
        <f t="shared" si="0"/>
        <v>1314994</v>
      </c>
      <c r="F63" s="186">
        <f t="shared" si="1"/>
        <v>1167153.6400000001</v>
      </c>
      <c r="G63" s="186">
        <f t="shared" si="2"/>
        <v>147840.35999999987</v>
      </c>
      <c r="H63" s="189"/>
      <c r="I63" s="189"/>
      <c r="J63" s="189"/>
      <c r="K63" s="189"/>
      <c r="L63" s="189">
        <f>239358.64+103862</f>
        <v>343220.64</v>
      </c>
      <c r="M63" s="189">
        <v>117247</v>
      </c>
      <c r="N63" s="189">
        <v>110679</v>
      </c>
      <c r="O63" s="189">
        <v>112956</v>
      </c>
      <c r="P63" s="189">
        <v>97868</v>
      </c>
      <c r="Q63" s="189">
        <v>98737</v>
      </c>
      <c r="R63" s="189">
        <v>104143</v>
      </c>
      <c r="S63" s="189">
        <v>182303</v>
      </c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90"/>
      <c r="AJ63" s="190"/>
      <c r="AK63" s="190"/>
      <c r="AL63" s="190"/>
      <c r="AM63" s="190"/>
    </row>
    <row r="64" spans="1:39" s="3" customFormat="1" ht="18" customHeight="1" thickBot="1" x14ac:dyDescent="0.35">
      <c r="A64" s="148" t="s">
        <v>58</v>
      </c>
      <c r="B64" s="286" t="s">
        <v>236</v>
      </c>
      <c r="C64" s="292">
        <v>7616157</v>
      </c>
      <c r="D64" s="287"/>
      <c r="E64" s="186">
        <f t="shared" si="0"/>
        <v>7616157</v>
      </c>
      <c r="F64" s="186">
        <f t="shared" si="1"/>
        <v>5406346.2800000003</v>
      </c>
      <c r="G64" s="186">
        <f t="shared" si="2"/>
        <v>2209810.7199999997</v>
      </c>
      <c r="H64" s="189"/>
      <c r="I64" s="189"/>
      <c r="J64" s="189"/>
      <c r="K64" s="189"/>
      <c r="L64" s="189"/>
      <c r="M64" s="189">
        <v>478049.24</v>
      </c>
      <c r="N64" s="189">
        <v>930710.63</v>
      </c>
      <c r="O64" s="189">
        <v>416323.79</v>
      </c>
      <c r="P64" s="189">
        <v>753342.16</v>
      </c>
      <c r="Q64" s="189">
        <v>581835.81999999995</v>
      </c>
      <c r="R64" s="189">
        <v>828173.41</v>
      </c>
      <c r="S64" s="222">
        <v>202582.7</v>
      </c>
      <c r="T64" s="189"/>
      <c r="U64" s="189"/>
      <c r="V64" s="189">
        <v>1215328.53</v>
      </c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90"/>
      <c r="AJ64" s="190"/>
      <c r="AK64" s="190"/>
      <c r="AL64" s="190"/>
      <c r="AM64" s="190"/>
    </row>
    <row r="65" spans="1:39" s="3" customFormat="1" ht="18" customHeight="1" thickBot="1" x14ac:dyDescent="0.35">
      <c r="A65" s="148" t="s">
        <v>59</v>
      </c>
      <c r="B65" s="286" t="s">
        <v>237</v>
      </c>
      <c r="C65" s="292">
        <v>259698</v>
      </c>
      <c r="D65" s="287"/>
      <c r="E65" s="186">
        <f t="shared" si="0"/>
        <v>259698</v>
      </c>
      <c r="F65" s="186">
        <f t="shared" si="1"/>
        <v>194707.52</v>
      </c>
      <c r="G65" s="186">
        <f t="shared" si="2"/>
        <v>64990.48000000001</v>
      </c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>
        <v>194707.52</v>
      </c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90"/>
      <c r="AJ65" s="190"/>
      <c r="AK65" s="190"/>
      <c r="AL65" s="190"/>
      <c r="AM65" s="190"/>
    </row>
    <row r="66" spans="1:39" s="3" customFormat="1" ht="18" customHeight="1" thickBot="1" x14ac:dyDescent="0.35">
      <c r="A66" s="148" t="s">
        <v>60</v>
      </c>
      <c r="B66" s="286" t="s">
        <v>238</v>
      </c>
      <c r="C66" s="292">
        <v>111323</v>
      </c>
      <c r="D66" s="287"/>
      <c r="E66" s="186">
        <f t="shared" si="0"/>
        <v>111323</v>
      </c>
      <c r="F66" s="186">
        <f t="shared" si="1"/>
        <v>111323</v>
      </c>
      <c r="G66" s="186">
        <f t="shared" si="2"/>
        <v>0</v>
      </c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>
        <v>94628.74</v>
      </c>
      <c r="S66" s="189">
        <v>16694.259999999998</v>
      </c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90"/>
      <c r="AJ66" s="190"/>
      <c r="AK66" s="190"/>
      <c r="AL66" s="190"/>
      <c r="AM66" s="190"/>
    </row>
    <row r="67" spans="1:39" s="3" customFormat="1" ht="18" customHeight="1" thickBot="1" x14ac:dyDescent="0.35">
      <c r="A67" s="148" t="s">
        <v>61</v>
      </c>
      <c r="B67" s="286" t="s">
        <v>239</v>
      </c>
      <c r="C67" s="292">
        <v>631501</v>
      </c>
      <c r="D67" s="287"/>
      <c r="E67" s="186">
        <f t="shared" si="0"/>
        <v>631501</v>
      </c>
      <c r="F67" s="186">
        <f t="shared" si="1"/>
        <v>574778.56999999995</v>
      </c>
      <c r="G67" s="186">
        <f t="shared" si="2"/>
        <v>56722.430000000051</v>
      </c>
      <c r="H67" s="189"/>
      <c r="I67" s="189"/>
      <c r="J67" s="189"/>
      <c r="K67" s="189"/>
      <c r="L67" s="189">
        <v>50350.22</v>
      </c>
      <c r="M67" s="189"/>
      <c r="N67" s="189"/>
      <c r="O67" s="189">
        <v>146209.26999999999</v>
      </c>
      <c r="P67" s="189"/>
      <c r="Q67" s="189"/>
      <c r="R67" s="189">
        <v>204322.69</v>
      </c>
      <c r="S67" s="189"/>
      <c r="T67" s="189">
        <v>126893.03</v>
      </c>
      <c r="U67" s="189">
        <v>45781.59</v>
      </c>
      <c r="V67" s="189">
        <v>1221.77</v>
      </c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90"/>
      <c r="AJ67" s="190"/>
      <c r="AK67" s="190"/>
      <c r="AL67" s="190"/>
      <c r="AM67" s="190"/>
    </row>
    <row r="68" spans="1:39" s="3" customFormat="1" ht="18" customHeight="1" thickBot="1" x14ac:dyDescent="0.35">
      <c r="A68" s="148" t="s">
        <v>62</v>
      </c>
      <c r="B68" s="286" t="s">
        <v>240</v>
      </c>
      <c r="C68" s="292">
        <v>170830</v>
      </c>
      <c r="D68" s="287"/>
      <c r="E68" s="186">
        <f t="shared" si="0"/>
        <v>170830</v>
      </c>
      <c r="F68" s="186">
        <f t="shared" si="1"/>
        <v>0</v>
      </c>
      <c r="G68" s="186">
        <f t="shared" si="2"/>
        <v>170830</v>
      </c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90"/>
      <c r="AJ68" s="190"/>
      <c r="AK68" s="190"/>
      <c r="AL68" s="190"/>
      <c r="AM68" s="190"/>
    </row>
    <row r="69" spans="1:39" s="3" customFormat="1" ht="18" customHeight="1" thickBot="1" x14ac:dyDescent="0.35">
      <c r="A69" s="148" t="s">
        <v>63</v>
      </c>
      <c r="B69" s="286" t="s">
        <v>456</v>
      </c>
      <c r="C69" s="292">
        <v>68918</v>
      </c>
      <c r="D69" s="287"/>
      <c r="E69" s="186">
        <f t="shared" si="0"/>
        <v>68918</v>
      </c>
      <c r="F69" s="186">
        <f t="shared" si="1"/>
        <v>62569.289999999994</v>
      </c>
      <c r="G69" s="186">
        <f t="shared" si="2"/>
        <v>6348.7100000000064</v>
      </c>
      <c r="H69" s="189"/>
      <c r="I69" s="189"/>
      <c r="J69" s="189"/>
      <c r="K69" s="189"/>
      <c r="L69" s="189"/>
      <c r="M69" s="189"/>
      <c r="N69" s="189"/>
      <c r="O69" s="189">
        <v>43669.279999999999</v>
      </c>
      <c r="P69" s="189"/>
      <c r="Q69" s="189"/>
      <c r="R69" s="189"/>
      <c r="S69" s="189"/>
      <c r="T69" s="189"/>
      <c r="U69" s="189"/>
      <c r="V69" s="189">
        <v>18900.009999999998</v>
      </c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90"/>
      <c r="AJ69" s="190"/>
      <c r="AK69" s="190"/>
      <c r="AL69" s="190"/>
      <c r="AM69" s="190"/>
    </row>
    <row r="70" spans="1:39" s="3" customFormat="1" ht="18" customHeight="1" thickBot="1" x14ac:dyDescent="0.35">
      <c r="A70" s="148" t="s">
        <v>64</v>
      </c>
      <c r="B70" s="286" t="s">
        <v>242</v>
      </c>
      <c r="C70" s="292">
        <v>65461</v>
      </c>
      <c r="D70" s="287"/>
      <c r="E70" s="186">
        <f t="shared" si="0"/>
        <v>65461</v>
      </c>
      <c r="F70" s="186">
        <f t="shared" si="1"/>
        <v>65461</v>
      </c>
      <c r="G70" s="186">
        <f t="shared" si="2"/>
        <v>0</v>
      </c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>
        <v>65461</v>
      </c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90"/>
      <c r="AJ70" s="190"/>
      <c r="AK70" s="190"/>
      <c r="AL70" s="190"/>
      <c r="AM70" s="190"/>
    </row>
    <row r="71" spans="1:39" s="3" customFormat="1" ht="16.899999999999999" customHeight="1" thickBot="1" x14ac:dyDescent="0.35">
      <c r="A71" s="148" t="s">
        <v>65</v>
      </c>
      <c r="B71" s="286" t="s">
        <v>243</v>
      </c>
      <c r="C71" s="292">
        <v>199159</v>
      </c>
      <c r="D71" s="287"/>
      <c r="E71" s="186">
        <f t="shared" si="0"/>
        <v>199159</v>
      </c>
      <c r="F71" s="186">
        <f t="shared" si="1"/>
        <v>199159</v>
      </c>
      <c r="G71" s="186">
        <f t="shared" si="2"/>
        <v>0</v>
      </c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>
        <v>199159</v>
      </c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90"/>
      <c r="AJ71" s="190"/>
      <c r="AK71" s="190"/>
      <c r="AL71" s="190"/>
      <c r="AM71" s="190"/>
    </row>
    <row r="72" spans="1:39" s="3" customFormat="1" ht="18" customHeight="1" thickBot="1" x14ac:dyDescent="0.35">
      <c r="A72" s="148" t="s">
        <v>66</v>
      </c>
      <c r="B72" s="286" t="s">
        <v>244</v>
      </c>
      <c r="C72" s="292">
        <v>2147855</v>
      </c>
      <c r="D72" s="287"/>
      <c r="E72" s="186">
        <f t="shared" si="0"/>
        <v>2147855</v>
      </c>
      <c r="F72" s="186">
        <f t="shared" si="1"/>
        <v>1091035</v>
      </c>
      <c r="G72" s="186">
        <f t="shared" si="2"/>
        <v>1056820</v>
      </c>
      <c r="H72" s="189"/>
      <c r="I72" s="189"/>
      <c r="J72" s="189"/>
      <c r="K72" s="189"/>
      <c r="L72" s="189"/>
      <c r="M72" s="189"/>
      <c r="N72" s="189"/>
      <c r="O72" s="189"/>
      <c r="P72" s="189"/>
      <c r="Q72" s="189">
        <v>288932</v>
      </c>
      <c r="R72" s="189"/>
      <c r="S72" s="189">
        <v>366753</v>
      </c>
      <c r="T72" s="189">
        <v>435350</v>
      </c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90"/>
      <c r="AJ72" s="190"/>
      <c r="AK72" s="190"/>
      <c r="AL72" s="190"/>
      <c r="AM72" s="190"/>
    </row>
    <row r="73" spans="1:39" s="3" customFormat="1" ht="18" customHeight="1" thickBot="1" x14ac:dyDescent="0.35">
      <c r="A73" s="148" t="s">
        <v>67</v>
      </c>
      <c r="B73" s="286" t="s">
        <v>457</v>
      </c>
      <c r="C73" s="292">
        <v>20120</v>
      </c>
      <c r="D73" s="287"/>
      <c r="E73" s="186">
        <f t="shared" si="0"/>
        <v>20120</v>
      </c>
      <c r="F73" s="186">
        <f t="shared" si="1"/>
        <v>16767.52</v>
      </c>
      <c r="G73" s="186">
        <f t="shared" si="2"/>
        <v>3352.4799999999996</v>
      </c>
      <c r="H73" s="189"/>
      <c r="I73" s="189"/>
      <c r="J73" s="189"/>
      <c r="K73" s="189"/>
      <c r="L73" s="189"/>
      <c r="M73" s="189"/>
      <c r="N73" s="189"/>
      <c r="O73" s="189">
        <v>8383.76</v>
      </c>
      <c r="P73" s="189"/>
      <c r="Q73" s="189"/>
      <c r="R73" s="189"/>
      <c r="S73" s="189">
        <v>8383.76</v>
      </c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90"/>
      <c r="AJ73" s="190"/>
      <c r="AK73" s="190"/>
      <c r="AL73" s="190"/>
      <c r="AM73" s="190"/>
    </row>
    <row r="74" spans="1:39" s="3" customFormat="1" ht="18" customHeight="1" thickBot="1" x14ac:dyDescent="0.35">
      <c r="A74" s="148" t="s">
        <v>68</v>
      </c>
      <c r="B74" s="286" t="s">
        <v>589</v>
      </c>
      <c r="C74" s="292">
        <v>75779</v>
      </c>
      <c r="D74" s="287"/>
      <c r="E74" s="186">
        <f t="shared" si="0"/>
        <v>75779</v>
      </c>
      <c r="F74" s="186">
        <f t="shared" si="1"/>
        <v>75779</v>
      </c>
      <c r="G74" s="186">
        <f t="shared" si="2"/>
        <v>0</v>
      </c>
      <c r="H74" s="189"/>
      <c r="I74" s="189"/>
      <c r="J74" s="189"/>
      <c r="K74" s="189"/>
      <c r="L74" s="189">
        <v>27586</v>
      </c>
      <c r="M74" s="189"/>
      <c r="N74" s="189"/>
      <c r="O74" s="189">
        <v>32471.46</v>
      </c>
      <c r="P74" s="189"/>
      <c r="Q74" s="189">
        <v>15721.54</v>
      </c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90"/>
      <c r="AJ74" s="190"/>
      <c r="AK74" s="190"/>
      <c r="AL74" s="190"/>
      <c r="AM74" s="190"/>
    </row>
    <row r="75" spans="1:39" s="3" customFormat="1" ht="18" customHeight="1" thickBot="1" x14ac:dyDescent="0.35">
      <c r="A75" s="148" t="s">
        <v>69</v>
      </c>
      <c r="B75" s="286" t="s">
        <v>459</v>
      </c>
      <c r="C75" s="292">
        <v>1002565</v>
      </c>
      <c r="D75" s="287"/>
      <c r="E75" s="186">
        <f t="shared" si="0"/>
        <v>1002565</v>
      </c>
      <c r="F75" s="186">
        <f t="shared" si="1"/>
        <v>611418.74</v>
      </c>
      <c r="G75" s="186">
        <f t="shared" si="2"/>
        <v>391146.26</v>
      </c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>
        <v>305348</v>
      </c>
      <c r="S75" s="189">
        <v>306070.74</v>
      </c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90"/>
      <c r="AJ75" s="190"/>
      <c r="AK75" s="190"/>
      <c r="AL75" s="190"/>
      <c r="AM75" s="190"/>
    </row>
    <row r="76" spans="1:39" s="3" customFormat="1" ht="18" customHeight="1" thickBot="1" x14ac:dyDescent="0.35">
      <c r="A76" s="148" t="s">
        <v>70</v>
      </c>
      <c r="B76" s="286" t="s">
        <v>461</v>
      </c>
      <c r="C76" s="292">
        <v>330454</v>
      </c>
      <c r="D76" s="287"/>
      <c r="E76" s="186">
        <f t="shared" si="0"/>
        <v>330454</v>
      </c>
      <c r="F76" s="186">
        <f t="shared" si="1"/>
        <v>253952.69</v>
      </c>
      <c r="G76" s="186">
        <f t="shared" si="2"/>
        <v>76501.31</v>
      </c>
      <c r="H76" s="189"/>
      <c r="I76" s="189"/>
      <c r="J76" s="189"/>
      <c r="K76" s="189">
        <v>12861.84</v>
      </c>
      <c r="L76" s="189"/>
      <c r="M76" s="189"/>
      <c r="N76" s="189"/>
      <c r="O76" s="189">
        <v>85454.56</v>
      </c>
      <c r="P76" s="189"/>
      <c r="Q76" s="191"/>
      <c r="R76" s="189"/>
      <c r="S76" s="189">
        <v>73597.47</v>
      </c>
      <c r="T76" s="189">
        <v>82038.820000000007</v>
      </c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90"/>
      <c r="AJ76" s="190"/>
      <c r="AK76" s="190"/>
      <c r="AL76" s="190"/>
      <c r="AM76" s="190"/>
    </row>
    <row r="77" spans="1:39" s="3" customFormat="1" ht="18" customHeight="1" thickBot="1" x14ac:dyDescent="0.35">
      <c r="A77" s="148" t="s">
        <v>71</v>
      </c>
      <c r="B77" s="286" t="s">
        <v>462</v>
      </c>
      <c r="C77" s="292">
        <v>75880</v>
      </c>
      <c r="D77" s="287"/>
      <c r="E77" s="186">
        <f t="shared" ref="E77:E140" si="3">C77</f>
        <v>75880</v>
      </c>
      <c r="F77" s="186">
        <f t="shared" si="1"/>
        <v>52749</v>
      </c>
      <c r="G77" s="186">
        <f t="shared" si="2"/>
        <v>23131</v>
      </c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>
        <v>52749</v>
      </c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90"/>
      <c r="AJ77" s="190"/>
      <c r="AK77" s="190"/>
      <c r="AL77" s="190"/>
      <c r="AM77" s="190"/>
    </row>
    <row r="78" spans="1:39" s="3" customFormat="1" ht="18" customHeight="1" thickBot="1" x14ac:dyDescent="0.35">
      <c r="A78" s="148" t="s">
        <v>72</v>
      </c>
      <c r="B78" s="286" t="s">
        <v>463</v>
      </c>
      <c r="C78" s="292">
        <v>618896</v>
      </c>
      <c r="D78" s="287"/>
      <c r="E78" s="186">
        <f t="shared" si="3"/>
        <v>618896</v>
      </c>
      <c r="F78" s="186">
        <f t="shared" ref="F78:F141" si="4">SUM(H78:AK78)</f>
        <v>597925.92999999993</v>
      </c>
      <c r="G78" s="186">
        <f t="shared" ref="G78:G141" si="5">E78-(F78+AL78+AM78)</f>
        <v>20970.070000000065</v>
      </c>
      <c r="H78" s="189"/>
      <c r="I78" s="189"/>
      <c r="J78" s="189"/>
      <c r="K78" s="189"/>
      <c r="L78" s="189"/>
      <c r="M78" s="189"/>
      <c r="N78" s="189"/>
      <c r="O78" s="189">
        <v>266305.93</v>
      </c>
      <c r="P78" s="189"/>
      <c r="Q78" s="191"/>
      <c r="R78" s="189">
        <v>191693</v>
      </c>
      <c r="S78" s="189"/>
      <c r="T78" s="189"/>
      <c r="U78" s="189">
        <v>139927</v>
      </c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90"/>
      <c r="AJ78" s="190"/>
      <c r="AK78" s="190"/>
      <c r="AL78" s="190"/>
      <c r="AM78" s="190"/>
    </row>
    <row r="79" spans="1:39" s="3" customFormat="1" ht="18" customHeight="1" thickBot="1" x14ac:dyDescent="0.35">
      <c r="A79" s="148" t="s">
        <v>73</v>
      </c>
      <c r="B79" s="286" t="s">
        <v>465</v>
      </c>
      <c r="C79" s="292">
        <v>600441</v>
      </c>
      <c r="D79" s="287"/>
      <c r="E79" s="186">
        <f t="shared" si="3"/>
        <v>600441</v>
      </c>
      <c r="F79" s="186">
        <f t="shared" si="4"/>
        <v>458235.93</v>
      </c>
      <c r="G79" s="186">
        <f t="shared" si="5"/>
        <v>142205.07</v>
      </c>
      <c r="H79" s="189"/>
      <c r="I79" s="189"/>
      <c r="J79" s="189"/>
      <c r="K79" s="189"/>
      <c r="L79" s="189"/>
      <c r="M79" s="189"/>
      <c r="N79" s="189">
        <v>94023.85</v>
      </c>
      <c r="O79" s="189">
        <v>92470.96</v>
      </c>
      <c r="P79" s="189"/>
      <c r="Q79" s="189"/>
      <c r="R79" s="189"/>
      <c r="S79" s="189"/>
      <c r="T79" s="189"/>
      <c r="U79" s="189"/>
      <c r="V79" s="189">
        <v>271741.12</v>
      </c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90"/>
      <c r="AJ79" s="190"/>
      <c r="AK79" s="190"/>
      <c r="AL79" s="190"/>
      <c r="AM79" s="190"/>
    </row>
    <row r="80" spans="1:39" s="3" customFormat="1" ht="18" customHeight="1" thickBot="1" x14ac:dyDescent="0.35">
      <c r="A80" s="148" t="s">
        <v>74</v>
      </c>
      <c r="B80" s="286" t="s">
        <v>252</v>
      </c>
      <c r="C80" s="292">
        <v>174823</v>
      </c>
      <c r="D80" s="287"/>
      <c r="E80" s="186">
        <f t="shared" si="3"/>
        <v>174823</v>
      </c>
      <c r="F80" s="186">
        <f t="shared" si="4"/>
        <v>161541.9</v>
      </c>
      <c r="G80" s="186">
        <f t="shared" si="5"/>
        <v>13281.100000000006</v>
      </c>
      <c r="H80" s="189"/>
      <c r="I80" s="189"/>
      <c r="J80" s="189"/>
      <c r="K80" s="189"/>
      <c r="L80" s="189"/>
      <c r="M80" s="189"/>
      <c r="N80" s="189"/>
      <c r="O80" s="189"/>
      <c r="P80" s="189">
        <v>74157.929999999993</v>
      </c>
      <c r="Q80" s="189"/>
      <c r="R80" s="189"/>
      <c r="S80" s="189">
        <v>87383.97</v>
      </c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90"/>
      <c r="AJ80" s="190"/>
      <c r="AK80" s="190"/>
      <c r="AL80" s="190"/>
      <c r="AM80" s="190"/>
    </row>
    <row r="81" spans="1:39" s="3" customFormat="1" ht="18" customHeight="1" thickBot="1" x14ac:dyDescent="0.35">
      <c r="A81" s="148" t="s">
        <v>75</v>
      </c>
      <c r="B81" s="286" t="s">
        <v>466</v>
      </c>
      <c r="C81" s="292">
        <v>27477</v>
      </c>
      <c r="D81" s="287"/>
      <c r="E81" s="186">
        <f t="shared" si="3"/>
        <v>27477</v>
      </c>
      <c r="F81" s="186">
        <f t="shared" si="4"/>
        <v>10199</v>
      </c>
      <c r="G81" s="186">
        <f t="shared" si="5"/>
        <v>17278</v>
      </c>
      <c r="H81" s="189"/>
      <c r="I81" s="189"/>
      <c r="J81" s="189"/>
      <c r="K81" s="189"/>
      <c r="L81" s="189"/>
      <c r="M81" s="189">
        <v>10199</v>
      </c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90"/>
      <c r="AJ81" s="190"/>
      <c r="AK81" s="190"/>
      <c r="AL81" s="190"/>
      <c r="AM81" s="190"/>
    </row>
    <row r="82" spans="1:39" s="3" customFormat="1" ht="18" customHeight="1" thickBot="1" x14ac:dyDescent="0.35">
      <c r="A82" s="148" t="s">
        <v>76</v>
      </c>
      <c r="B82" s="286" t="s">
        <v>468</v>
      </c>
      <c r="C82" s="292">
        <v>123642</v>
      </c>
      <c r="D82" s="287"/>
      <c r="E82" s="186">
        <f t="shared" si="3"/>
        <v>123642</v>
      </c>
      <c r="F82" s="186">
        <f t="shared" si="4"/>
        <v>123642</v>
      </c>
      <c r="G82" s="186">
        <f t="shared" si="5"/>
        <v>0</v>
      </c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>
        <v>63899.94</v>
      </c>
      <c r="S82" s="189">
        <v>59742.06</v>
      </c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90"/>
      <c r="AJ82" s="190"/>
      <c r="AK82" s="190"/>
      <c r="AL82" s="190"/>
      <c r="AM82" s="190"/>
    </row>
    <row r="83" spans="1:39" s="3" customFormat="1" ht="18" customHeight="1" thickBot="1" x14ac:dyDescent="0.35">
      <c r="A83" s="148" t="s">
        <v>77</v>
      </c>
      <c r="B83" s="286" t="s">
        <v>255</v>
      </c>
      <c r="C83" s="292">
        <v>63946</v>
      </c>
      <c r="D83" s="287"/>
      <c r="E83" s="186">
        <f t="shared" si="3"/>
        <v>63946</v>
      </c>
      <c r="F83" s="186">
        <f t="shared" si="4"/>
        <v>63946</v>
      </c>
      <c r="G83" s="186">
        <f t="shared" si="5"/>
        <v>0</v>
      </c>
      <c r="H83" s="189"/>
      <c r="I83" s="189"/>
      <c r="J83" s="189"/>
      <c r="K83" s="189"/>
      <c r="L83" s="189"/>
      <c r="M83" s="189">
        <v>35107</v>
      </c>
      <c r="N83" s="189"/>
      <c r="O83" s="189"/>
      <c r="P83" s="189">
        <v>28839</v>
      </c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90"/>
      <c r="AJ83" s="190"/>
      <c r="AK83" s="190"/>
      <c r="AL83" s="190"/>
      <c r="AM83" s="190"/>
    </row>
    <row r="84" spans="1:39" s="3" customFormat="1" ht="18" customHeight="1" thickBot="1" x14ac:dyDescent="0.35">
      <c r="A84" s="148" t="s">
        <v>78</v>
      </c>
      <c r="B84" s="286" t="s">
        <v>256</v>
      </c>
      <c r="C84" s="292">
        <v>218832</v>
      </c>
      <c r="D84" s="287"/>
      <c r="E84" s="186">
        <f t="shared" si="3"/>
        <v>218832</v>
      </c>
      <c r="F84" s="186">
        <f t="shared" si="4"/>
        <v>218832</v>
      </c>
      <c r="G84" s="186">
        <f t="shared" si="5"/>
        <v>0</v>
      </c>
      <c r="H84" s="189"/>
      <c r="I84" s="189"/>
      <c r="J84" s="189"/>
      <c r="K84" s="189"/>
      <c r="L84" s="189">
        <v>16913.259999999998</v>
      </c>
      <c r="M84" s="189"/>
      <c r="N84" s="189"/>
      <c r="O84" s="189">
        <v>54591.96</v>
      </c>
      <c r="P84" s="189"/>
      <c r="Q84" s="189"/>
      <c r="R84" s="189">
        <v>52759.26</v>
      </c>
      <c r="S84" s="189"/>
      <c r="T84" s="189"/>
      <c r="U84" s="189">
        <v>94567.52</v>
      </c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90"/>
      <c r="AJ84" s="190"/>
      <c r="AK84" s="190"/>
      <c r="AL84" s="190"/>
      <c r="AM84" s="190"/>
    </row>
    <row r="85" spans="1:39" s="3" customFormat="1" ht="18" customHeight="1" thickBot="1" x14ac:dyDescent="0.35">
      <c r="A85" s="148" t="s">
        <v>79</v>
      </c>
      <c r="B85" s="286" t="s">
        <v>257</v>
      </c>
      <c r="C85" s="292">
        <v>19723</v>
      </c>
      <c r="D85" s="287"/>
      <c r="E85" s="186">
        <f t="shared" si="3"/>
        <v>19723</v>
      </c>
      <c r="F85" s="186">
        <f t="shared" si="4"/>
        <v>19723</v>
      </c>
      <c r="G85" s="186">
        <f t="shared" si="5"/>
        <v>0</v>
      </c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>
        <v>19723</v>
      </c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90"/>
      <c r="AJ85" s="190"/>
      <c r="AK85" s="190"/>
      <c r="AL85" s="190"/>
      <c r="AM85" s="190"/>
    </row>
    <row r="86" spans="1:39" s="3" customFormat="1" ht="18" customHeight="1" thickBot="1" x14ac:dyDescent="0.35">
      <c r="A86" s="148" t="s">
        <v>80</v>
      </c>
      <c r="B86" s="286" t="s">
        <v>474</v>
      </c>
      <c r="C86" s="292">
        <v>323140</v>
      </c>
      <c r="D86" s="287"/>
      <c r="E86" s="186">
        <f t="shared" si="3"/>
        <v>323140</v>
      </c>
      <c r="F86" s="186">
        <f t="shared" si="4"/>
        <v>248000.84000000003</v>
      </c>
      <c r="G86" s="186">
        <f t="shared" si="5"/>
        <v>75139.159999999974</v>
      </c>
      <c r="H86" s="189"/>
      <c r="I86" s="189"/>
      <c r="J86" s="189"/>
      <c r="K86" s="189"/>
      <c r="L86" s="189"/>
      <c r="M86" s="189">
        <v>30682.78</v>
      </c>
      <c r="N86" s="189"/>
      <c r="O86" s="189">
        <v>50714.23</v>
      </c>
      <c r="P86" s="189">
        <f>25875.58+25527.27</f>
        <v>51402.850000000006</v>
      </c>
      <c r="Q86" s="189">
        <v>17034.78</v>
      </c>
      <c r="R86" s="189">
        <v>344.45</v>
      </c>
      <c r="S86" s="189">
        <f>51354.4+8610.35</f>
        <v>59964.75</v>
      </c>
      <c r="T86" s="189">
        <v>18990.12</v>
      </c>
      <c r="U86" s="189">
        <v>18866.88</v>
      </c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90"/>
      <c r="AJ86" s="190"/>
      <c r="AK86" s="190"/>
      <c r="AL86" s="190"/>
      <c r="AM86" s="190"/>
    </row>
    <row r="87" spans="1:39" s="3" customFormat="1" ht="18" customHeight="1" thickBot="1" x14ac:dyDescent="0.35">
      <c r="A87" s="148" t="s">
        <v>81</v>
      </c>
      <c r="B87" s="286" t="s">
        <v>476</v>
      </c>
      <c r="C87" s="292">
        <v>105962</v>
      </c>
      <c r="D87" s="287"/>
      <c r="E87" s="186">
        <f t="shared" si="3"/>
        <v>105962</v>
      </c>
      <c r="F87" s="186">
        <f t="shared" si="4"/>
        <v>85578.96</v>
      </c>
      <c r="G87" s="186">
        <f t="shared" si="5"/>
        <v>20383.039999999994</v>
      </c>
      <c r="H87" s="189"/>
      <c r="I87" s="189"/>
      <c r="J87" s="189"/>
      <c r="K87" s="189">
        <v>4887</v>
      </c>
      <c r="L87" s="189">
        <v>8775</v>
      </c>
      <c r="M87" s="189">
        <v>8775.51</v>
      </c>
      <c r="N87" s="189">
        <v>8775.4699999999993</v>
      </c>
      <c r="O87" s="189">
        <v>10489.89</v>
      </c>
      <c r="P87" s="189">
        <v>8775.09</v>
      </c>
      <c r="Q87" s="189">
        <v>8775.08</v>
      </c>
      <c r="R87" s="189"/>
      <c r="S87" s="189"/>
      <c r="T87" s="189">
        <v>26325.919999999998</v>
      </c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90"/>
      <c r="AJ87" s="190"/>
      <c r="AK87" s="190"/>
      <c r="AL87" s="190"/>
      <c r="AM87" s="190"/>
    </row>
    <row r="88" spans="1:39" s="3" customFormat="1" ht="18" customHeight="1" thickBot="1" x14ac:dyDescent="0.35">
      <c r="A88" s="148" t="s">
        <v>82</v>
      </c>
      <c r="B88" s="286" t="s">
        <v>260</v>
      </c>
      <c r="C88" s="292">
        <v>44036</v>
      </c>
      <c r="D88" s="287"/>
      <c r="E88" s="186">
        <f t="shared" si="3"/>
        <v>44036</v>
      </c>
      <c r="F88" s="186">
        <f t="shared" si="4"/>
        <v>44036</v>
      </c>
      <c r="G88" s="186">
        <f t="shared" si="5"/>
        <v>0</v>
      </c>
      <c r="H88" s="189"/>
      <c r="I88" s="189"/>
      <c r="J88" s="189"/>
      <c r="K88" s="189"/>
      <c r="L88" s="189"/>
      <c r="M88" s="189"/>
      <c r="N88" s="189"/>
      <c r="O88" s="189"/>
      <c r="P88" s="191"/>
      <c r="Q88" s="189"/>
      <c r="R88" s="189"/>
      <c r="S88" s="189">
        <v>44036</v>
      </c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90"/>
      <c r="AJ88" s="190"/>
      <c r="AK88" s="190"/>
      <c r="AL88" s="190"/>
      <c r="AM88" s="190"/>
    </row>
    <row r="89" spans="1:39" s="3" customFormat="1" ht="18" customHeight="1" thickBot="1" x14ac:dyDescent="0.35">
      <c r="A89" s="148" t="s">
        <v>83</v>
      </c>
      <c r="B89" s="286" t="s">
        <v>261</v>
      </c>
      <c r="C89" s="292">
        <v>11823304</v>
      </c>
      <c r="D89" s="287"/>
      <c r="E89" s="186">
        <f t="shared" si="3"/>
        <v>11823304</v>
      </c>
      <c r="F89" s="186">
        <f t="shared" si="4"/>
        <v>8049291.7800000003</v>
      </c>
      <c r="G89" s="186">
        <f t="shared" si="5"/>
        <v>3774012.2199999997</v>
      </c>
      <c r="H89" s="189"/>
      <c r="I89" s="189"/>
      <c r="J89" s="189"/>
      <c r="K89" s="189"/>
      <c r="L89" s="189"/>
      <c r="M89" s="189"/>
      <c r="N89" s="189"/>
      <c r="O89" s="189">
        <v>2054970.12</v>
      </c>
      <c r="P89" s="189">
        <v>757346.23</v>
      </c>
      <c r="Q89" s="189">
        <v>875267.41</v>
      </c>
      <c r="R89" s="189">
        <f>1062491.16+947962.84</f>
        <v>2010454</v>
      </c>
      <c r="S89" s="222">
        <v>1306887.6100000001</v>
      </c>
      <c r="T89" s="189">
        <v>1044366.41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90"/>
      <c r="AJ89" s="190"/>
      <c r="AK89" s="190"/>
      <c r="AL89" s="190"/>
      <c r="AM89" s="190"/>
    </row>
    <row r="90" spans="1:39" s="3" customFormat="1" ht="18" customHeight="1" thickBot="1" x14ac:dyDescent="0.35">
      <c r="A90" s="148" t="s">
        <v>84</v>
      </c>
      <c r="B90" s="286" t="s">
        <v>479</v>
      </c>
      <c r="C90" s="292">
        <v>35282</v>
      </c>
      <c r="D90" s="287"/>
      <c r="E90" s="186">
        <f t="shared" si="3"/>
        <v>35282</v>
      </c>
      <c r="F90" s="186">
        <f t="shared" si="4"/>
        <v>35282</v>
      </c>
      <c r="G90" s="186">
        <f t="shared" si="5"/>
        <v>0</v>
      </c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>
        <v>35282</v>
      </c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90"/>
      <c r="AJ90" s="190"/>
      <c r="AK90" s="190"/>
      <c r="AL90" s="190"/>
      <c r="AM90" s="190"/>
    </row>
    <row r="91" spans="1:39" s="3" customFormat="1" ht="18" customHeight="1" thickBot="1" x14ac:dyDescent="0.35">
      <c r="A91" s="148" t="s">
        <v>85</v>
      </c>
      <c r="B91" s="286" t="s">
        <v>481</v>
      </c>
      <c r="C91" s="292">
        <v>16178</v>
      </c>
      <c r="D91" s="287"/>
      <c r="E91" s="186">
        <f t="shared" si="3"/>
        <v>16178</v>
      </c>
      <c r="F91" s="186">
        <f t="shared" si="4"/>
        <v>16178</v>
      </c>
      <c r="G91" s="186">
        <f t="shared" si="5"/>
        <v>0</v>
      </c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>
        <v>16178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90"/>
      <c r="AJ91" s="190"/>
      <c r="AK91" s="190"/>
      <c r="AL91" s="190"/>
      <c r="AM91" s="190"/>
    </row>
    <row r="92" spans="1:39" s="3" customFormat="1" ht="18" customHeight="1" thickBot="1" x14ac:dyDescent="0.35">
      <c r="A92" s="148" t="s">
        <v>86</v>
      </c>
      <c r="B92" s="286" t="s">
        <v>264</v>
      </c>
      <c r="C92" s="292">
        <v>41471</v>
      </c>
      <c r="D92" s="287">
        <v>9025</v>
      </c>
      <c r="E92" s="278">
        <v>0</v>
      </c>
      <c r="F92" s="186">
        <f t="shared" si="4"/>
        <v>0</v>
      </c>
      <c r="G92" s="186">
        <f t="shared" si="5"/>
        <v>0</v>
      </c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90"/>
      <c r="AJ92" s="190"/>
      <c r="AK92" s="190"/>
      <c r="AL92" s="190"/>
      <c r="AM92" s="190"/>
    </row>
    <row r="93" spans="1:39" s="3" customFormat="1" ht="18" customHeight="1" thickBot="1" x14ac:dyDescent="0.35">
      <c r="A93" s="148" t="s">
        <v>87</v>
      </c>
      <c r="B93" s="286" t="s">
        <v>265</v>
      </c>
      <c r="C93" s="292">
        <v>85624</v>
      </c>
      <c r="D93" s="287">
        <v>9025</v>
      </c>
      <c r="E93" s="278">
        <v>0</v>
      </c>
      <c r="F93" s="186">
        <f t="shared" si="4"/>
        <v>0</v>
      </c>
      <c r="G93" s="186">
        <f t="shared" si="5"/>
        <v>0</v>
      </c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90"/>
      <c r="AJ93" s="190"/>
      <c r="AK93" s="190"/>
      <c r="AL93" s="190"/>
      <c r="AM93" s="190"/>
    </row>
    <row r="94" spans="1:39" s="3" customFormat="1" ht="18" customHeight="1" thickBot="1" x14ac:dyDescent="0.35">
      <c r="A94" s="148" t="s">
        <v>88</v>
      </c>
      <c r="B94" s="286" t="s">
        <v>266</v>
      </c>
      <c r="C94" s="292">
        <v>34221</v>
      </c>
      <c r="D94" s="287">
        <v>9025</v>
      </c>
      <c r="E94" s="278">
        <v>0</v>
      </c>
      <c r="F94" s="186">
        <f t="shared" si="4"/>
        <v>0</v>
      </c>
      <c r="G94" s="186">
        <f t="shared" si="5"/>
        <v>0</v>
      </c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90"/>
      <c r="AJ94" s="190"/>
      <c r="AK94" s="190"/>
      <c r="AL94" s="190"/>
      <c r="AM94" s="190"/>
    </row>
    <row r="95" spans="1:39" s="3" customFormat="1" ht="18" customHeight="1" thickBot="1" x14ac:dyDescent="0.35">
      <c r="A95" s="148" t="s">
        <v>89</v>
      </c>
      <c r="B95" s="286" t="s">
        <v>267</v>
      </c>
      <c r="C95" s="292">
        <v>15461</v>
      </c>
      <c r="D95" s="287">
        <v>9025</v>
      </c>
      <c r="E95" s="278">
        <v>0</v>
      </c>
      <c r="F95" s="186">
        <f t="shared" si="4"/>
        <v>0</v>
      </c>
      <c r="G95" s="186">
        <f t="shared" si="5"/>
        <v>0</v>
      </c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90"/>
      <c r="AJ95" s="190"/>
      <c r="AK95" s="190"/>
      <c r="AL95" s="190"/>
      <c r="AM95" s="190"/>
    </row>
    <row r="96" spans="1:39" s="3" customFormat="1" ht="18" customHeight="1" thickBot="1" x14ac:dyDescent="0.35">
      <c r="A96" s="148" t="s">
        <v>90</v>
      </c>
      <c r="B96" s="286" t="s">
        <v>483</v>
      </c>
      <c r="C96" s="292">
        <v>200005</v>
      </c>
      <c r="D96" s="287">
        <v>9025</v>
      </c>
      <c r="E96" s="278">
        <v>0</v>
      </c>
      <c r="F96" s="186">
        <f t="shared" si="4"/>
        <v>0</v>
      </c>
      <c r="G96" s="186">
        <f t="shared" si="5"/>
        <v>0</v>
      </c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90"/>
      <c r="AJ96" s="190"/>
      <c r="AK96" s="190"/>
      <c r="AL96" s="190"/>
      <c r="AM96" s="190"/>
    </row>
    <row r="97" spans="1:39" s="3" customFormat="1" ht="18" customHeight="1" thickBot="1" x14ac:dyDescent="0.35">
      <c r="A97" s="148" t="s">
        <v>91</v>
      </c>
      <c r="B97" s="286" t="s">
        <v>269</v>
      </c>
      <c r="C97" s="292">
        <v>238557</v>
      </c>
      <c r="D97" s="287"/>
      <c r="E97" s="186">
        <f t="shared" si="3"/>
        <v>238557</v>
      </c>
      <c r="F97" s="186">
        <f t="shared" si="4"/>
        <v>238557.00000000003</v>
      </c>
      <c r="G97" s="186">
        <f t="shared" si="5"/>
        <v>0</v>
      </c>
      <c r="H97" s="189"/>
      <c r="I97" s="189"/>
      <c r="J97" s="189"/>
      <c r="K97" s="189"/>
      <c r="L97" s="189"/>
      <c r="M97" s="189"/>
      <c r="N97" s="189"/>
      <c r="O97" s="189">
        <f>18259.79+18951.97</f>
        <v>37211.760000000002</v>
      </c>
      <c r="P97" s="189">
        <f>55872.07+18938.02</f>
        <v>74810.09</v>
      </c>
      <c r="Q97" s="189">
        <v>18936.87</v>
      </c>
      <c r="R97" s="189">
        <v>22122.48</v>
      </c>
      <c r="S97" s="189">
        <v>82270.570000000007</v>
      </c>
      <c r="T97" s="189"/>
      <c r="U97" s="189"/>
      <c r="V97" s="189">
        <v>3205.23</v>
      </c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90"/>
      <c r="AJ97" s="190"/>
      <c r="AK97" s="190"/>
      <c r="AL97" s="190"/>
      <c r="AM97" s="190"/>
    </row>
    <row r="98" spans="1:39" s="3" customFormat="1" ht="18" customHeight="1" thickBot="1" x14ac:dyDescent="0.35">
      <c r="A98" s="148" t="s">
        <v>92</v>
      </c>
      <c r="B98" s="286" t="s">
        <v>270</v>
      </c>
      <c r="C98" s="292">
        <v>1026286</v>
      </c>
      <c r="D98" s="287"/>
      <c r="E98" s="186">
        <f t="shared" si="3"/>
        <v>1026286</v>
      </c>
      <c r="F98" s="186">
        <f t="shared" si="4"/>
        <v>633310.43000000005</v>
      </c>
      <c r="G98" s="186">
        <f t="shared" si="5"/>
        <v>392975.56999999995</v>
      </c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>
        <f>574584.89+58725.54</f>
        <v>633310.43000000005</v>
      </c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90"/>
      <c r="AJ98" s="190"/>
      <c r="AK98" s="190"/>
      <c r="AL98" s="190"/>
      <c r="AM98" s="190"/>
    </row>
    <row r="99" spans="1:39" s="3" customFormat="1" ht="18" customHeight="1" thickBot="1" x14ac:dyDescent="0.35">
      <c r="A99" s="148" t="s">
        <v>93</v>
      </c>
      <c r="B99" s="286" t="s">
        <v>271</v>
      </c>
      <c r="C99" s="292">
        <v>143230</v>
      </c>
      <c r="D99" s="287"/>
      <c r="E99" s="186">
        <f t="shared" si="3"/>
        <v>143230</v>
      </c>
      <c r="F99" s="186">
        <f t="shared" si="4"/>
        <v>142530</v>
      </c>
      <c r="G99" s="186">
        <f t="shared" si="5"/>
        <v>700</v>
      </c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>
        <v>142530</v>
      </c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90"/>
      <c r="AJ99" s="190"/>
      <c r="AK99" s="190"/>
      <c r="AL99" s="190"/>
      <c r="AM99" s="190"/>
    </row>
    <row r="100" spans="1:39" s="3" customFormat="1" ht="18" customHeight="1" thickBot="1" x14ac:dyDescent="0.35">
      <c r="A100" s="148" t="s">
        <v>94</v>
      </c>
      <c r="B100" s="286" t="s">
        <v>487</v>
      </c>
      <c r="C100" s="292">
        <v>278167</v>
      </c>
      <c r="D100" s="287"/>
      <c r="E100" s="186">
        <f t="shared" si="3"/>
        <v>278167</v>
      </c>
      <c r="F100" s="186">
        <f t="shared" si="4"/>
        <v>174678</v>
      </c>
      <c r="G100" s="186">
        <f t="shared" si="5"/>
        <v>103489</v>
      </c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>
        <v>174678</v>
      </c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90"/>
      <c r="AJ100" s="190"/>
      <c r="AK100" s="190"/>
      <c r="AL100" s="190"/>
      <c r="AM100" s="190"/>
    </row>
    <row r="101" spans="1:39" s="3" customFormat="1" ht="18" customHeight="1" thickBot="1" x14ac:dyDescent="0.35">
      <c r="A101" s="148" t="s">
        <v>95</v>
      </c>
      <c r="B101" s="286" t="s">
        <v>273</v>
      </c>
      <c r="C101" s="292">
        <v>2824340</v>
      </c>
      <c r="D101" s="287"/>
      <c r="E101" s="186">
        <f t="shared" si="3"/>
        <v>2824340</v>
      </c>
      <c r="F101" s="186">
        <f t="shared" si="4"/>
        <v>1465240.3900000001</v>
      </c>
      <c r="G101" s="186">
        <f t="shared" si="5"/>
        <v>1359099.6099999999</v>
      </c>
      <c r="H101" s="189"/>
      <c r="I101" s="189"/>
      <c r="J101" s="189"/>
      <c r="K101" s="189"/>
      <c r="L101" s="189"/>
      <c r="M101" s="189"/>
      <c r="N101" s="189"/>
      <c r="O101" s="189">
        <v>139937.09</v>
      </c>
      <c r="P101" s="189"/>
      <c r="Q101" s="189"/>
      <c r="R101" s="189">
        <v>588886.06999999995</v>
      </c>
      <c r="S101" s="189">
        <v>415763.38</v>
      </c>
      <c r="T101" s="189"/>
      <c r="U101" s="189">
        <v>320653.84999999998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90"/>
      <c r="AJ101" s="190"/>
      <c r="AK101" s="190"/>
      <c r="AL101" s="190"/>
      <c r="AM101" s="190"/>
    </row>
    <row r="102" spans="1:39" s="3" customFormat="1" ht="16.899999999999999" customHeight="1" thickBot="1" x14ac:dyDescent="0.35">
      <c r="A102" s="148" t="s">
        <v>96</v>
      </c>
      <c r="B102" s="286" t="s">
        <v>489</v>
      </c>
      <c r="C102" s="292">
        <v>2027347</v>
      </c>
      <c r="D102" s="287"/>
      <c r="E102" s="186">
        <f t="shared" si="3"/>
        <v>2027347</v>
      </c>
      <c r="F102" s="186">
        <f t="shared" si="4"/>
        <v>716492.39</v>
      </c>
      <c r="G102" s="186">
        <f t="shared" si="5"/>
        <v>1310854.6099999999</v>
      </c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>
        <v>716492.39</v>
      </c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90"/>
      <c r="AJ102" s="190"/>
      <c r="AK102" s="190"/>
      <c r="AL102" s="190"/>
      <c r="AM102" s="190"/>
    </row>
    <row r="103" spans="1:39" s="3" customFormat="1" ht="18" customHeight="1" thickBot="1" x14ac:dyDescent="0.35">
      <c r="A103" s="148" t="s">
        <v>97</v>
      </c>
      <c r="B103" s="286" t="s">
        <v>490</v>
      </c>
      <c r="C103" s="292">
        <v>265315</v>
      </c>
      <c r="D103" s="287"/>
      <c r="E103" s="186">
        <f t="shared" si="3"/>
        <v>265315</v>
      </c>
      <c r="F103" s="186">
        <f t="shared" si="4"/>
        <v>247877.62000000002</v>
      </c>
      <c r="G103" s="186">
        <f t="shared" si="5"/>
        <v>17437.379999999976</v>
      </c>
      <c r="H103" s="189"/>
      <c r="I103" s="189"/>
      <c r="J103" s="189"/>
      <c r="K103" s="189"/>
      <c r="L103" s="189">
        <v>28993.57</v>
      </c>
      <c r="M103" s="189">
        <v>21767.79</v>
      </c>
      <c r="N103" s="189">
        <v>21754.21</v>
      </c>
      <c r="O103" s="189">
        <v>21750.59</v>
      </c>
      <c r="P103" s="189"/>
      <c r="Q103" s="189">
        <v>43509.85</v>
      </c>
      <c r="R103" s="189">
        <v>21756.38</v>
      </c>
      <c r="S103" s="189">
        <v>21737.94</v>
      </c>
      <c r="T103" s="189">
        <v>24947.88</v>
      </c>
      <c r="U103" s="189">
        <v>21871.63</v>
      </c>
      <c r="V103" s="189">
        <v>19787.78</v>
      </c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90"/>
      <c r="AJ103" s="190"/>
      <c r="AK103" s="190"/>
      <c r="AL103" s="190"/>
      <c r="AM103" s="190"/>
    </row>
    <row r="104" spans="1:39" s="3" customFormat="1" ht="18" customHeight="1" thickBot="1" x14ac:dyDescent="0.35">
      <c r="A104" s="148" t="s">
        <v>98</v>
      </c>
      <c r="B104" s="286" t="s">
        <v>276</v>
      </c>
      <c r="C104" s="292">
        <v>406489</v>
      </c>
      <c r="D104" s="287"/>
      <c r="E104" s="186">
        <f t="shared" si="3"/>
        <v>406489</v>
      </c>
      <c r="F104" s="186">
        <f t="shared" si="4"/>
        <v>234795.28</v>
      </c>
      <c r="G104" s="186">
        <f t="shared" si="5"/>
        <v>171693.72</v>
      </c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>
        <f>200160.15+34635.13</f>
        <v>234795.28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90"/>
      <c r="AJ104" s="190"/>
      <c r="AK104" s="190"/>
      <c r="AL104" s="190"/>
      <c r="AM104" s="190"/>
    </row>
    <row r="105" spans="1:39" s="3" customFormat="1" ht="18" customHeight="1" thickBot="1" x14ac:dyDescent="0.35">
      <c r="A105" s="148" t="s">
        <v>99</v>
      </c>
      <c r="B105" s="286" t="s">
        <v>277</v>
      </c>
      <c r="C105" s="292">
        <v>36175</v>
      </c>
      <c r="D105" s="287"/>
      <c r="E105" s="186">
        <f t="shared" si="3"/>
        <v>36175</v>
      </c>
      <c r="F105" s="186">
        <f t="shared" si="4"/>
        <v>36175</v>
      </c>
      <c r="G105" s="186">
        <f t="shared" si="5"/>
        <v>0</v>
      </c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>
        <f>30844.72+5330.28</f>
        <v>36175</v>
      </c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90"/>
      <c r="AJ105" s="190"/>
      <c r="AK105" s="190"/>
      <c r="AL105" s="190"/>
      <c r="AM105" s="190"/>
    </row>
    <row r="106" spans="1:39" s="3" customFormat="1" ht="18" customHeight="1" thickBot="1" x14ac:dyDescent="0.35">
      <c r="A106" s="148" t="s">
        <v>100</v>
      </c>
      <c r="B106" s="286" t="s">
        <v>278</v>
      </c>
      <c r="C106" s="292">
        <v>91663</v>
      </c>
      <c r="D106" s="287"/>
      <c r="E106" s="186">
        <f t="shared" si="3"/>
        <v>91663</v>
      </c>
      <c r="F106" s="186">
        <f t="shared" si="4"/>
        <v>91663</v>
      </c>
      <c r="G106" s="186">
        <f t="shared" si="5"/>
        <v>0</v>
      </c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>
        <v>91663</v>
      </c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90"/>
      <c r="AJ106" s="190"/>
      <c r="AK106" s="190"/>
      <c r="AL106" s="190"/>
      <c r="AM106" s="190"/>
    </row>
    <row r="107" spans="1:39" s="3" customFormat="1" ht="18" customHeight="1" thickBot="1" x14ac:dyDescent="0.35">
      <c r="A107" s="148" t="s">
        <v>101</v>
      </c>
      <c r="B107" s="286" t="s">
        <v>492</v>
      </c>
      <c r="C107" s="292">
        <v>64869</v>
      </c>
      <c r="D107" s="287"/>
      <c r="E107" s="186">
        <f t="shared" si="3"/>
        <v>64869</v>
      </c>
      <c r="F107" s="186">
        <f t="shared" si="4"/>
        <v>48657</v>
      </c>
      <c r="G107" s="186">
        <f t="shared" si="5"/>
        <v>16212</v>
      </c>
      <c r="H107" s="189"/>
      <c r="I107" s="189"/>
      <c r="J107" s="189"/>
      <c r="K107" s="189"/>
      <c r="L107" s="189"/>
      <c r="M107" s="189">
        <f>15209+25000</f>
        <v>40209</v>
      </c>
      <c r="N107" s="189"/>
      <c r="O107" s="189"/>
      <c r="P107" s="189"/>
      <c r="Q107" s="189"/>
      <c r="R107" s="189"/>
      <c r="S107" s="189">
        <v>8448</v>
      </c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90"/>
      <c r="AJ107" s="190"/>
      <c r="AK107" s="190"/>
      <c r="AL107" s="190"/>
      <c r="AM107" s="190"/>
    </row>
    <row r="108" spans="1:39" s="3" customFormat="1" ht="18" customHeight="1" thickBot="1" x14ac:dyDescent="0.35">
      <c r="A108" s="148" t="s">
        <v>102</v>
      </c>
      <c r="B108" s="286" t="s">
        <v>280</v>
      </c>
      <c r="C108" s="292">
        <v>54769</v>
      </c>
      <c r="D108" s="287"/>
      <c r="E108" s="186">
        <f t="shared" si="3"/>
        <v>54769</v>
      </c>
      <c r="F108" s="186">
        <f t="shared" si="4"/>
        <v>36722.329999999994</v>
      </c>
      <c r="G108" s="186">
        <f t="shared" si="5"/>
        <v>18046.670000000006</v>
      </c>
      <c r="H108" s="189"/>
      <c r="I108" s="189"/>
      <c r="J108" s="189"/>
      <c r="K108" s="189"/>
      <c r="L108" s="189">
        <v>1105.44</v>
      </c>
      <c r="M108" s="189">
        <v>1887.97</v>
      </c>
      <c r="N108" s="189">
        <v>3512.88</v>
      </c>
      <c r="O108" s="189">
        <v>3512.89</v>
      </c>
      <c r="P108" s="189">
        <v>3614.49</v>
      </c>
      <c r="Q108" s="189">
        <v>3614.49</v>
      </c>
      <c r="R108" s="189">
        <v>3577.46</v>
      </c>
      <c r="S108" s="189">
        <v>3577.78</v>
      </c>
      <c r="T108" s="189">
        <v>10690.76</v>
      </c>
      <c r="U108" s="189"/>
      <c r="V108" s="189">
        <v>1628.17</v>
      </c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90"/>
      <c r="AJ108" s="190"/>
      <c r="AK108" s="190"/>
      <c r="AL108" s="190"/>
      <c r="AM108" s="190"/>
    </row>
    <row r="109" spans="1:39" s="3" customFormat="1" ht="18" customHeight="1" thickBot="1" x14ac:dyDescent="0.35">
      <c r="A109" s="148" t="s">
        <v>103</v>
      </c>
      <c r="B109" s="286" t="s">
        <v>281</v>
      </c>
      <c r="C109" s="292">
        <v>1224</v>
      </c>
      <c r="D109" s="287"/>
      <c r="E109" s="186">
        <f t="shared" si="3"/>
        <v>1224</v>
      </c>
      <c r="F109" s="186">
        <f t="shared" si="4"/>
        <v>1224</v>
      </c>
      <c r="G109" s="186">
        <f t="shared" si="5"/>
        <v>0</v>
      </c>
      <c r="H109" s="189"/>
      <c r="I109" s="189"/>
      <c r="J109" s="189"/>
      <c r="K109" s="189"/>
      <c r="L109" s="189"/>
      <c r="M109" s="189">
        <v>1224</v>
      </c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90"/>
      <c r="AJ109" s="190"/>
      <c r="AK109" s="190"/>
      <c r="AL109" s="190"/>
      <c r="AM109" s="190"/>
    </row>
    <row r="110" spans="1:39" s="3" customFormat="1" ht="18" customHeight="1" thickBot="1" x14ac:dyDescent="0.35">
      <c r="A110" s="148" t="s">
        <v>104</v>
      </c>
      <c r="B110" s="286" t="s">
        <v>282</v>
      </c>
      <c r="C110" s="292">
        <v>40207</v>
      </c>
      <c r="D110" s="287">
        <v>9025</v>
      </c>
      <c r="E110" s="278">
        <v>0</v>
      </c>
      <c r="F110" s="186">
        <f t="shared" si="4"/>
        <v>0</v>
      </c>
      <c r="G110" s="186">
        <f t="shared" si="5"/>
        <v>0</v>
      </c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90"/>
      <c r="AJ110" s="190"/>
      <c r="AK110" s="190"/>
      <c r="AL110" s="190"/>
      <c r="AM110" s="190"/>
    </row>
    <row r="111" spans="1:39" s="3" customFormat="1" ht="18" customHeight="1" thickBot="1" x14ac:dyDescent="0.35">
      <c r="A111" s="148" t="s">
        <v>105</v>
      </c>
      <c r="B111" s="286" t="s">
        <v>494</v>
      </c>
      <c r="C111" s="292">
        <v>132338</v>
      </c>
      <c r="D111" s="287">
        <v>9025</v>
      </c>
      <c r="E111" s="278">
        <v>0</v>
      </c>
      <c r="F111" s="186">
        <f t="shared" si="4"/>
        <v>0</v>
      </c>
      <c r="G111" s="186">
        <f t="shared" si="5"/>
        <v>0</v>
      </c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90"/>
      <c r="AJ111" s="190"/>
      <c r="AK111" s="190"/>
      <c r="AL111" s="190"/>
      <c r="AM111" s="190"/>
    </row>
    <row r="112" spans="1:39" s="3" customFormat="1" ht="18" customHeight="1" thickBot="1" x14ac:dyDescent="0.35">
      <c r="A112" s="148" t="s">
        <v>106</v>
      </c>
      <c r="B112" s="286" t="s">
        <v>495</v>
      </c>
      <c r="C112" s="292">
        <v>23629</v>
      </c>
      <c r="D112" s="287">
        <v>9025</v>
      </c>
      <c r="E112" s="278">
        <v>0</v>
      </c>
      <c r="F112" s="186">
        <f t="shared" si="4"/>
        <v>0</v>
      </c>
      <c r="G112" s="186">
        <f t="shared" si="5"/>
        <v>0</v>
      </c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90"/>
      <c r="AJ112" s="190"/>
      <c r="AK112" s="190"/>
      <c r="AL112" s="190"/>
      <c r="AM112" s="190"/>
    </row>
    <row r="113" spans="1:39" s="3" customFormat="1" ht="18" customHeight="1" thickBot="1" x14ac:dyDescent="0.35">
      <c r="A113" s="148" t="s">
        <v>107</v>
      </c>
      <c r="B113" s="286" t="s">
        <v>496</v>
      </c>
      <c r="C113" s="292">
        <v>491992</v>
      </c>
      <c r="D113" s="287">
        <v>9035</v>
      </c>
      <c r="E113" s="278">
        <v>0</v>
      </c>
      <c r="F113" s="186">
        <f t="shared" si="4"/>
        <v>0</v>
      </c>
      <c r="G113" s="186">
        <f t="shared" si="5"/>
        <v>0</v>
      </c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90"/>
      <c r="AJ113" s="190"/>
      <c r="AK113" s="190"/>
      <c r="AL113" s="190"/>
      <c r="AM113" s="190"/>
    </row>
    <row r="114" spans="1:39" s="3" customFormat="1" ht="18" customHeight="1" thickBot="1" x14ac:dyDescent="0.35">
      <c r="A114" s="148" t="s">
        <v>108</v>
      </c>
      <c r="B114" s="286" t="s">
        <v>498</v>
      </c>
      <c r="C114" s="292">
        <v>52014</v>
      </c>
      <c r="D114" s="287">
        <v>9040</v>
      </c>
      <c r="E114" s="278">
        <v>0</v>
      </c>
      <c r="F114" s="186">
        <f t="shared" si="4"/>
        <v>0</v>
      </c>
      <c r="G114" s="186">
        <f t="shared" si="5"/>
        <v>0</v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90"/>
      <c r="AJ114" s="190"/>
      <c r="AK114" s="190"/>
      <c r="AL114" s="190"/>
      <c r="AM114" s="190"/>
    </row>
    <row r="115" spans="1:39" s="3" customFormat="1" ht="18" customHeight="1" thickBot="1" x14ac:dyDescent="0.35">
      <c r="A115" s="148" t="s">
        <v>109</v>
      </c>
      <c r="B115" s="286" t="s">
        <v>499</v>
      </c>
      <c r="C115" s="292">
        <v>17487</v>
      </c>
      <c r="D115" s="287">
        <v>9040</v>
      </c>
      <c r="E115" s="278">
        <v>0</v>
      </c>
      <c r="F115" s="186">
        <f t="shared" si="4"/>
        <v>0</v>
      </c>
      <c r="G115" s="186">
        <f t="shared" si="5"/>
        <v>0</v>
      </c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90"/>
      <c r="AJ115" s="190"/>
      <c r="AK115" s="190"/>
      <c r="AL115" s="190"/>
      <c r="AM115" s="190"/>
    </row>
    <row r="116" spans="1:39" s="3" customFormat="1" ht="18" customHeight="1" thickBot="1" x14ac:dyDescent="0.35">
      <c r="A116" s="148" t="s">
        <v>110</v>
      </c>
      <c r="B116" s="286" t="s">
        <v>500</v>
      </c>
      <c r="C116" s="292">
        <v>15963</v>
      </c>
      <c r="D116" s="287">
        <v>9040</v>
      </c>
      <c r="E116" s="278">
        <v>0</v>
      </c>
      <c r="F116" s="186">
        <f t="shared" si="4"/>
        <v>0</v>
      </c>
      <c r="G116" s="186">
        <f t="shared" si="5"/>
        <v>0</v>
      </c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90"/>
      <c r="AJ116" s="190"/>
      <c r="AK116" s="190"/>
      <c r="AL116" s="190"/>
      <c r="AM116" s="190"/>
    </row>
    <row r="117" spans="1:39" s="3" customFormat="1" ht="18" customHeight="1" thickBot="1" x14ac:dyDescent="0.35">
      <c r="A117" s="148" t="s">
        <v>111</v>
      </c>
      <c r="B117" s="286" t="s">
        <v>501</v>
      </c>
      <c r="C117" s="292">
        <v>14672</v>
      </c>
      <c r="D117" s="287"/>
      <c r="E117" s="186">
        <f t="shared" si="3"/>
        <v>14672</v>
      </c>
      <c r="F117" s="186">
        <f t="shared" si="4"/>
        <v>14672</v>
      </c>
      <c r="G117" s="186">
        <f t="shared" si="5"/>
        <v>0</v>
      </c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>
        <v>14672</v>
      </c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90"/>
      <c r="AJ117" s="190"/>
      <c r="AK117" s="190"/>
      <c r="AL117" s="190"/>
      <c r="AM117" s="190"/>
    </row>
    <row r="118" spans="1:39" s="3" customFormat="1" ht="18" customHeight="1" thickBot="1" x14ac:dyDescent="0.35">
      <c r="A118" s="148" t="s">
        <v>112</v>
      </c>
      <c r="B118" s="286" t="s">
        <v>290</v>
      </c>
      <c r="C118" s="292">
        <v>74060</v>
      </c>
      <c r="D118" s="287"/>
      <c r="E118" s="186">
        <f t="shared" si="3"/>
        <v>74060</v>
      </c>
      <c r="F118" s="186">
        <f t="shared" si="4"/>
        <v>49293.9</v>
      </c>
      <c r="G118" s="186">
        <f t="shared" si="5"/>
        <v>24766.1</v>
      </c>
      <c r="H118" s="189"/>
      <c r="I118" s="189"/>
      <c r="J118" s="189"/>
      <c r="K118" s="189"/>
      <c r="L118" s="189"/>
      <c r="M118" s="189"/>
      <c r="N118" s="189">
        <v>24838.240000000002</v>
      </c>
      <c r="O118" s="189"/>
      <c r="P118" s="189"/>
      <c r="Q118" s="189">
        <v>18442.23</v>
      </c>
      <c r="R118" s="189">
        <v>6013.43</v>
      </c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90"/>
      <c r="AJ118" s="190"/>
      <c r="AK118" s="190"/>
      <c r="AL118" s="190"/>
      <c r="AM118" s="190"/>
    </row>
    <row r="119" spans="1:39" s="3" customFormat="1" ht="18" customHeight="1" thickBot="1" x14ac:dyDescent="0.35">
      <c r="A119" s="148" t="s">
        <v>113</v>
      </c>
      <c r="B119" s="286" t="s">
        <v>291</v>
      </c>
      <c r="C119" s="292">
        <v>5781946</v>
      </c>
      <c r="D119" s="287"/>
      <c r="E119" s="186">
        <f t="shared" si="3"/>
        <v>5781946</v>
      </c>
      <c r="F119" s="186">
        <f t="shared" si="4"/>
        <v>4747334.2999999989</v>
      </c>
      <c r="G119" s="186">
        <f t="shared" si="5"/>
        <v>1034611.7000000011</v>
      </c>
      <c r="H119" s="189"/>
      <c r="I119" s="189"/>
      <c r="J119" s="189"/>
      <c r="K119" s="189"/>
      <c r="L119" s="189"/>
      <c r="M119" s="189">
        <v>716862.2</v>
      </c>
      <c r="N119" s="189"/>
      <c r="O119" s="189">
        <v>845996.53</v>
      </c>
      <c r="P119" s="189">
        <v>575076.49</v>
      </c>
      <c r="Q119" s="189">
        <v>404177.47</v>
      </c>
      <c r="R119" s="189">
        <v>605631.22</v>
      </c>
      <c r="S119" s="189">
        <v>591909.06999999995</v>
      </c>
      <c r="T119" s="189"/>
      <c r="U119" s="189"/>
      <c r="V119" s="189">
        <v>1007681.32</v>
      </c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90"/>
      <c r="AJ119" s="190"/>
      <c r="AK119" s="190"/>
      <c r="AL119" s="190"/>
      <c r="AM119" s="190"/>
    </row>
    <row r="120" spans="1:39" s="3" customFormat="1" ht="18" customHeight="1" thickBot="1" x14ac:dyDescent="0.35">
      <c r="A120" s="148" t="s">
        <v>114</v>
      </c>
      <c r="B120" s="286" t="s">
        <v>503</v>
      </c>
      <c r="C120" s="292">
        <v>14167</v>
      </c>
      <c r="D120" s="287"/>
      <c r="E120" s="186">
        <f t="shared" si="3"/>
        <v>14167</v>
      </c>
      <c r="F120" s="186">
        <f t="shared" si="4"/>
        <v>14167</v>
      </c>
      <c r="G120" s="186">
        <f t="shared" si="5"/>
        <v>0</v>
      </c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>
        <v>14167</v>
      </c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90"/>
      <c r="AJ120" s="190"/>
      <c r="AK120" s="190"/>
      <c r="AL120" s="190"/>
      <c r="AM120" s="190"/>
    </row>
    <row r="121" spans="1:39" s="3" customFormat="1" ht="18" customHeight="1" thickBot="1" x14ac:dyDescent="0.35">
      <c r="A121" s="148" t="s">
        <v>115</v>
      </c>
      <c r="B121" s="286" t="s">
        <v>590</v>
      </c>
      <c r="C121" s="292">
        <v>384794</v>
      </c>
      <c r="D121" s="287"/>
      <c r="E121" s="186">
        <f t="shared" si="3"/>
        <v>384794</v>
      </c>
      <c r="F121" s="186">
        <f t="shared" si="4"/>
        <v>384794</v>
      </c>
      <c r="G121" s="186">
        <f t="shared" si="5"/>
        <v>0</v>
      </c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>
        <v>384794</v>
      </c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90"/>
      <c r="AJ121" s="190"/>
      <c r="AK121" s="190"/>
      <c r="AL121" s="190"/>
      <c r="AM121" s="190"/>
    </row>
    <row r="122" spans="1:39" s="3" customFormat="1" ht="18" customHeight="1" thickBot="1" x14ac:dyDescent="0.35">
      <c r="A122" s="148" t="s">
        <v>116</v>
      </c>
      <c r="B122" s="286" t="s">
        <v>507</v>
      </c>
      <c r="C122" s="292">
        <v>1278297</v>
      </c>
      <c r="D122" s="287"/>
      <c r="E122" s="186">
        <f t="shared" si="3"/>
        <v>1278297</v>
      </c>
      <c r="F122" s="186">
        <f t="shared" si="4"/>
        <v>921665.59000000008</v>
      </c>
      <c r="G122" s="186">
        <f t="shared" si="5"/>
        <v>356631.40999999992</v>
      </c>
      <c r="H122" s="189"/>
      <c r="I122" s="189"/>
      <c r="J122" s="189"/>
      <c r="K122" s="189"/>
      <c r="L122" s="189">
        <v>3946.72</v>
      </c>
      <c r="M122" s="189">
        <v>84902.59</v>
      </c>
      <c r="N122" s="189">
        <v>79164.429999999993</v>
      </c>
      <c r="O122" s="189">
        <v>68133.320000000007</v>
      </c>
      <c r="P122" s="189">
        <v>65081.96</v>
      </c>
      <c r="Q122" s="189">
        <v>124904.38</v>
      </c>
      <c r="R122" s="189"/>
      <c r="S122" s="189"/>
      <c r="T122" s="189">
        <f>415982.11+79550.08</f>
        <v>495532.19</v>
      </c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90"/>
      <c r="AJ122" s="190"/>
      <c r="AK122" s="190"/>
      <c r="AL122" s="190"/>
      <c r="AM122" s="190"/>
    </row>
    <row r="123" spans="1:39" s="3" customFormat="1" ht="18" customHeight="1" thickBot="1" x14ac:dyDescent="0.35">
      <c r="A123" s="148" t="s">
        <v>117</v>
      </c>
      <c r="B123" s="286" t="s">
        <v>591</v>
      </c>
      <c r="C123" s="292">
        <v>68910</v>
      </c>
      <c r="D123" s="287"/>
      <c r="E123" s="186">
        <f t="shared" si="3"/>
        <v>68910</v>
      </c>
      <c r="F123" s="186">
        <f t="shared" si="4"/>
        <v>62711.8</v>
      </c>
      <c r="G123" s="186">
        <f t="shared" si="5"/>
        <v>6198.1999999999971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>
        <v>21475</v>
      </c>
      <c r="S123" s="189">
        <v>41236.800000000003</v>
      </c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90"/>
      <c r="AJ123" s="190"/>
      <c r="AK123" s="190"/>
      <c r="AL123" s="190"/>
      <c r="AM123" s="190"/>
    </row>
    <row r="124" spans="1:39" s="3" customFormat="1" ht="18" customHeight="1" thickBot="1" x14ac:dyDescent="0.35">
      <c r="A124" s="148" t="s">
        <v>118</v>
      </c>
      <c r="B124" s="286" t="s">
        <v>510</v>
      </c>
      <c r="C124" s="292">
        <v>168248</v>
      </c>
      <c r="D124" s="287"/>
      <c r="E124" s="186">
        <f t="shared" si="3"/>
        <v>168248</v>
      </c>
      <c r="F124" s="186">
        <f t="shared" si="4"/>
        <v>168244</v>
      </c>
      <c r="G124" s="186">
        <f t="shared" si="5"/>
        <v>4</v>
      </c>
      <c r="H124" s="189"/>
      <c r="I124" s="189"/>
      <c r="J124" s="189"/>
      <c r="K124" s="189"/>
      <c r="L124" s="189"/>
      <c r="M124" s="189"/>
      <c r="N124" s="189"/>
      <c r="O124" s="189">
        <v>65865.67</v>
      </c>
      <c r="P124" s="189">
        <v>13313.46</v>
      </c>
      <c r="Q124" s="189">
        <v>13305.15</v>
      </c>
      <c r="R124" s="189">
        <v>37879.86</v>
      </c>
      <c r="S124" s="189">
        <v>37879.86</v>
      </c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90"/>
      <c r="AJ124" s="190"/>
      <c r="AK124" s="190"/>
      <c r="AL124" s="190"/>
      <c r="AM124" s="190"/>
    </row>
    <row r="125" spans="1:39" s="3" customFormat="1" ht="18" customHeight="1" thickBot="1" x14ac:dyDescent="0.35">
      <c r="A125" s="148" t="s">
        <v>119</v>
      </c>
      <c r="B125" s="286" t="s">
        <v>511</v>
      </c>
      <c r="C125" s="292">
        <v>1421257</v>
      </c>
      <c r="D125" s="287"/>
      <c r="E125" s="186">
        <f t="shared" si="3"/>
        <v>1421257</v>
      </c>
      <c r="F125" s="186">
        <f t="shared" si="4"/>
        <v>1285211.5</v>
      </c>
      <c r="G125" s="186">
        <f t="shared" si="5"/>
        <v>136045.5</v>
      </c>
      <c r="H125" s="189"/>
      <c r="I125" s="189"/>
      <c r="J125" s="189"/>
      <c r="K125" s="189"/>
      <c r="L125" s="189">
        <v>153887.98000000001</v>
      </c>
      <c r="M125" s="189">
        <v>99130.65</v>
      </c>
      <c r="N125" s="189">
        <v>97353.66</v>
      </c>
      <c r="O125" s="189">
        <v>95551.72</v>
      </c>
      <c r="P125" s="189">
        <v>110681.64</v>
      </c>
      <c r="Q125" s="189">
        <v>116686.77</v>
      </c>
      <c r="R125" s="189">
        <v>138836.89000000001</v>
      </c>
      <c r="S125" s="189">
        <v>124611.2</v>
      </c>
      <c r="T125" s="189">
        <v>115674.08</v>
      </c>
      <c r="U125" s="189"/>
      <c r="V125" s="189">
        <v>232796.91</v>
      </c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90"/>
      <c r="AJ125" s="190"/>
      <c r="AK125" s="190"/>
      <c r="AL125" s="190"/>
      <c r="AM125" s="190"/>
    </row>
    <row r="126" spans="1:39" s="3" customFormat="1" ht="18" customHeight="1" thickBot="1" x14ac:dyDescent="0.35">
      <c r="A126" s="148" t="s">
        <v>120</v>
      </c>
      <c r="B126" s="286" t="s">
        <v>513</v>
      </c>
      <c r="C126" s="292">
        <v>86663</v>
      </c>
      <c r="D126" s="287"/>
      <c r="E126" s="186">
        <f t="shared" si="3"/>
        <v>86663</v>
      </c>
      <c r="F126" s="186">
        <f t="shared" si="4"/>
        <v>64076.800000000003</v>
      </c>
      <c r="G126" s="186">
        <f t="shared" si="5"/>
        <v>22586.199999999997</v>
      </c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>
        <v>64076.800000000003</v>
      </c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90"/>
      <c r="AJ126" s="190"/>
      <c r="AK126" s="190"/>
      <c r="AL126" s="190"/>
      <c r="AM126" s="190"/>
    </row>
    <row r="127" spans="1:39" s="3" customFormat="1" ht="18" customHeight="1" thickBot="1" x14ac:dyDescent="0.35">
      <c r="A127" s="148" t="s">
        <v>121</v>
      </c>
      <c r="B127" s="286" t="s">
        <v>514</v>
      </c>
      <c r="C127" s="292">
        <v>290421</v>
      </c>
      <c r="D127" s="287">
        <v>9035</v>
      </c>
      <c r="E127" s="278">
        <v>0</v>
      </c>
      <c r="F127" s="186">
        <f t="shared" si="4"/>
        <v>0</v>
      </c>
      <c r="G127" s="186">
        <f t="shared" si="5"/>
        <v>0</v>
      </c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90"/>
      <c r="AJ127" s="190"/>
      <c r="AK127" s="190"/>
      <c r="AL127" s="190"/>
      <c r="AM127" s="190"/>
    </row>
    <row r="128" spans="1:39" s="3" customFormat="1" ht="18" customHeight="1" thickBot="1" x14ac:dyDescent="0.35">
      <c r="A128" s="148" t="s">
        <v>122</v>
      </c>
      <c r="B128" s="286" t="s">
        <v>516</v>
      </c>
      <c r="C128" s="292">
        <v>521370</v>
      </c>
      <c r="D128" s="287"/>
      <c r="E128" s="186">
        <f t="shared" si="3"/>
        <v>521370</v>
      </c>
      <c r="F128" s="186">
        <f t="shared" si="4"/>
        <v>390623.71</v>
      </c>
      <c r="G128" s="186">
        <f t="shared" si="5"/>
        <v>130746.28999999998</v>
      </c>
      <c r="H128" s="189"/>
      <c r="I128" s="189"/>
      <c r="J128" s="189"/>
      <c r="K128" s="189"/>
      <c r="L128" s="189">
        <v>7941.56</v>
      </c>
      <c r="M128" s="189">
        <v>37795.51</v>
      </c>
      <c r="N128" s="189">
        <v>41310.6</v>
      </c>
      <c r="O128" s="189">
        <v>37716.39</v>
      </c>
      <c r="P128" s="189">
        <v>38593.46</v>
      </c>
      <c r="Q128" s="189">
        <v>38893.230000000003</v>
      </c>
      <c r="R128" s="189">
        <v>38841.620000000003</v>
      </c>
      <c r="S128" s="189">
        <v>38714.769999999997</v>
      </c>
      <c r="T128" s="189"/>
      <c r="U128" s="189">
        <f>39342.36+38758.08</f>
        <v>78100.44</v>
      </c>
      <c r="V128" s="189">
        <v>32716.13</v>
      </c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90"/>
      <c r="AJ128" s="190"/>
      <c r="AK128" s="190"/>
      <c r="AL128" s="190"/>
      <c r="AM128" s="190"/>
    </row>
    <row r="129" spans="1:39" s="3" customFormat="1" ht="18" customHeight="1" thickBot="1" x14ac:dyDescent="0.35">
      <c r="A129" s="148" t="s">
        <v>123</v>
      </c>
      <c r="B129" s="286" t="s">
        <v>517</v>
      </c>
      <c r="C129" s="292">
        <v>33053</v>
      </c>
      <c r="D129" s="287">
        <v>9035</v>
      </c>
      <c r="E129" s="278">
        <v>0</v>
      </c>
      <c r="F129" s="186">
        <f t="shared" si="4"/>
        <v>0</v>
      </c>
      <c r="G129" s="186">
        <f t="shared" si="5"/>
        <v>0</v>
      </c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90"/>
      <c r="AJ129" s="190"/>
      <c r="AK129" s="190"/>
      <c r="AL129" s="190"/>
      <c r="AM129" s="190"/>
    </row>
    <row r="130" spans="1:39" s="3" customFormat="1" ht="18" customHeight="1" thickBot="1" x14ac:dyDescent="0.35">
      <c r="A130" s="148" t="s">
        <v>124</v>
      </c>
      <c r="B130" s="286" t="s">
        <v>518</v>
      </c>
      <c r="C130" s="292">
        <v>96806</v>
      </c>
      <c r="D130" s="287">
        <v>9035</v>
      </c>
      <c r="E130" s="278">
        <v>0</v>
      </c>
      <c r="F130" s="186">
        <f t="shared" si="4"/>
        <v>0</v>
      </c>
      <c r="G130" s="186">
        <f t="shared" si="5"/>
        <v>0</v>
      </c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90"/>
      <c r="AJ130" s="190"/>
      <c r="AK130" s="190"/>
      <c r="AL130" s="190"/>
      <c r="AM130" s="190"/>
    </row>
    <row r="131" spans="1:39" s="3" customFormat="1" ht="18" customHeight="1" thickBot="1" x14ac:dyDescent="0.35">
      <c r="A131" s="148" t="s">
        <v>125</v>
      </c>
      <c r="B131" s="286" t="s">
        <v>303</v>
      </c>
      <c r="C131" s="292">
        <v>812752</v>
      </c>
      <c r="D131" s="287"/>
      <c r="E131" s="186">
        <f t="shared" si="3"/>
        <v>812752</v>
      </c>
      <c r="F131" s="186">
        <f t="shared" si="4"/>
        <v>542636.83000000007</v>
      </c>
      <c r="G131" s="186">
        <f t="shared" si="5"/>
        <v>270115.16999999993</v>
      </c>
      <c r="H131" s="189"/>
      <c r="I131" s="189"/>
      <c r="J131" s="189"/>
      <c r="K131" s="189"/>
      <c r="L131" s="189"/>
      <c r="M131" s="189"/>
      <c r="N131" s="189"/>
      <c r="O131" s="189"/>
      <c r="P131" s="189">
        <v>90871.42</v>
      </c>
      <c r="Q131" s="189"/>
      <c r="R131" s="189"/>
      <c r="S131" s="189">
        <v>202522.46</v>
      </c>
      <c r="T131" s="189">
        <v>225410.04</v>
      </c>
      <c r="U131" s="189"/>
      <c r="V131" s="189">
        <v>23832.91</v>
      </c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90"/>
      <c r="AJ131" s="190"/>
      <c r="AK131" s="190"/>
      <c r="AL131" s="190"/>
      <c r="AM131" s="190"/>
    </row>
    <row r="132" spans="1:39" s="3" customFormat="1" ht="18" customHeight="1" thickBot="1" x14ac:dyDescent="0.35">
      <c r="A132" s="148" t="s">
        <v>126</v>
      </c>
      <c r="B132" s="286" t="s">
        <v>304</v>
      </c>
      <c r="C132" s="292">
        <v>526608</v>
      </c>
      <c r="D132" s="287"/>
      <c r="E132" s="186">
        <f t="shared" si="3"/>
        <v>526608</v>
      </c>
      <c r="F132" s="186">
        <f t="shared" si="4"/>
        <v>316934</v>
      </c>
      <c r="G132" s="186">
        <f t="shared" si="5"/>
        <v>209674</v>
      </c>
      <c r="H132" s="189"/>
      <c r="I132" s="189"/>
      <c r="J132" s="189"/>
      <c r="K132" s="189"/>
      <c r="L132" s="189"/>
      <c r="M132" s="189"/>
      <c r="N132" s="189"/>
      <c r="O132" s="189"/>
      <c r="P132" s="189">
        <v>228678</v>
      </c>
      <c r="Q132" s="189"/>
      <c r="R132" s="189"/>
      <c r="S132" s="189">
        <v>88256</v>
      </c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90"/>
      <c r="AJ132" s="190"/>
      <c r="AK132" s="190"/>
      <c r="AL132" s="190"/>
      <c r="AM132" s="190"/>
    </row>
    <row r="133" spans="1:39" s="3" customFormat="1" ht="18" customHeight="1" thickBot="1" x14ac:dyDescent="0.35">
      <c r="A133" s="148" t="s">
        <v>127</v>
      </c>
      <c r="B133" s="286" t="s">
        <v>305</v>
      </c>
      <c r="C133" s="292">
        <v>69831</v>
      </c>
      <c r="D133" s="287"/>
      <c r="E133" s="186">
        <f t="shared" si="3"/>
        <v>69831</v>
      </c>
      <c r="F133" s="186">
        <f t="shared" si="4"/>
        <v>69831</v>
      </c>
      <c r="G133" s="186">
        <f t="shared" si="5"/>
        <v>0</v>
      </c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>
        <v>69831</v>
      </c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90"/>
      <c r="AJ133" s="190"/>
      <c r="AK133" s="190"/>
      <c r="AL133" s="190"/>
      <c r="AM133" s="190"/>
    </row>
    <row r="134" spans="1:39" s="3" customFormat="1" ht="18" customHeight="1" thickBot="1" x14ac:dyDescent="0.35">
      <c r="A134" s="148" t="s">
        <v>128</v>
      </c>
      <c r="B134" s="286" t="s">
        <v>306</v>
      </c>
      <c r="C134" s="292">
        <v>138920</v>
      </c>
      <c r="D134" s="287"/>
      <c r="E134" s="186">
        <f t="shared" si="3"/>
        <v>138920</v>
      </c>
      <c r="F134" s="186">
        <f t="shared" si="4"/>
        <v>97041.11</v>
      </c>
      <c r="G134" s="186">
        <f t="shared" si="5"/>
        <v>41878.89</v>
      </c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>
        <v>97041.11</v>
      </c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90"/>
      <c r="AJ134" s="190"/>
      <c r="AK134" s="190"/>
      <c r="AL134" s="190"/>
      <c r="AM134" s="190"/>
    </row>
    <row r="135" spans="1:39" s="3" customFormat="1" ht="18" customHeight="1" thickBot="1" x14ac:dyDescent="0.35">
      <c r="A135" s="148" t="s">
        <v>129</v>
      </c>
      <c r="B135" s="286" t="s">
        <v>307</v>
      </c>
      <c r="C135" s="292">
        <v>38246</v>
      </c>
      <c r="D135" s="287"/>
      <c r="E135" s="186">
        <f t="shared" si="3"/>
        <v>38246</v>
      </c>
      <c r="F135" s="186">
        <f t="shared" si="4"/>
        <v>38246</v>
      </c>
      <c r="G135" s="186">
        <f t="shared" si="5"/>
        <v>0</v>
      </c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>
        <v>38246</v>
      </c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90"/>
      <c r="AJ135" s="190"/>
      <c r="AK135" s="190"/>
      <c r="AL135" s="190"/>
      <c r="AM135" s="190"/>
    </row>
    <row r="136" spans="1:39" s="3" customFormat="1" ht="18" customHeight="1" thickBot="1" x14ac:dyDescent="0.35">
      <c r="A136" s="148" t="s">
        <v>130</v>
      </c>
      <c r="B136" s="286" t="s">
        <v>308</v>
      </c>
      <c r="C136" s="292">
        <v>84279</v>
      </c>
      <c r="D136" s="287"/>
      <c r="E136" s="186">
        <f t="shared" si="3"/>
        <v>84279</v>
      </c>
      <c r="F136" s="186">
        <f t="shared" si="4"/>
        <v>84278</v>
      </c>
      <c r="G136" s="186">
        <f t="shared" si="5"/>
        <v>1</v>
      </c>
      <c r="H136" s="189"/>
      <c r="I136" s="189"/>
      <c r="J136" s="189"/>
      <c r="K136" s="189">
        <v>8391</v>
      </c>
      <c r="L136" s="189">
        <v>8392</v>
      </c>
      <c r="M136" s="189">
        <v>8392</v>
      </c>
      <c r="N136" s="189">
        <v>8392</v>
      </c>
      <c r="O136" s="189">
        <v>8392</v>
      </c>
      <c r="P136" s="189">
        <v>8463</v>
      </c>
      <c r="Q136" s="189">
        <v>8463</v>
      </c>
      <c r="R136" s="189">
        <v>8463</v>
      </c>
      <c r="S136" s="189">
        <f>8463+8467</f>
        <v>16930</v>
      </c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90"/>
      <c r="AJ136" s="190"/>
      <c r="AK136" s="190"/>
      <c r="AL136" s="190"/>
      <c r="AM136" s="190"/>
    </row>
    <row r="137" spans="1:39" s="3" customFormat="1" ht="18" customHeight="1" thickBot="1" x14ac:dyDescent="0.35">
      <c r="A137" s="148" t="s">
        <v>131</v>
      </c>
      <c r="B137" s="286" t="s">
        <v>309</v>
      </c>
      <c r="C137" s="292">
        <v>19036</v>
      </c>
      <c r="D137" s="287"/>
      <c r="E137" s="186">
        <f t="shared" si="3"/>
        <v>19036</v>
      </c>
      <c r="F137" s="186">
        <f t="shared" si="4"/>
        <v>0</v>
      </c>
      <c r="G137" s="186">
        <f t="shared" si="5"/>
        <v>19036</v>
      </c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90"/>
      <c r="AJ137" s="190"/>
      <c r="AK137" s="190"/>
      <c r="AL137" s="190"/>
      <c r="AM137" s="190"/>
    </row>
    <row r="138" spans="1:39" s="3" customFormat="1" ht="18" customHeight="1" thickBot="1" x14ac:dyDescent="0.35">
      <c r="A138" s="148" t="s">
        <v>132</v>
      </c>
      <c r="B138" s="286" t="s">
        <v>310</v>
      </c>
      <c r="C138" s="292">
        <v>33540</v>
      </c>
      <c r="D138" s="287"/>
      <c r="E138" s="186">
        <f t="shared" si="3"/>
        <v>33540</v>
      </c>
      <c r="F138" s="186">
        <f t="shared" si="4"/>
        <v>33540</v>
      </c>
      <c r="G138" s="186">
        <f t="shared" si="5"/>
        <v>0</v>
      </c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>
        <v>33540</v>
      </c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90"/>
      <c r="AJ138" s="190"/>
      <c r="AK138" s="190"/>
      <c r="AL138" s="190"/>
      <c r="AM138" s="190"/>
    </row>
    <row r="139" spans="1:39" s="3" customFormat="1" ht="18" customHeight="1" thickBot="1" x14ac:dyDescent="0.35">
      <c r="A139" s="148" t="s">
        <v>133</v>
      </c>
      <c r="B139" s="286" t="s">
        <v>311</v>
      </c>
      <c r="C139" s="292">
        <v>159854</v>
      </c>
      <c r="D139" s="287"/>
      <c r="E139" s="186">
        <f t="shared" si="3"/>
        <v>159854</v>
      </c>
      <c r="F139" s="186">
        <f t="shared" si="4"/>
        <v>159854</v>
      </c>
      <c r="G139" s="186">
        <f t="shared" si="5"/>
        <v>0</v>
      </c>
      <c r="H139" s="189"/>
      <c r="I139" s="189"/>
      <c r="J139" s="189"/>
      <c r="K139" s="189"/>
      <c r="L139" s="189">
        <v>32340.080000000002</v>
      </c>
      <c r="M139" s="189"/>
      <c r="N139" s="189"/>
      <c r="O139" s="189"/>
      <c r="P139" s="189">
        <v>51277.34</v>
      </c>
      <c r="Q139" s="189"/>
      <c r="R139" s="189"/>
      <c r="S139" s="189">
        <v>32452.74</v>
      </c>
      <c r="T139" s="189"/>
      <c r="U139" s="189">
        <v>43783.839999999997</v>
      </c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90"/>
      <c r="AJ139" s="190"/>
      <c r="AK139" s="190"/>
      <c r="AL139" s="190"/>
      <c r="AM139" s="190"/>
    </row>
    <row r="140" spans="1:39" s="3" customFormat="1" ht="18" customHeight="1" thickBot="1" x14ac:dyDescent="0.35">
      <c r="A140" s="148" t="s">
        <v>134</v>
      </c>
      <c r="B140" s="286" t="s">
        <v>522</v>
      </c>
      <c r="C140" s="292">
        <v>107725</v>
      </c>
      <c r="D140" s="287"/>
      <c r="E140" s="186">
        <f t="shared" si="3"/>
        <v>107725</v>
      </c>
      <c r="F140" s="186">
        <f t="shared" si="4"/>
        <v>107698</v>
      </c>
      <c r="G140" s="186">
        <f t="shared" si="5"/>
        <v>27</v>
      </c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>
        <v>107698</v>
      </c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90"/>
      <c r="AJ140" s="190"/>
      <c r="AK140" s="190"/>
      <c r="AL140" s="190"/>
      <c r="AM140" s="190"/>
    </row>
    <row r="141" spans="1:39" s="3" customFormat="1" ht="18" customHeight="1" thickBot="1" x14ac:dyDescent="0.35">
      <c r="A141" s="148" t="s">
        <v>135</v>
      </c>
      <c r="B141" s="286" t="s">
        <v>523</v>
      </c>
      <c r="C141" s="292">
        <v>86376</v>
      </c>
      <c r="D141" s="287"/>
      <c r="E141" s="186">
        <f t="shared" ref="E141:E191" si="6">C141</f>
        <v>86376</v>
      </c>
      <c r="F141" s="186">
        <f t="shared" si="4"/>
        <v>82127</v>
      </c>
      <c r="G141" s="186">
        <f t="shared" si="5"/>
        <v>4249</v>
      </c>
      <c r="H141" s="189"/>
      <c r="I141" s="189"/>
      <c r="J141" s="189"/>
      <c r="K141" s="189"/>
      <c r="L141" s="189"/>
      <c r="M141" s="189"/>
      <c r="N141" s="189"/>
      <c r="O141" s="189">
        <v>35706</v>
      </c>
      <c r="P141" s="189"/>
      <c r="Q141" s="189"/>
      <c r="R141" s="189">
        <v>46421</v>
      </c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90"/>
      <c r="AJ141" s="190"/>
      <c r="AK141" s="190"/>
      <c r="AL141" s="190"/>
      <c r="AM141" s="190"/>
    </row>
    <row r="142" spans="1:39" s="3" customFormat="1" ht="18" customHeight="1" thickBot="1" x14ac:dyDescent="0.35">
      <c r="A142" s="148" t="s">
        <v>136</v>
      </c>
      <c r="B142" s="286" t="s">
        <v>525</v>
      </c>
      <c r="C142" s="292">
        <v>48670</v>
      </c>
      <c r="D142" s="287">
        <v>9040</v>
      </c>
      <c r="E142" s="278">
        <v>0</v>
      </c>
      <c r="F142" s="186">
        <f t="shared" ref="F142:F194" si="7">SUM(H142:AK142)</f>
        <v>0</v>
      </c>
      <c r="G142" s="186">
        <f t="shared" ref="G142:G194" si="8">E142-(F142+AL142+AM142)</f>
        <v>0</v>
      </c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90"/>
      <c r="AJ142" s="190"/>
      <c r="AK142" s="190"/>
      <c r="AL142" s="190"/>
      <c r="AM142" s="190"/>
    </row>
    <row r="143" spans="1:39" s="3" customFormat="1" ht="18" customHeight="1" thickBot="1" x14ac:dyDescent="0.35">
      <c r="A143" s="148" t="s">
        <v>137</v>
      </c>
      <c r="B143" s="286" t="s">
        <v>315</v>
      </c>
      <c r="C143" s="292">
        <v>28767</v>
      </c>
      <c r="D143" s="287"/>
      <c r="E143" s="186">
        <f t="shared" si="6"/>
        <v>28767</v>
      </c>
      <c r="F143" s="186">
        <f t="shared" si="7"/>
        <v>0</v>
      </c>
      <c r="G143" s="186">
        <f t="shared" si="8"/>
        <v>28767</v>
      </c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90"/>
      <c r="AJ143" s="190"/>
      <c r="AK143" s="190"/>
      <c r="AL143" s="190"/>
      <c r="AM143" s="190"/>
    </row>
    <row r="144" spans="1:39" s="3" customFormat="1" ht="18" customHeight="1" thickBot="1" x14ac:dyDescent="0.35">
      <c r="A144" s="148" t="s">
        <v>138</v>
      </c>
      <c r="B144" s="286" t="s">
        <v>527</v>
      </c>
      <c r="C144" s="292">
        <v>70180</v>
      </c>
      <c r="D144" s="287"/>
      <c r="E144" s="186">
        <f t="shared" si="6"/>
        <v>70180</v>
      </c>
      <c r="F144" s="186">
        <f t="shared" si="7"/>
        <v>35000</v>
      </c>
      <c r="G144" s="186">
        <f t="shared" si="8"/>
        <v>35180</v>
      </c>
      <c r="H144" s="189"/>
      <c r="I144" s="189"/>
      <c r="J144" s="189"/>
      <c r="K144" s="189"/>
      <c r="L144" s="189"/>
      <c r="M144" s="189"/>
      <c r="N144" s="189"/>
      <c r="O144" s="189"/>
      <c r="P144" s="189"/>
      <c r="Q144" s="189">
        <v>35000</v>
      </c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90"/>
      <c r="AJ144" s="190"/>
      <c r="AK144" s="190"/>
      <c r="AL144" s="190"/>
      <c r="AM144" s="190"/>
    </row>
    <row r="145" spans="1:39" s="3" customFormat="1" ht="18" customHeight="1" thickBot="1" x14ac:dyDescent="0.35">
      <c r="A145" s="148" t="s">
        <v>139</v>
      </c>
      <c r="B145" s="286" t="s">
        <v>529</v>
      </c>
      <c r="C145" s="292">
        <v>536709</v>
      </c>
      <c r="D145" s="287"/>
      <c r="E145" s="186">
        <f t="shared" si="6"/>
        <v>536709</v>
      </c>
      <c r="F145" s="186">
        <f t="shared" si="7"/>
        <v>526422</v>
      </c>
      <c r="G145" s="186">
        <f t="shared" si="8"/>
        <v>10287</v>
      </c>
      <c r="H145" s="189"/>
      <c r="I145" s="189"/>
      <c r="J145" s="189"/>
      <c r="K145" s="189"/>
      <c r="L145" s="189">
        <v>33380</v>
      </c>
      <c r="M145" s="189">
        <v>44959</v>
      </c>
      <c r="N145" s="189">
        <v>45467</v>
      </c>
      <c r="O145" s="189">
        <v>43859</v>
      </c>
      <c r="P145" s="189">
        <f>45460+45336</f>
        <v>90796</v>
      </c>
      <c r="Q145" s="189">
        <v>45460</v>
      </c>
      <c r="R145" s="189"/>
      <c r="S145" s="189">
        <f>45420+45422</f>
        <v>90842</v>
      </c>
      <c r="T145" s="189"/>
      <c r="U145" s="189">
        <v>131659</v>
      </c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90"/>
      <c r="AJ145" s="190"/>
      <c r="AK145" s="190"/>
      <c r="AL145" s="190"/>
      <c r="AM145" s="190"/>
    </row>
    <row r="146" spans="1:39" s="3" customFormat="1" ht="18" customHeight="1" thickBot="1" x14ac:dyDescent="0.35">
      <c r="A146" s="148" t="s">
        <v>140</v>
      </c>
      <c r="B146" s="286" t="s">
        <v>530</v>
      </c>
      <c r="C146" s="292">
        <v>84326</v>
      </c>
      <c r="D146" s="287"/>
      <c r="E146" s="186">
        <f t="shared" si="6"/>
        <v>84326</v>
      </c>
      <c r="F146" s="186">
        <f t="shared" si="7"/>
        <v>84317</v>
      </c>
      <c r="G146" s="186">
        <f t="shared" si="8"/>
        <v>9</v>
      </c>
      <c r="H146" s="189"/>
      <c r="I146" s="189"/>
      <c r="J146" s="189"/>
      <c r="K146" s="189"/>
      <c r="L146" s="189"/>
      <c r="M146" s="191"/>
      <c r="N146" s="189"/>
      <c r="O146" s="189"/>
      <c r="P146" s="189"/>
      <c r="Q146" s="189"/>
      <c r="R146" s="189"/>
      <c r="S146" s="189">
        <v>84317</v>
      </c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90"/>
      <c r="AJ146" s="190"/>
      <c r="AK146" s="190"/>
      <c r="AL146" s="190"/>
      <c r="AM146" s="190"/>
    </row>
    <row r="147" spans="1:39" s="3" customFormat="1" ht="18" customHeight="1" thickBot="1" x14ac:dyDescent="0.35">
      <c r="A147" s="148" t="s">
        <v>141</v>
      </c>
      <c r="B147" s="286" t="s">
        <v>531</v>
      </c>
      <c r="C147" s="292">
        <v>48942</v>
      </c>
      <c r="D147" s="287"/>
      <c r="E147" s="186">
        <f t="shared" si="6"/>
        <v>48942</v>
      </c>
      <c r="F147" s="186">
        <f t="shared" si="7"/>
        <v>0</v>
      </c>
      <c r="G147" s="186">
        <f t="shared" si="8"/>
        <v>48942</v>
      </c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90"/>
      <c r="AJ147" s="190"/>
      <c r="AK147" s="190"/>
      <c r="AL147" s="190"/>
      <c r="AM147" s="190"/>
    </row>
    <row r="148" spans="1:39" s="3" customFormat="1" ht="18" customHeight="1" thickBot="1" x14ac:dyDescent="0.35">
      <c r="A148" s="148" t="s">
        <v>142</v>
      </c>
      <c r="B148" s="286" t="s">
        <v>320</v>
      </c>
      <c r="C148" s="292">
        <v>7710282</v>
      </c>
      <c r="D148" s="287"/>
      <c r="E148" s="186">
        <f t="shared" si="6"/>
        <v>7710282</v>
      </c>
      <c r="F148" s="186">
        <f t="shared" si="7"/>
        <v>6364612.0599999996</v>
      </c>
      <c r="G148" s="186">
        <f t="shared" si="8"/>
        <v>1345669.9400000004</v>
      </c>
      <c r="H148" s="189"/>
      <c r="I148" s="189"/>
      <c r="J148" s="189"/>
      <c r="K148" s="189"/>
      <c r="L148" s="189">
        <v>592892.93000000005</v>
      </c>
      <c r="M148" s="189">
        <v>515923.05</v>
      </c>
      <c r="N148" s="189"/>
      <c r="O148" s="189">
        <v>940761.31</v>
      </c>
      <c r="P148" s="189">
        <v>759628.57</v>
      </c>
      <c r="Q148" s="269">
        <v>545957.46</v>
      </c>
      <c r="R148" s="189">
        <v>665891.74</v>
      </c>
      <c r="S148" s="189">
        <v>912540.75</v>
      </c>
      <c r="T148" s="189"/>
      <c r="U148" s="189">
        <v>969152.79</v>
      </c>
      <c r="V148" s="189">
        <v>461863.46</v>
      </c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90"/>
      <c r="AJ148" s="190"/>
      <c r="AK148" s="190"/>
      <c r="AL148" s="190"/>
      <c r="AM148" s="190"/>
    </row>
    <row r="149" spans="1:39" s="3" customFormat="1" ht="18" customHeight="1" thickBot="1" x14ac:dyDescent="0.35">
      <c r="A149" s="148" t="s">
        <v>143</v>
      </c>
      <c r="B149" s="286" t="s">
        <v>533</v>
      </c>
      <c r="C149" s="292">
        <v>1315663</v>
      </c>
      <c r="D149" s="287"/>
      <c r="E149" s="186">
        <f t="shared" si="6"/>
        <v>1315663</v>
      </c>
      <c r="F149" s="186">
        <f t="shared" si="7"/>
        <v>897915.01</v>
      </c>
      <c r="G149" s="186">
        <f t="shared" si="8"/>
        <v>417747.99</v>
      </c>
      <c r="H149" s="189"/>
      <c r="I149" s="189"/>
      <c r="J149" s="189"/>
      <c r="K149" s="189"/>
      <c r="L149" s="189"/>
      <c r="M149" s="189"/>
      <c r="N149" s="189">
        <v>73253.63</v>
      </c>
      <c r="O149" s="189"/>
      <c r="P149" s="189">
        <v>56248.94</v>
      </c>
      <c r="Q149" s="189">
        <v>116405.82</v>
      </c>
      <c r="R149" s="189">
        <v>78415.759999999995</v>
      </c>
      <c r="S149" s="189">
        <f>227438.38+101342.88</f>
        <v>328781.26</v>
      </c>
      <c r="T149" s="189">
        <v>177803.13</v>
      </c>
      <c r="U149" s="189"/>
      <c r="V149" s="189">
        <f>65470.84+1535.63</f>
        <v>67006.47</v>
      </c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90"/>
      <c r="AJ149" s="190"/>
      <c r="AK149" s="190"/>
      <c r="AL149" s="190"/>
      <c r="AM149" s="190"/>
    </row>
    <row r="150" spans="1:39" s="3" customFormat="1" ht="18" customHeight="1" thickBot="1" x14ac:dyDescent="0.35">
      <c r="A150" s="148" t="s">
        <v>144</v>
      </c>
      <c r="B150" s="286" t="s">
        <v>322</v>
      </c>
      <c r="C150" s="292">
        <v>89329</v>
      </c>
      <c r="D150" s="287"/>
      <c r="E150" s="186">
        <f t="shared" si="6"/>
        <v>89329</v>
      </c>
      <c r="F150" s="186">
        <f t="shared" si="7"/>
        <v>89329</v>
      </c>
      <c r="G150" s="186">
        <f t="shared" si="8"/>
        <v>0</v>
      </c>
      <c r="H150" s="189"/>
      <c r="I150" s="189"/>
      <c r="J150" s="189"/>
      <c r="K150" s="189">
        <v>21958.5</v>
      </c>
      <c r="L150" s="189"/>
      <c r="M150" s="189"/>
      <c r="N150" s="189">
        <v>22567.5</v>
      </c>
      <c r="O150" s="189"/>
      <c r="P150" s="189"/>
      <c r="Q150" s="189">
        <v>22567.5</v>
      </c>
      <c r="R150" s="189"/>
      <c r="S150" s="189">
        <v>22235.5</v>
      </c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90"/>
      <c r="AJ150" s="190"/>
      <c r="AK150" s="190"/>
      <c r="AL150" s="190"/>
      <c r="AM150" s="190"/>
    </row>
    <row r="151" spans="1:39" s="3" customFormat="1" ht="18" customHeight="1" thickBot="1" x14ac:dyDescent="0.35">
      <c r="A151" s="148" t="s">
        <v>145</v>
      </c>
      <c r="B151" s="286" t="s">
        <v>536</v>
      </c>
      <c r="C151" s="292">
        <v>49874</v>
      </c>
      <c r="D151" s="287"/>
      <c r="E151" s="186">
        <f t="shared" si="6"/>
        <v>49874</v>
      </c>
      <c r="F151" s="186">
        <f t="shared" si="7"/>
        <v>49874</v>
      </c>
      <c r="G151" s="186">
        <f t="shared" si="8"/>
        <v>0</v>
      </c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>
        <v>49874</v>
      </c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90"/>
      <c r="AJ151" s="190"/>
      <c r="AK151" s="190"/>
      <c r="AL151" s="190"/>
      <c r="AM151" s="190"/>
    </row>
    <row r="152" spans="1:39" s="3" customFormat="1" ht="18" customHeight="1" thickBot="1" x14ac:dyDescent="0.35">
      <c r="A152" s="148" t="s">
        <v>146</v>
      </c>
      <c r="B152" s="286" t="s">
        <v>324</v>
      </c>
      <c r="C152" s="292">
        <v>177202</v>
      </c>
      <c r="D152" s="287"/>
      <c r="E152" s="186">
        <f t="shared" si="6"/>
        <v>177202</v>
      </c>
      <c r="F152" s="186">
        <f t="shared" si="7"/>
        <v>155209.5</v>
      </c>
      <c r="G152" s="186">
        <f t="shared" si="8"/>
        <v>21992.5</v>
      </c>
      <c r="H152" s="189"/>
      <c r="I152" s="189"/>
      <c r="J152" s="189"/>
      <c r="K152" s="189"/>
      <c r="L152" s="189"/>
      <c r="M152" s="189"/>
      <c r="N152" s="189"/>
      <c r="O152" s="189"/>
      <c r="P152" s="189">
        <v>101771.08</v>
      </c>
      <c r="Q152" s="189"/>
      <c r="R152" s="189"/>
      <c r="S152" s="189">
        <v>53438.42</v>
      </c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90"/>
      <c r="AJ152" s="190"/>
      <c r="AK152" s="190"/>
      <c r="AL152" s="190"/>
      <c r="AM152" s="190"/>
    </row>
    <row r="153" spans="1:39" s="3" customFormat="1" ht="18" customHeight="1" thickBot="1" x14ac:dyDescent="0.35">
      <c r="A153" s="148" t="s">
        <v>147</v>
      </c>
      <c r="B153" s="286" t="s">
        <v>325</v>
      </c>
      <c r="C153" s="292">
        <v>357522</v>
      </c>
      <c r="D153" s="287"/>
      <c r="E153" s="186">
        <f t="shared" si="6"/>
        <v>357522</v>
      </c>
      <c r="F153" s="186">
        <f t="shared" si="7"/>
        <v>318624</v>
      </c>
      <c r="G153" s="186">
        <f t="shared" si="8"/>
        <v>38898</v>
      </c>
      <c r="H153" s="189"/>
      <c r="I153" s="189"/>
      <c r="J153" s="189"/>
      <c r="K153" s="189">
        <v>29379</v>
      </c>
      <c r="L153" s="189">
        <v>29223</v>
      </c>
      <c r="M153" s="189">
        <v>30499</v>
      </c>
      <c r="N153" s="189">
        <v>31028</v>
      </c>
      <c r="O153" s="189">
        <v>28884</v>
      </c>
      <c r="P153" s="189">
        <v>24928</v>
      </c>
      <c r="Q153" s="189">
        <v>26190</v>
      </c>
      <c r="R153" s="189">
        <v>27246</v>
      </c>
      <c r="S153" s="189"/>
      <c r="T153" s="189">
        <v>39315</v>
      </c>
      <c r="U153" s="189">
        <v>24783</v>
      </c>
      <c r="V153" s="189">
        <v>27149</v>
      </c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90"/>
      <c r="AJ153" s="190"/>
      <c r="AK153" s="190"/>
      <c r="AL153" s="190"/>
      <c r="AM153" s="190"/>
    </row>
    <row r="154" spans="1:39" s="3" customFormat="1" ht="18" customHeight="1" thickBot="1" x14ac:dyDescent="0.35">
      <c r="A154" s="148" t="s">
        <v>148</v>
      </c>
      <c r="B154" s="286" t="s">
        <v>538</v>
      </c>
      <c r="C154" s="292">
        <v>44316</v>
      </c>
      <c r="D154" s="287"/>
      <c r="E154" s="186">
        <f t="shared" si="6"/>
        <v>44316</v>
      </c>
      <c r="F154" s="186">
        <f t="shared" si="7"/>
        <v>44316</v>
      </c>
      <c r="G154" s="186">
        <f t="shared" si="8"/>
        <v>0</v>
      </c>
      <c r="H154" s="189"/>
      <c r="I154" s="189"/>
      <c r="J154" s="189"/>
      <c r="K154" s="189"/>
      <c r="L154" s="189"/>
      <c r="M154" s="189"/>
      <c r="N154" s="189">
        <v>25065</v>
      </c>
      <c r="O154" s="189"/>
      <c r="P154" s="189"/>
      <c r="Q154" s="189"/>
      <c r="R154" s="189"/>
      <c r="S154" s="189">
        <v>19251</v>
      </c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90"/>
      <c r="AJ154" s="190"/>
      <c r="AK154" s="190"/>
      <c r="AL154" s="190"/>
      <c r="AM154" s="190"/>
    </row>
    <row r="155" spans="1:39" s="3" customFormat="1" ht="18" customHeight="1" thickBot="1" x14ac:dyDescent="0.35">
      <c r="A155" s="148" t="s">
        <v>149</v>
      </c>
      <c r="B155" s="286" t="s">
        <v>539</v>
      </c>
      <c r="C155" s="292">
        <v>0</v>
      </c>
      <c r="D155" s="287"/>
      <c r="E155" s="278">
        <f t="shared" si="6"/>
        <v>0</v>
      </c>
      <c r="F155" s="186">
        <f t="shared" si="7"/>
        <v>0</v>
      </c>
      <c r="G155" s="186">
        <f t="shared" si="8"/>
        <v>0</v>
      </c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90"/>
      <c r="AJ155" s="190"/>
      <c r="AK155" s="190"/>
      <c r="AL155" s="190"/>
      <c r="AM155" s="190"/>
    </row>
    <row r="156" spans="1:39" s="3" customFormat="1" ht="18" customHeight="1" thickBot="1" x14ac:dyDescent="0.35">
      <c r="A156" s="148" t="s">
        <v>150</v>
      </c>
      <c r="B156" s="286" t="s">
        <v>541</v>
      </c>
      <c r="C156" s="292">
        <v>208558</v>
      </c>
      <c r="D156" s="287"/>
      <c r="E156" s="186">
        <f t="shared" si="6"/>
        <v>208558</v>
      </c>
      <c r="F156" s="186">
        <f t="shared" si="7"/>
        <v>208558</v>
      </c>
      <c r="G156" s="186">
        <f t="shared" si="8"/>
        <v>0</v>
      </c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>
        <v>208558</v>
      </c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90"/>
      <c r="AJ156" s="190"/>
      <c r="AK156" s="190"/>
      <c r="AL156" s="190"/>
      <c r="AM156" s="190"/>
    </row>
    <row r="157" spans="1:39" s="3" customFormat="1" ht="18" customHeight="1" thickBot="1" x14ac:dyDescent="0.35">
      <c r="A157" s="148" t="s">
        <v>151</v>
      </c>
      <c r="B157" s="286" t="s">
        <v>329</v>
      </c>
      <c r="C157" s="292">
        <v>49127</v>
      </c>
      <c r="D157" s="287"/>
      <c r="E157" s="186">
        <f t="shared" si="6"/>
        <v>49127</v>
      </c>
      <c r="F157" s="186">
        <f t="shared" si="7"/>
        <v>45783.44</v>
      </c>
      <c r="G157" s="186">
        <f t="shared" si="8"/>
        <v>3343.5599999999977</v>
      </c>
      <c r="H157" s="189"/>
      <c r="I157" s="189"/>
      <c r="J157" s="189"/>
      <c r="K157" s="189"/>
      <c r="L157" s="189"/>
      <c r="M157" s="189"/>
      <c r="N157" s="189"/>
      <c r="O157" s="189">
        <v>19931.59</v>
      </c>
      <c r="P157" s="189"/>
      <c r="Q157" s="189"/>
      <c r="R157" s="189"/>
      <c r="S157" s="303">
        <v>25851.85</v>
      </c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90"/>
      <c r="AJ157" s="190"/>
      <c r="AK157" s="190"/>
      <c r="AL157" s="190"/>
      <c r="AM157" s="190"/>
    </row>
    <row r="158" spans="1:39" s="3" customFormat="1" ht="18" customHeight="1" thickBot="1" x14ac:dyDescent="0.35">
      <c r="A158" s="148" t="s">
        <v>152</v>
      </c>
      <c r="B158" s="286" t="s">
        <v>330</v>
      </c>
      <c r="C158" s="292">
        <v>81475</v>
      </c>
      <c r="D158" s="287"/>
      <c r="E158" s="186">
        <f t="shared" si="6"/>
        <v>81475</v>
      </c>
      <c r="F158" s="186">
        <f t="shared" si="7"/>
        <v>81475</v>
      </c>
      <c r="G158" s="186">
        <f t="shared" si="8"/>
        <v>0</v>
      </c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>
        <v>81475</v>
      </c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90"/>
      <c r="AJ158" s="190"/>
      <c r="AK158" s="190"/>
      <c r="AL158" s="190"/>
      <c r="AM158" s="190"/>
    </row>
    <row r="159" spans="1:39" s="3" customFormat="1" ht="18" customHeight="1" thickBot="1" x14ac:dyDescent="0.35">
      <c r="A159" s="148" t="s">
        <v>153</v>
      </c>
      <c r="B159" s="286" t="s">
        <v>331</v>
      </c>
      <c r="C159" s="292">
        <v>174834</v>
      </c>
      <c r="D159" s="287"/>
      <c r="E159" s="186">
        <f t="shared" si="6"/>
        <v>174834</v>
      </c>
      <c r="F159" s="186">
        <f t="shared" si="7"/>
        <v>134783.03</v>
      </c>
      <c r="G159" s="186">
        <f t="shared" si="8"/>
        <v>40050.97</v>
      </c>
      <c r="H159" s="189"/>
      <c r="I159" s="189"/>
      <c r="J159" s="189"/>
      <c r="K159" s="189">
        <v>13947.45</v>
      </c>
      <c r="L159" s="189">
        <v>23793.25</v>
      </c>
      <c r="M159" s="189">
        <v>14837.76</v>
      </c>
      <c r="N159" s="189">
        <v>10416.49</v>
      </c>
      <c r="O159" s="189">
        <v>12764.86</v>
      </c>
      <c r="P159" s="189">
        <v>12989.19</v>
      </c>
      <c r="Q159" s="189">
        <v>9752.74</v>
      </c>
      <c r="R159" s="189">
        <v>9424.9500000000007</v>
      </c>
      <c r="S159" s="189">
        <v>10964.93</v>
      </c>
      <c r="T159" s="189">
        <v>15891.41</v>
      </c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90"/>
      <c r="AJ159" s="190"/>
      <c r="AK159" s="190"/>
      <c r="AL159" s="190"/>
      <c r="AM159" s="190"/>
    </row>
    <row r="160" spans="1:39" s="3" customFormat="1" ht="18" customHeight="1" thickBot="1" x14ac:dyDescent="0.35">
      <c r="A160" s="148" t="s">
        <v>154</v>
      </c>
      <c r="B160" s="286" t="s">
        <v>545</v>
      </c>
      <c r="C160" s="292">
        <v>351840</v>
      </c>
      <c r="D160" s="287"/>
      <c r="E160" s="186">
        <f t="shared" si="6"/>
        <v>351840</v>
      </c>
      <c r="F160" s="186">
        <f t="shared" si="7"/>
        <v>351839.86</v>
      </c>
      <c r="G160" s="186">
        <f t="shared" si="8"/>
        <v>0.14000000001396984</v>
      </c>
      <c r="H160" s="189"/>
      <c r="I160" s="189"/>
      <c r="J160" s="189"/>
      <c r="K160" s="189"/>
      <c r="L160" s="189">
        <v>62409.74</v>
      </c>
      <c r="M160" s="189"/>
      <c r="N160" s="189"/>
      <c r="O160" s="189">
        <v>105428.39</v>
      </c>
      <c r="P160" s="189"/>
      <c r="Q160" s="189">
        <v>72967.58</v>
      </c>
      <c r="R160" s="189"/>
      <c r="S160" s="189">
        <v>67102.149999999994</v>
      </c>
      <c r="T160" s="189"/>
      <c r="U160" s="189">
        <v>43932</v>
      </c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90"/>
      <c r="AJ160" s="190"/>
      <c r="AK160" s="190"/>
      <c r="AL160" s="190"/>
      <c r="AM160" s="190"/>
    </row>
    <row r="161" spans="1:39" s="3" customFormat="1" ht="18" customHeight="1" thickBot="1" x14ac:dyDescent="0.35">
      <c r="A161" s="148" t="s">
        <v>155</v>
      </c>
      <c r="B161" s="286" t="s">
        <v>333</v>
      </c>
      <c r="C161" s="292">
        <v>20005</v>
      </c>
      <c r="D161" s="287"/>
      <c r="E161" s="186">
        <f t="shared" si="6"/>
        <v>20005</v>
      </c>
      <c r="F161" s="186">
        <f t="shared" si="7"/>
        <v>20005</v>
      </c>
      <c r="G161" s="186">
        <f t="shared" si="8"/>
        <v>0</v>
      </c>
      <c r="H161" s="189"/>
      <c r="I161" s="189"/>
      <c r="J161" s="189"/>
      <c r="K161" s="189"/>
      <c r="L161" s="189"/>
      <c r="M161" s="189">
        <v>9904.7099999999991</v>
      </c>
      <c r="N161" s="189"/>
      <c r="O161" s="189"/>
      <c r="P161" s="189"/>
      <c r="Q161" s="189">
        <v>10100.290000000001</v>
      </c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90"/>
      <c r="AJ161" s="190"/>
      <c r="AK161" s="190"/>
      <c r="AL161" s="190"/>
      <c r="AM161" s="190"/>
    </row>
    <row r="162" spans="1:39" s="3" customFormat="1" ht="18" customHeight="1" thickBot="1" x14ac:dyDescent="0.35">
      <c r="A162" s="148" t="s">
        <v>156</v>
      </c>
      <c r="B162" s="286" t="s">
        <v>334</v>
      </c>
      <c r="C162" s="292">
        <v>79871</v>
      </c>
      <c r="D162" s="287"/>
      <c r="E162" s="186">
        <f t="shared" si="6"/>
        <v>79871</v>
      </c>
      <c r="F162" s="186">
        <f t="shared" si="7"/>
        <v>70512</v>
      </c>
      <c r="G162" s="186">
        <f t="shared" si="8"/>
        <v>9359</v>
      </c>
      <c r="H162" s="189"/>
      <c r="I162" s="189"/>
      <c r="J162" s="189"/>
      <c r="K162" s="189"/>
      <c r="L162" s="189"/>
      <c r="M162" s="189"/>
      <c r="N162" s="189"/>
      <c r="O162" s="189"/>
      <c r="P162" s="189"/>
      <c r="Q162" s="189">
        <v>43188</v>
      </c>
      <c r="R162" s="189"/>
      <c r="S162" s="189">
        <v>20578</v>
      </c>
      <c r="T162" s="189">
        <v>6746</v>
      </c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90"/>
      <c r="AJ162" s="190"/>
      <c r="AK162" s="190"/>
      <c r="AL162" s="190"/>
      <c r="AM162" s="190"/>
    </row>
    <row r="163" spans="1:39" s="3" customFormat="1" ht="18" customHeight="1" thickBot="1" x14ac:dyDescent="0.35">
      <c r="A163" s="148" t="s">
        <v>157</v>
      </c>
      <c r="B163" s="286" t="s">
        <v>335</v>
      </c>
      <c r="C163" s="292">
        <v>37737</v>
      </c>
      <c r="D163" s="287"/>
      <c r="E163" s="186">
        <f t="shared" si="6"/>
        <v>37737</v>
      </c>
      <c r="F163" s="186">
        <f t="shared" si="7"/>
        <v>37725.299999999996</v>
      </c>
      <c r="G163" s="186">
        <f t="shared" si="8"/>
        <v>11.700000000004366</v>
      </c>
      <c r="H163" s="189"/>
      <c r="I163" s="189"/>
      <c r="J163" s="189"/>
      <c r="K163" s="189"/>
      <c r="L163" s="189"/>
      <c r="M163" s="189"/>
      <c r="N163" s="189">
        <v>34002.74</v>
      </c>
      <c r="O163" s="189"/>
      <c r="P163" s="189"/>
      <c r="Q163" s="189"/>
      <c r="R163" s="189">
        <v>3722.56</v>
      </c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90"/>
      <c r="AJ163" s="190"/>
      <c r="AK163" s="190"/>
      <c r="AL163" s="190"/>
      <c r="AM163" s="190"/>
    </row>
    <row r="164" spans="1:39" s="3" customFormat="1" ht="18" customHeight="1" thickBot="1" x14ac:dyDescent="0.35">
      <c r="A164" s="148" t="s">
        <v>158</v>
      </c>
      <c r="B164" s="286" t="s">
        <v>548</v>
      </c>
      <c r="C164" s="292">
        <v>200199</v>
      </c>
      <c r="D164" s="287">
        <v>9040</v>
      </c>
      <c r="E164" s="278">
        <v>0</v>
      </c>
      <c r="F164" s="186">
        <f t="shared" si="7"/>
        <v>0</v>
      </c>
      <c r="G164" s="186">
        <f t="shared" si="8"/>
        <v>0</v>
      </c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90"/>
      <c r="AJ164" s="190"/>
      <c r="AK164" s="190"/>
      <c r="AL164" s="190"/>
      <c r="AM164" s="190"/>
    </row>
    <row r="165" spans="1:39" s="3" customFormat="1" ht="18" customHeight="1" thickBot="1" x14ac:dyDescent="0.35">
      <c r="A165" s="148" t="s">
        <v>159</v>
      </c>
      <c r="B165" s="286" t="s">
        <v>397</v>
      </c>
      <c r="C165" s="292">
        <v>38747</v>
      </c>
      <c r="D165" s="287">
        <v>9040</v>
      </c>
      <c r="E165" s="278">
        <v>0</v>
      </c>
      <c r="F165" s="186">
        <f t="shared" si="7"/>
        <v>0</v>
      </c>
      <c r="G165" s="186">
        <f t="shared" si="8"/>
        <v>0</v>
      </c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90"/>
      <c r="AJ165" s="190"/>
      <c r="AK165" s="190"/>
      <c r="AL165" s="190"/>
      <c r="AM165" s="190"/>
    </row>
    <row r="166" spans="1:39" s="3" customFormat="1" ht="18" customHeight="1" thickBot="1" x14ac:dyDescent="0.35">
      <c r="A166" s="148" t="s">
        <v>160</v>
      </c>
      <c r="B166" s="286" t="s">
        <v>551</v>
      </c>
      <c r="C166" s="292">
        <v>222170</v>
      </c>
      <c r="D166" s="287"/>
      <c r="E166" s="186">
        <f t="shared" si="6"/>
        <v>222170</v>
      </c>
      <c r="F166" s="186">
        <f t="shared" si="7"/>
        <v>222169.85</v>
      </c>
      <c r="G166" s="186">
        <f t="shared" si="8"/>
        <v>0.14999999999417923</v>
      </c>
      <c r="H166" s="189"/>
      <c r="I166" s="189"/>
      <c r="J166" s="189"/>
      <c r="K166" s="189"/>
      <c r="L166" s="189">
        <v>51090.48</v>
      </c>
      <c r="M166" s="189">
        <v>25362</v>
      </c>
      <c r="N166" s="189">
        <v>25321</v>
      </c>
      <c r="O166" s="189">
        <v>25362</v>
      </c>
      <c r="P166" s="189">
        <v>25363</v>
      </c>
      <c r="Q166" s="189">
        <v>25363</v>
      </c>
      <c r="R166" s="189">
        <v>25366</v>
      </c>
      <c r="S166" s="189">
        <v>18942.37</v>
      </c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90"/>
      <c r="AJ166" s="190"/>
      <c r="AK166" s="190"/>
      <c r="AL166" s="190"/>
      <c r="AM166" s="190"/>
    </row>
    <row r="167" spans="1:39" s="3" customFormat="1" ht="18" customHeight="1" thickBot="1" x14ac:dyDescent="0.35">
      <c r="A167" s="148" t="s">
        <v>161</v>
      </c>
      <c r="B167" s="286" t="s">
        <v>553</v>
      </c>
      <c r="C167" s="292">
        <v>80946</v>
      </c>
      <c r="D167" s="287"/>
      <c r="E167" s="186">
        <f t="shared" si="6"/>
        <v>80946</v>
      </c>
      <c r="F167" s="186">
        <f t="shared" si="7"/>
        <v>33860.879999999997</v>
      </c>
      <c r="G167" s="186">
        <f t="shared" si="8"/>
        <v>47085.120000000003</v>
      </c>
      <c r="H167" s="189"/>
      <c r="I167" s="189"/>
      <c r="J167" s="189"/>
      <c r="K167" s="189"/>
      <c r="L167" s="189"/>
      <c r="M167" s="189"/>
      <c r="N167" s="189"/>
      <c r="O167" s="189"/>
      <c r="P167" s="189">
        <v>33860.879999999997</v>
      </c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90"/>
      <c r="AJ167" s="190"/>
      <c r="AK167" s="190"/>
      <c r="AL167" s="190"/>
      <c r="AM167" s="190"/>
    </row>
    <row r="168" spans="1:39" s="3" customFormat="1" ht="18" customHeight="1" thickBot="1" x14ac:dyDescent="0.35">
      <c r="A168" s="148" t="s">
        <v>162</v>
      </c>
      <c r="B168" s="286" t="s">
        <v>555</v>
      </c>
      <c r="C168" s="292">
        <v>337626</v>
      </c>
      <c r="D168" s="287"/>
      <c r="E168" s="186">
        <f t="shared" si="6"/>
        <v>337626</v>
      </c>
      <c r="F168" s="186">
        <f t="shared" si="7"/>
        <v>259160.87</v>
      </c>
      <c r="G168" s="186">
        <f t="shared" si="8"/>
        <v>78465.13</v>
      </c>
      <c r="H168" s="189"/>
      <c r="I168" s="189"/>
      <c r="J168" s="189"/>
      <c r="K168" s="189"/>
      <c r="L168" s="189"/>
      <c r="M168" s="189">
        <v>120942.13</v>
      </c>
      <c r="N168" s="269"/>
      <c r="O168" s="189"/>
      <c r="P168" s="189"/>
      <c r="Q168" s="189">
        <v>73535.78</v>
      </c>
      <c r="R168" s="189"/>
      <c r="S168" s="189">
        <v>64682.96</v>
      </c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90"/>
      <c r="AJ168" s="190"/>
      <c r="AK168" s="190"/>
      <c r="AL168" s="190"/>
      <c r="AM168" s="190"/>
    </row>
    <row r="169" spans="1:39" s="3" customFormat="1" ht="18" customHeight="1" thickBot="1" x14ac:dyDescent="0.35">
      <c r="A169" s="148" t="s">
        <v>163</v>
      </c>
      <c r="B169" s="286" t="s">
        <v>340</v>
      </c>
      <c r="C169" s="292">
        <v>96933</v>
      </c>
      <c r="D169" s="287"/>
      <c r="E169" s="186">
        <f t="shared" si="6"/>
        <v>96933</v>
      </c>
      <c r="F169" s="186">
        <f t="shared" si="7"/>
        <v>78394.100000000006</v>
      </c>
      <c r="G169" s="186">
        <f t="shared" si="8"/>
        <v>18538.899999999994</v>
      </c>
      <c r="H169" s="189"/>
      <c r="I169" s="189"/>
      <c r="J169" s="189"/>
      <c r="K169" s="189"/>
      <c r="L169" s="189"/>
      <c r="M169" s="189"/>
      <c r="N169" s="189">
        <v>18593.57</v>
      </c>
      <c r="O169" s="189"/>
      <c r="P169" s="189"/>
      <c r="Q169" s="189"/>
      <c r="R169" s="189"/>
      <c r="S169" s="189">
        <v>38976.720000000001</v>
      </c>
      <c r="T169" s="189">
        <v>20823.810000000001</v>
      </c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90"/>
      <c r="AJ169" s="190"/>
      <c r="AK169" s="190"/>
      <c r="AL169" s="190"/>
      <c r="AM169" s="190"/>
    </row>
    <row r="170" spans="1:39" s="3" customFormat="1" ht="18" customHeight="1" thickBot="1" x14ac:dyDescent="0.35">
      <c r="A170" s="148" t="s">
        <v>164</v>
      </c>
      <c r="B170" s="286" t="s">
        <v>341</v>
      </c>
      <c r="C170" s="292">
        <v>18211</v>
      </c>
      <c r="D170" s="287">
        <v>9025</v>
      </c>
      <c r="E170" s="278">
        <v>0</v>
      </c>
      <c r="F170" s="186">
        <f t="shared" si="7"/>
        <v>0</v>
      </c>
      <c r="G170" s="186">
        <f t="shared" si="8"/>
        <v>0</v>
      </c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90"/>
      <c r="AJ170" s="190"/>
      <c r="AK170" s="190"/>
      <c r="AL170" s="190"/>
      <c r="AM170" s="190"/>
    </row>
    <row r="171" spans="1:39" s="3" customFormat="1" ht="18" customHeight="1" thickBot="1" x14ac:dyDescent="0.35">
      <c r="A171" s="148" t="s">
        <v>165</v>
      </c>
      <c r="B171" s="286" t="s">
        <v>342</v>
      </c>
      <c r="C171" s="292">
        <v>29078</v>
      </c>
      <c r="D171" s="287">
        <v>9040</v>
      </c>
      <c r="E171" s="278">
        <v>0</v>
      </c>
      <c r="F171" s="186">
        <f t="shared" si="7"/>
        <v>0</v>
      </c>
      <c r="G171" s="186">
        <f t="shared" si="8"/>
        <v>0</v>
      </c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90"/>
      <c r="AJ171" s="190"/>
      <c r="AK171" s="190"/>
      <c r="AL171" s="190"/>
      <c r="AM171" s="190"/>
    </row>
    <row r="172" spans="1:39" s="3" customFormat="1" ht="18" customHeight="1" thickBot="1" x14ac:dyDescent="0.35">
      <c r="A172" s="148" t="s">
        <v>166</v>
      </c>
      <c r="B172" s="286" t="s">
        <v>343</v>
      </c>
      <c r="C172" s="292">
        <v>1680</v>
      </c>
      <c r="D172" s="287">
        <v>9040</v>
      </c>
      <c r="E172" s="278">
        <v>0</v>
      </c>
      <c r="F172" s="186">
        <f t="shared" si="7"/>
        <v>0</v>
      </c>
      <c r="G172" s="186">
        <f t="shared" si="8"/>
        <v>0</v>
      </c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90"/>
      <c r="AJ172" s="190"/>
      <c r="AK172" s="190"/>
      <c r="AL172" s="190"/>
      <c r="AM172" s="190"/>
    </row>
    <row r="173" spans="1:39" s="3" customFormat="1" ht="18" customHeight="1" thickBot="1" x14ac:dyDescent="0.35">
      <c r="A173" s="148" t="s">
        <v>167</v>
      </c>
      <c r="B173" s="286" t="s">
        <v>344</v>
      </c>
      <c r="C173" s="292">
        <v>2311</v>
      </c>
      <c r="D173" s="287">
        <v>9025</v>
      </c>
      <c r="E173" s="278">
        <v>0</v>
      </c>
      <c r="F173" s="186">
        <f t="shared" si="7"/>
        <v>0</v>
      </c>
      <c r="G173" s="186">
        <f t="shared" si="8"/>
        <v>0</v>
      </c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90"/>
      <c r="AJ173" s="190"/>
      <c r="AK173" s="190"/>
      <c r="AL173" s="190"/>
      <c r="AM173" s="190"/>
    </row>
    <row r="174" spans="1:39" s="3" customFormat="1" ht="18" customHeight="1" thickBot="1" x14ac:dyDescent="0.35">
      <c r="A174" s="148" t="s">
        <v>168</v>
      </c>
      <c r="B174" s="286" t="s">
        <v>557</v>
      </c>
      <c r="C174" s="292">
        <v>243476</v>
      </c>
      <c r="D174" s="287">
        <v>9035</v>
      </c>
      <c r="E174" s="278">
        <v>0</v>
      </c>
      <c r="F174" s="186">
        <f t="shared" si="7"/>
        <v>0</v>
      </c>
      <c r="G174" s="186">
        <f t="shared" si="8"/>
        <v>0</v>
      </c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90"/>
      <c r="AJ174" s="190"/>
      <c r="AK174" s="190"/>
      <c r="AL174" s="190"/>
      <c r="AM174" s="190"/>
    </row>
    <row r="175" spans="1:39" s="3" customFormat="1" ht="18" customHeight="1" thickBot="1" x14ac:dyDescent="0.35">
      <c r="A175" s="148" t="s">
        <v>169</v>
      </c>
      <c r="B175" s="286" t="s">
        <v>559</v>
      </c>
      <c r="C175" s="292">
        <v>84129</v>
      </c>
      <c r="D175" s="287"/>
      <c r="E175" s="186">
        <f t="shared" si="6"/>
        <v>84129</v>
      </c>
      <c r="F175" s="186">
        <f t="shared" si="7"/>
        <v>84129</v>
      </c>
      <c r="G175" s="186">
        <f t="shared" si="8"/>
        <v>0</v>
      </c>
      <c r="H175" s="189"/>
      <c r="I175" s="189"/>
      <c r="J175" s="189"/>
      <c r="K175" s="189"/>
      <c r="L175" s="189"/>
      <c r="M175" s="189"/>
      <c r="N175" s="189"/>
      <c r="O175" s="189">
        <v>24100.39</v>
      </c>
      <c r="P175" s="189"/>
      <c r="Q175" s="189"/>
      <c r="R175" s="189"/>
      <c r="S175" s="189">
        <v>60028.61</v>
      </c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90"/>
      <c r="AJ175" s="190"/>
      <c r="AK175" s="190"/>
      <c r="AL175" s="190"/>
      <c r="AM175" s="190"/>
    </row>
    <row r="176" spans="1:39" s="3" customFormat="1" ht="18" customHeight="1" thickBot="1" x14ac:dyDescent="0.35">
      <c r="A176" s="148" t="s">
        <v>170</v>
      </c>
      <c r="B176" s="286" t="s">
        <v>398</v>
      </c>
      <c r="C176" s="292">
        <v>520433</v>
      </c>
      <c r="D176" s="287"/>
      <c r="E176" s="186">
        <f t="shared" si="6"/>
        <v>520433</v>
      </c>
      <c r="F176" s="186">
        <f t="shared" si="7"/>
        <v>474403.74</v>
      </c>
      <c r="G176" s="186">
        <f t="shared" si="8"/>
        <v>46029.260000000009</v>
      </c>
      <c r="H176" s="189"/>
      <c r="I176" s="189"/>
      <c r="J176" s="189"/>
      <c r="K176" s="189"/>
      <c r="L176" s="189"/>
      <c r="M176" s="189"/>
      <c r="N176" s="189"/>
      <c r="O176" s="189"/>
      <c r="P176" s="189"/>
      <c r="Q176" s="189">
        <v>322273.90999999997</v>
      </c>
      <c r="R176" s="189"/>
      <c r="S176" s="189">
        <v>152129.82999999999</v>
      </c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90"/>
      <c r="AJ176" s="190"/>
      <c r="AK176" s="190"/>
      <c r="AL176" s="190"/>
      <c r="AM176" s="190"/>
    </row>
    <row r="177" spans="1:39" s="3" customFormat="1" ht="18" customHeight="1" thickBot="1" x14ac:dyDescent="0.35">
      <c r="A177" s="148" t="s">
        <v>171</v>
      </c>
      <c r="B177" s="286" t="s">
        <v>560</v>
      </c>
      <c r="C177" s="292">
        <v>165744</v>
      </c>
      <c r="D177" s="287"/>
      <c r="E177" s="186">
        <f t="shared" si="6"/>
        <v>165744</v>
      </c>
      <c r="F177" s="186">
        <f t="shared" si="7"/>
        <v>140882.38</v>
      </c>
      <c r="G177" s="186">
        <f t="shared" si="8"/>
        <v>24861.619999999995</v>
      </c>
      <c r="H177" s="189"/>
      <c r="I177" s="189"/>
      <c r="J177" s="189"/>
      <c r="K177" s="189"/>
      <c r="L177" s="189">
        <v>6370.91</v>
      </c>
      <c r="M177" s="189">
        <v>13072.99</v>
      </c>
      <c r="N177" s="189"/>
      <c r="O177" s="189">
        <v>28197.16</v>
      </c>
      <c r="P177" s="189"/>
      <c r="Q177" s="189"/>
      <c r="R177" s="189">
        <v>41334.1</v>
      </c>
      <c r="S177" s="189">
        <v>17412.72</v>
      </c>
      <c r="T177" s="189"/>
      <c r="U177" s="189">
        <v>34494.5</v>
      </c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90"/>
      <c r="AJ177" s="190"/>
      <c r="AK177" s="190"/>
      <c r="AL177" s="190"/>
      <c r="AM177" s="190"/>
    </row>
    <row r="178" spans="1:39" s="3" customFormat="1" ht="18" customHeight="1" thickBot="1" x14ac:dyDescent="0.35">
      <c r="A178" s="148" t="s">
        <v>172</v>
      </c>
      <c r="B178" s="286" t="s">
        <v>561</v>
      </c>
      <c r="C178" s="292">
        <v>258769</v>
      </c>
      <c r="D178" s="287"/>
      <c r="E178" s="186">
        <f t="shared" si="6"/>
        <v>258769</v>
      </c>
      <c r="F178" s="186">
        <f t="shared" si="7"/>
        <v>132327.59</v>
      </c>
      <c r="G178" s="186">
        <f t="shared" si="8"/>
        <v>126441.41</v>
      </c>
      <c r="H178" s="189"/>
      <c r="I178" s="189"/>
      <c r="J178" s="189"/>
      <c r="K178" s="189"/>
      <c r="L178" s="189"/>
      <c r="M178" s="189"/>
      <c r="N178" s="189"/>
      <c r="O178" s="189">
        <f>6781.25+18419.87</f>
        <v>25201.119999999999</v>
      </c>
      <c r="P178" s="189"/>
      <c r="Q178" s="189">
        <v>27670.03</v>
      </c>
      <c r="R178" s="189">
        <f>19389.51+20060.25</f>
        <v>39449.759999999995</v>
      </c>
      <c r="S178" s="189">
        <v>20003.34</v>
      </c>
      <c r="T178" s="189">
        <v>20003.34</v>
      </c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90"/>
      <c r="AJ178" s="190"/>
      <c r="AK178" s="190"/>
      <c r="AL178" s="190"/>
      <c r="AM178" s="190"/>
    </row>
    <row r="179" spans="1:39" s="3" customFormat="1" ht="18" customHeight="1" thickBot="1" x14ac:dyDescent="0.35">
      <c r="A179" s="148" t="s">
        <v>173</v>
      </c>
      <c r="B179" s="286" t="s">
        <v>349</v>
      </c>
      <c r="C179" s="292">
        <v>5590771</v>
      </c>
      <c r="D179" s="287"/>
      <c r="E179" s="186">
        <f t="shared" si="6"/>
        <v>5590771</v>
      </c>
      <c r="F179" s="186">
        <f t="shared" si="7"/>
        <v>3193243.37</v>
      </c>
      <c r="G179" s="186">
        <f t="shared" si="8"/>
        <v>2397527.63</v>
      </c>
      <c r="H179" s="189"/>
      <c r="I179" s="189"/>
      <c r="J179" s="189"/>
      <c r="K179" s="189"/>
      <c r="L179" s="189"/>
      <c r="M179" s="189">
        <v>129153.08</v>
      </c>
      <c r="N179" s="189"/>
      <c r="O179" s="189"/>
      <c r="P179" s="189"/>
      <c r="Q179" s="189">
        <v>1454006.89</v>
      </c>
      <c r="R179" s="189">
        <v>575586.46</v>
      </c>
      <c r="S179" s="222">
        <v>515101.41</v>
      </c>
      <c r="T179" s="189">
        <v>519395.53</v>
      </c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90"/>
      <c r="AJ179" s="190"/>
      <c r="AK179" s="190"/>
      <c r="AL179" s="190"/>
      <c r="AM179" s="190"/>
    </row>
    <row r="180" spans="1:39" s="3" customFormat="1" ht="18" customHeight="1" thickBot="1" x14ac:dyDescent="0.35">
      <c r="A180" s="148" t="s">
        <v>174</v>
      </c>
      <c r="B180" s="286" t="s">
        <v>562</v>
      </c>
      <c r="C180" s="292">
        <v>196958</v>
      </c>
      <c r="D180" s="287">
        <v>9035</v>
      </c>
      <c r="E180" s="278">
        <v>0</v>
      </c>
      <c r="F180" s="186">
        <f t="shared" si="7"/>
        <v>0</v>
      </c>
      <c r="G180" s="186">
        <f t="shared" si="8"/>
        <v>0</v>
      </c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90"/>
      <c r="AJ180" s="190"/>
      <c r="AK180" s="190"/>
      <c r="AL180" s="190"/>
      <c r="AM180" s="190"/>
    </row>
    <row r="181" spans="1:39" s="3" customFormat="1" ht="18" customHeight="1" thickBot="1" x14ac:dyDescent="0.35">
      <c r="A181" s="148" t="s">
        <v>175</v>
      </c>
      <c r="B181" s="286" t="s">
        <v>563</v>
      </c>
      <c r="C181" s="292">
        <v>445090</v>
      </c>
      <c r="D181" s="287"/>
      <c r="E181" s="186">
        <f t="shared" si="6"/>
        <v>445090</v>
      </c>
      <c r="F181" s="186">
        <f t="shared" si="7"/>
        <v>418763</v>
      </c>
      <c r="G181" s="186">
        <f t="shared" si="8"/>
        <v>26327</v>
      </c>
      <c r="H181" s="189"/>
      <c r="I181" s="189"/>
      <c r="J181" s="189"/>
      <c r="K181" s="189"/>
      <c r="L181" s="189">
        <v>35412.03</v>
      </c>
      <c r="M181" s="189">
        <v>34987.53</v>
      </c>
      <c r="N181" s="189"/>
      <c r="O181" s="189">
        <f>34994.91+34990.35</f>
        <v>69985.260000000009</v>
      </c>
      <c r="P181" s="189"/>
      <c r="Q181" s="189">
        <v>48125.86</v>
      </c>
      <c r="R181" s="189">
        <v>30590.03</v>
      </c>
      <c r="S181" s="189">
        <v>31849.31</v>
      </c>
      <c r="T181" s="189"/>
      <c r="U181" s="189">
        <v>167812.98</v>
      </c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90"/>
      <c r="AJ181" s="190"/>
      <c r="AK181" s="190"/>
      <c r="AL181" s="190"/>
      <c r="AM181" s="190"/>
    </row>
    <row r="182" spans="1:39" s="3" customFormat="1" ht="18" customHeight="1" thickBot="1" x14ac:dyDescent="0.35">
      <c r="A182" s="148" t="s">
        <v>176</v>
      </c>
      <c r="B182" s="286" t="s">
        <v>564</v>
      </c>
      <c r="C182" s="292">
        <v>123854</v>
      </c>
      <c r="D182" s="287"/>
      <c r="E182" s="186">
        <f t="shared" si="6"/>
        <v>123854</v>
      </c>
      <c r="F182" s="186">
        <f t="shared" si="7"/>
        <v>104324.06</v>
      </c>
      <c r="G182" s="186">
        <f t="shared" si="8"/>
        <v>19529.940000000002</v>
      </c>
      <c r="H182" s="189"/>
      <c r="I182" s="189"/>
      <c r="J182" s="189"/>
      <c r="K182" s="189"/>
      <c r="L182" s="189"/>
      <c r="M182" s="189"/>
      <c r="N182" s="189"/>
      <c r="O182" s="189"/>
      <c r="P182" s="189">
        <v>44036.56</v>
      </c>
      <c r="Q182" s="189"/>
      <c r="R182" s="189">
        <v>29581.3</v>
      </c>
      <c r="S182" s="189">
        <f>6488.6+718.76</f>
        <v>7207.3600000000006</v>
      </c>
      <c r="T182" s="189">
        <v>11282.48</v>
      </c>
      <c r="U182" s="189"/>
      <c r="V182" s="189">
        <v>12216.36</v>
      </c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90"/>
      <c r="AJ182" s="190"/>
      <c r="AK182" s="190"/>
      <c r="AL182" s="190"/>
      <c r="AM182" s="190"/>
    </row>
    <row r="183" spans="1:39" s="3" customFormat="1" ht="18" customHeight="1" thickBot="1" x14ac:dyDescent="0.35">
      <c r="A183" s="148" t="s">
        <v>177</v>
      </c>
      <c r="B183" s="286" t="s">
        <v>565</v>
      </c>
      <c r="C183" s="292">
        <v>25135</v>
      </c>
      <c r="D183" s="287">
        <v>9035</v>
      </c>
      <c r="E183" s="278">
        <v>0</v>
      </c>
      <c r="F183" s="186">
        <f t="shared" si="7"/>
        <v>0</v>
      </c>
      <c r="G183" s="186">
        <f t="shared" si="8"/>
        <v>0</v>
      </c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90"/>
      <c r="AJ183" s="190"/>
      <c r="AK183" s="190"/>
      <c r="AL183" s="190"/>
      <c r="AM183" s="190"/>
    </row>
    <row r="184" spans="1:39" s="3" customFormat="1" ht="18" customHeight="1" thickBot="1" x14ac:dyDescent="0.35">
      <c r="A184" s="148" t="s">
        <v>178</v>
      </c>
      <c r="B184" s="286" t="s">
        <v>354</v>
      </c>
      <c r="C184" s="292">
        <v>0</v>
      </c>
      <c r="D184" s="287" t="s">
        <v>371</v>
      </c>
      <c r="E184" s="278">
        <f t="shared" si="6"/>
        <v>0</v>
      </c>
      <c r="F184" s="186">
        <f t="shared" si="7"/>
        <v>0</v>
      </c>
      <c r="G184" s="186">
        <f t="shared" si="8"/>
        <v>0</v>
      </c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90"/>
      <c r="AJ184" s="190"/>
      <c r="AK184" s="190"/>
      <c r="AL184" s="190"/>
      <c r="AM184" s="190"/>
    </row>
    <row r="185" spans="1:39" s="3" customFormat="1" ht="18" customHeight="1" thickBot="1" x14ac:dyDescent="0.35">
      <c r="A185" s="148" t="s">
        <v>179</v>
      </c>
      <c r="B185" s="286" t="s">
        <v>567</v>
      </c>
      <c r="C185" s="292">
        <v>26756</v>
      </c>
      <c r="D185" s="287">
        <v>9035</v>
      </c>
      <c r="E185" s="278">
        <v>0</v>
      </c>
      <c r="F185" s="186">
        <f t="shared" si="7"/>
        <v>0</v>
      </c>
      <c r="G185" s="186">
        <f t="shared" si="8"/>
        <v>0</v>
      </c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90"/>
      <c r="AJ185" s="190"/>
      <c r="AK185" s="190"/>
      <c r="AL185" s="190"/>
      <c r="AM185" s="190"/>
    </row>
    <row r="186" spans="1:39" s="3" customFormat="1" ht="18" customHeight="1" thickBot="1" x14ac:dyDescent="0.35">
      <c r="A186" s="148" t="s">
        <v>180</v>
      </c>
      <c r="B186" s="286" t="s">
        <v>356</v>
      </c>
      <c r="C186" s="292">
        <v>174852</v>
      </c>
      <c r="D186" s="287"/>
      <c r="E186" s="186">
        <f t="shared" si="6"/>
        <v>174852</v>
      </c>
      <c r="F186" s="186">
        <f t="shared" si="7"/>
        <v>173797.97</v>
      </c>
      <c r="G186" s="186">
        <f t="shared" si="8"/>
        <v>1054.0299999999988</v>
      </c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>
        <v>116851.27</v>
      </c>
      <c r="S186" s="189">
        <v>14236.68</v>
      </c>
      <c r="T186" s="189">
        <v>42710.02</v>
      </c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90"/>
      <c r="AJ186" s="190"/>
      <c r="AK186" s="190"/>
      <c r="AL186" s="190"/>
      <c r="AM186" s="190"/>
    </row>
    <row r="187" spans="1:39" s="3" customFormat="1" ht="18" customHeight="1" thickBot="1" x14ac:dyDescent="0.35">
      <c r="A187" s="148" t="s">
        <v>181</v>
      </c>
      <c r="B187" s="286" t="s">
        <v>357</v>
      </c>
      <c r="C187" s="292">
        <v>126636</v>
      </c>
      <c r="D187" s="287"/>
      <c r="E187" s="186">
        <f t="shared" si="6"/>
        <v>126636</v>
      </c>
      <c r="F187" s="186">
        <f t="shared" si="7"/>
        <v>82188</v>
      </c>
      <c r="G187" s="186">
        <f t="shared" si="8"/>
        <v>44448</v>
      </c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>
        <v>82188</v>
      </c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90"/>
      <c r="AJ187" s="190"/>
      <c r="AK187" s="190"/>
      <c r="AL187" s="190"/>
      <c r="AM187" s="190"/>
    </row>
    <row r="188" spans="1:39" s="3" customFormat="1" ht="18" customHeight="1" thickBot="1" x14ac:dyDescent="0.35">
      <c r="A188" s="148" t="s">
        <v>182</v>
      </c>
      <c r="B188" s="286" t="s">
        <v>358</v>
      </c>
      <c r="C188" s="292">
        <v>24627</v>
      </c>
      <c r="D188" s="287">
        <v>9025</v>
      </c>
      <c r="E188" s="278">
        <v>0</v>
      </c>
      <c r="F188" s="186">
        <f t="shared" si="7"/>
        <v>0</v>
      </c>
      <c r="G188" s="186">
        <f t="shared" si="8"/>
        <v>0</v>
      </c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90"/>
      <c r="AJ188" s="190"/>
      <c r="AK188" s="190"/>
      <c r="AL188" s="190"/>
      <c r="AM188" s="190"/>
    </row>
    <row r="189" spans="1:39" s="3" customFormat="1" ht="18" customHeight="1" thickBot="1" x14ac:dyDescent="0.35">
      <c r="A189" s="148" t="s">
        <v>183</v>
      </c>
      <c r="B189" s="286" t="s">
        <v>359</v>
      </c>
      <c r="C189" s="292">
        <v>12052</v>
      </c>
      <c r="D189" s="287">
        <v>9025</v>
      </c>
      <c r="E189" s="278">
        <v>0</v>
      </c>
      <c r="F189" s="186">
        <f t="shared" si="7"/>
        <v>0</v>
      </c>
      <c r="G189" s="186">
        <f t="shared" si="8"/>
        <v>0</v>
      </c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90"/>
      <c r="AJ189" s="190"/>
      <c r="AK189" s="190"/>
      <c r="AL189" s="190"/>
      <c r="AM189" s="190"/>
    </row>
    <row r="190" spans="1:39" s="3" customFormat="1" ht="18" customHeight="1" thickBot="1" x14ac:dyDescent="0.35">
      <c r="A190" s="148" t="s">
        <v>402</v>
      </c>
      <c r="B190" s="286" t="s">
        <v>571</v>
      </c>
      <c r="C190" s="293">
        <v>2183690</v>
      </c>
      <c r="D190" s="287"/>
      <c r="E190" s="186">
        <f t="shared" si="6"/>
        <v>2183690</v>
      </c>
      <c r="F190" s="186">
        <f t="shared" si="7"/>
        <v>1961482.9100000001</v>
      </c>
      <c r="G190" s="186">
        <f t="shared" si="8"/>
        <v>222207.08999999985</v>
      </c>
      <c r="H190" s="189"/>
      <c r="I190" s="189"/>
      <c r="J190" s="189"/>
      <c r="K190" s="189"/>
      <c r="L190" s="189"/>
      <c r="M190" s="189">
        <v>83033.14</v>
      </c>
      <c r="N190" s="189">
        <v>379543</v>
      </c>
      <c r="O190" s="189">
        <f>175251+110000</f>
        <v>285251</v>
      </c>
      <c r="P190" s="222">
        <v>64763</v>
      </c>
      <c r="Q190" s="189">
        <f>117477.44</f>
        <v>117477.44</v>
      </c>
      <c r="R190" s="222">
        <v>363023.64</v>
      </c>
      <c r="S190" s="189">
        <v>198240.55</v>
      </c>
      <c r="T190" s="189">
        <v>183586.01</v>
      </c>
      <c r="U190" s="189">
        <v>286565.13</v>
      </c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90"/>
      <c r="AJ190" s="190"/>
      <c r="AK190" s="190"/>
      <c r="AL190" s="190"/>
      <c r="AM190" s="190"/>
    </row>
    <row r="191" spans="1:39" s="3" customFormat="1" ht="18" customHeight="1" thickBot="1" x14ac:dyDescent="0.35">
      <c r="A191" s="148" t="s">
        <v>362</v>
      </c>
      <c r="B191" s="286" t="s">
        <v>592</v>
      </c>
      <c r="C191" s="293">
        <v>45624</v>
      </c>
      <c r="D191" s="287"/>
      <c r="E191" s="186">
        <f t="shared" si="6"/>
        <v>45624</v>
      </c>
      <c r="F191" s="186">
        <f t="shared" si="7"/>
        <v>27811.53</v>
      </c>
      <c r="G191" s="186">
        <f t="shared" si="8"/>
        <v>17812.47</v>
      </c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>
        <v>27811.53</v>
      </c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90"/>
      <c r="AJ191" s="190"/>
      <c r="AK191" s="190"/>
      <c r="AL191" s="190"/>
      <c r="AM191" s="190"/>
    </row>
    <row r="192" spans="1:39" ht="18" customHeight="1" thickBot="1" x14ac:dyDescent="0.3">
      <c r="A192" s="148" t="s">
        <v>370</v>
      </c>
      <c r="B192" s="286" t="s">
        <v>374</v>
      </c>
      <c r="C192" s="294">
        <v>0</v>
      </c>
      <c r="D192" s="287"/>
      <c r="E192" s="186">
        <f>C16+C17+C25+C40+C41+C56+C59+C92+C93+C94+C95+C96+C110+C111+C112+C170+C173+C188+C189</f>
        <v>896846</v>
      </c>
      <c r="F192" s="186">
        <f t="shared" si="7"/>
        <v>827584.81</v>
      </c>
      <c r="G192" s="186">
        <f t="shared" si="8"/>
        <v>69261.189999999944</v>
      </c>
      <c r="H192" s="189"/>
      <c r="I192" s="192"/>
      <c r="J192" s="192"/>
      <c r="K192" s="192"/>
      <c r="L192" s="192"/>
      <c r="M192" s="192">
        <v>233393.83</v>
      </c>
      <c r="N192" s="192"/>
      <c r="O192" s="189">
        <v>6446.54</v>
      </c>
      <c r="P192" s="192"/>
      <c r="Q192" s="192">
        <v>287603.45</v>
      </c>
      <c r="R192" s="192"/>
      <c r="S192" s="192">
        <v>291297.52</v>
      </c>
      <c r="T192" s="192">
        <v>8843.4699999999993</v>
      </c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3"/>
      <c r="AJ192" s="193"/>
      <c r="AK192" s="193"/>
      <c r="AL192" s="193"/>
      <c r="AM192" s="193"/>
    </row>
    <row r="193" spans="1:39" ht="18" customHeight="1" thickBot="1" x14ac:dyDescent="0.3">
      <c r="A193" s="148" t="s">
        <v>371</v>
      </c>
      <c r="B193" s="286" t="s">
        <v>593</v>
      </c>
      <c r="C193" s="295">
        <v>0</v>
      </c>
      <c r="D193" s="287"/>
      <c r="E193" s="186">
        <f>C113+C127+C129+C130+C174+C180+C183+C184+C185</f>
        <v>1404597</v>
      </c>
      <c r="F193" s="186">
        <f t="shared" si="7"/>
        <v>1367440</v>
      </c>
      <c r="G193" s="186">
        <f t="shared" si="8"/>
        <v>37157</v>
      </c>
      <c r="H193" s="189"/>
      <c r="I193" s="192"/>
      <c r="J193" s="192"/>
      <c r="K193" s="192"/>
      <c r="L193" s="192"/>
      <c r="M193" s="192">
        <v>1806</v>
      </c>
      <c r="N193" s="192">
        <v>97882</v>
      </c>
      <c r="O193" s="189">
        <v>95548</v>
      </c>
      <c r="P193" s="192">
        <v>103048</v>
      </c>
      <c r="Q193" s="192">
        <v>32346</v>
      </c>
      <c r="R193" s="192">
        <v>37191</v>
      </c>
      <c r="S193" s="192">
        <v>69029</v>
      </c>
      <c r="T193" s="192">
        <v>287199</v>
      </c>
      <c r="U193" s="192">
        <v>77681</v>
      </c>
      <c r="V193" s="192">
        <v>565710</v>
      </c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3"/>
      <c r="AJ193" s="193"/>
      <c r="AK193" s="193"/>
      <c r="AL193" s="193"/>
      <c r="AM193" s="193"/>
    </row>
    <row r="194" spans="1:39" ht="18" customHeight="1" thickBot="1" x14ac:dyDescent="0.3">
      <c r="A194" s="148" t="s">
        <v>372</v>
      </c>
      <c r="B194" s="286" t="s">
        <v>376</v>
      </c>
      <c r="C194" s="296">
        <v>0</v>
      </c>
      <c r="D194" s="287"/>
      <c r="E194" s="186">
        <f>C114+C115+C116+C142+C164+C165+C171+C172</f>
        <v>403838</v>
      </c>
      <c r="F194" s="186">
        <f t="shared" si="7"/>
        <v>365219.91000000003</v>
      </c>
      <c r="G194" s="186">
        <f t="shared" si="8"/>
        <v>38618.089999999967</v>
      </c>
      <c r="H194" s="189"/>
      <c r="I194" s="192"/>
      <c r="J194" s="192"/>
      <c r="K194" s="192"/>
      <c r="L194" s="192"/>
      <c r="M194" s="192"/>
      <c r="N194" s="192"/>
      <c r="O194" s="189"/>
      <c r="P194" s="192">
        <v>46517.59</v>
      </c>
      <c r="Q194" s="192">
        <v>129266.69</v>
      </c>
      <c r="R194" s="192">
        <v>35030.050000000003</v>
      </c>
      <c r="S194" s="192">
        <v>4851.4799999999996</v>
      </c>
      <c r="T194" s="192">
        <v>149554.1</v>
      </c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3"/>
      <c r="AJ194" s="193"/>
      <c r="AK194" s="193"/>
      <c r="AL194" s="193"/>
      <c r="AM194" s="193"/>
    </row>
    <row r="195" spans="1:39" s="146" customFormat="1" ht="18" customHeight="1" thickBot="1" x14ac:dyDescent="0.3">
      <c r="A195" s="149"/>
      <c r="B195" s="145"/>
      <c r="C195" s="290"/>
      <c r="D195" s="180"/>
      <c r="E195" s="187"/>
      <c r="F195" s="187"/>
      <c r="G195" s="187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90"/>
      <c r="AJ195" s="190"/>
      <c r="AK195" s="190"/>
      <c r="AL195" s="190"/>
      <c r="AM195" s="190"/>
    </row>
    <row r="196" spans="1:39" s="47" customFormat="1" ht="18" customHeight="1" thickBot="1" x14ac:dyDescent="0.3">
      <c r="A196" s="147" t="s">
        <v>575</v>
      </c>
      <c r="B196" s="45"/>
      <c r="C196" s="188">
        <f>SUM(C12:C194)</f>
        <v>147768848</v>
      </c>
      <c r="D196" s="181"/>
      <c r="E196" s="188">
        <f>SUM(E12:E194)</f>
        <v>147768848</v>
      </c>
      <c r="F196" s="188">
        <f>SUM(F12:F194)</f>
        <v>114647489.50999998</v>
      </c>
      <c r="G196" s="188">
        <f>SUM(G12:G194)</f>
        <v>33121358.490000002</v>
      </c>
      <c r="H196" s="188">
        <f t="shared" ref="H196:AM196" si="9">SUM(H12:H194)</f>
        <v>0</v>
      </c>
      <c r="I196" s="188">
        <f t="shared" si="9"/>
        <v>0</v>
      </c>
      <c r="J196" s="188">
        <f t="shared" si="9"/>
        <v>0</v>
      </c>
      <c r="K196" s="188">
        <f t="shared" si="9"/>
        <v>347292.43000000005</v>
      </c>
      <c r="L196" s="188">
        <f t="shared" si="9"/>
        <v>2261068.9000000004</v>
      </c>
      <c r="M196" s="188">
        <f t="shared" si="9"/>
        <v>5780639.9700000007</v>
      </c>
      <c r="N196" s="188">
        <f t="shared" si="9"/>
        <v>10020137.460000005</v>
      </c>
      <c r="O196" s="188">
        <f t="shared" si="9"/>
        <v>9705589.049999997</v>
      </c>
      <c r="P196" s="188">
        <f t="shared" si="9"/>
        <v>8760790.1399999987</v>
      </c>
      <c r="Q196" s="188">
        <f t="shared" si="9"/>
        <v>17330460.140000001</v>
      </c>
      <c r="R196" s="188">
        <f t="shared" si="9"/>
        <v>12102081.410000002</v>
      </c>
      <c r="S196" s="188">
        <f>SUM(S12:S194)</f>
        <v>25019289.510000002</v>
      </c>
      <c r="T196" s="188">
        <f t="shared" si="9"/>
        <v>8088902.1099999994</v>
      </c>
      <c r="U196" s="188">
        <f t="shared" si="9"/>
        <v>4207071.7699999996</v>
      </c>
      <c r="V196" s="188">
        <f t="shared" si="9"/>
        <v>11024166.620000001</v>
      </c>
      <c r="W196" s="188">
        <f t="shared" si="9"/>
        <v>0</v>
      </c>
      <c r="X196" s="188">
        <f t="shared" si="9"/>
        <v>0</v>
      </c>
      <c r="Y196" s="188">
        <f t="shared" si="9"/>
        <v>0</v>
      </c>
      <c r="Z196" s="188">
        <f t="shared" si="9"/>
        <v>0</v>
      </c>
      <c r="AA196" s="188">
        <f t="shared" si="9"/>
        <v>0</v>
      </c>
      <c r="AB196" s="188">
        <f t="shared" si="9"/>
        <v>0</v>
      </c>
      <c r="AC196" s="188">
        <f t="shared" si="9"/>
        <v>0</v>
      </c>
      <c r="AD196" s="188">
        <f t="shared" si="9"/>
        <v>0</v>
      </c>
      <c r="AE196" s="188">
        <f t="shared" si="9"/>
        <v>0</v>
      </c>
      <c r="AF196" s="188">
        <f t="shared" si="9"/>
        <v>0</v>
      </c>
      <c r="AG196" s="188">
        <f t="shared" si="9"/>
        <v>0</v>
      </c>
      <c r="AH196" s="188">
        <f t="shared" si="9"/>
        <v>0</v>
      </c>
      <c r="AI196" s="188">
        <f t="shared" si="9"/>
        <v>0</v>
      </c>
      <c r="AJ196" s="188">
        <f t="shared" si="9"/>
        <v>0</v>
      </c>
      <c r="AK196" s="188">
        <f t="shared" si="9"/>
        <v>0</v>
      </c>
      <c r="AL196" s="188">
        <f t="shared" si="9"/>
        <v>0</v>
      </c>
      <c r="AM196" s="188">
        <f t="shared" si="9"/>
        <v>0</v>
      </c>
    </row>
    <row r="197" spans="1:39" ht="18.75" x14ac:dyDescent="0.3">
      <c r="A197" s="111"/>
      <c r="B197" s="36"/>
      <c r="C197" s="71"/>
      <c r="D197" s="108"/>
      <c r="E197" s="36"/>
      <c r="F197" s="36"/>
      <c r="G197" s="36"/>
      <c r="L197" s="137"/>
      <c r="M197" s="73"/>
      <c r="O197" s="93"/>
    </row>
    <row r="198" spans="1:39" ht="18.75" x14ac:dyDescent="0.3">
      <c r="C198" s="71"/>
      <c r="D198" s="108"/>
      <c r="E198" s="36"/>
      <c r="F198" s="36"/>
      <c r="G198" s="50"/>
      <c r="J198" s="73"/>
      <c r="K198" s="73"/>
      <c r="L198" s="73"/>
      <c r="M198" s="73"/>
      <c r="N198" s="73"/>
      <c r="O198" s="73"/>
      <c r="P198" s="73"/>
      <c r="R198" s="73"/>
      <c r="S198" s="73"/>
      <c r="T198" s="73"/>
      <c r="V198" s="73"/>
    </row>
    <row r="199" spans="1:39" ht="18.75" x14ac:dyDescent="0.3">
      <c r="C199" s="72"/>
      <c r="D199" s="108"/>
      <c r="G199" s="229"/>
      <c r="M199" s="137"/>
      <c r="Q199" s="244"/>
      <c r="R199" s="73"/>
      <c r="U199" s="73"/>
    </row>
    <row r="200" spans="1:39" x14ac:dyDescent="0.25">
      <c r="C200" s="72"/>
      <c r="D200" s="109"/>
      <c r="G200" s="260"/>
      <c r="O200" s="73"/>
      <c r="S200" s="73"/>
      <c r="T200" s="73"/>
    </row>
    <row r="201" spans="1:39" x14ac:dyDescent="0.25">
      <c r="C201" s="72"/>
      <c r="D201" s="109"/>
      <c r="H201" s="229"/>
    </row>
    <row r="202" spans="1:39" x14ac:dyDescent="0.25">
      <c r="C202" s="72"/>
      <c r="D202" s="109"/>
      <c r="G202" s="73"/>
    </row>
    <row r="203" spans="1:39" x14ac:dyDescent="0.25">
      <c r="C203" s="72"/>
      <c r="D203" s="109"/>
    </row>
    <row r="204" spans="1:39" x14ac:dyDescent="0.25">
      <c r="C204" s="72"/>
      <c r="D204" s="109"/>
    </row>
    <row r="205" spans="1:39" x14ac:dyDescent="0.25">
      <c r="C205" s="72"/>
      <c r="D205" s="109"/>
    </row>
    <row r="206" spans="1:39" x14ac:dyDescent="0.25">
      <c r="C206" s="72"/>
      <c r="D206" s="109"/>
    </row>
    <row r="207" spans="1:39" x14ac:dyDescent="0.25">
      <c r="C207" s="72"/>
      <c r="D207" s="109"/>
    </row>
    <row r="208" spans="1:39" x14ac:dyDescent="0.25">
      <c r="C208" s="72"/>
      <c r="D208" s="109"/>
    </row>
    <row r="209" spans="3:4" x14ac:dyDescent="0.25">
      <c r="C209" s="72"/>
      <c r="D209" s="109"/>
    </row>
    <row r="210" spans="3:4" x14ac:dyDescent="0.25">
      <c r="C210" s="72"/>
      <c r="D210" s="109"/>
    </row>
    <row r="211" spans="3:4" x14ac:dyDescent="0.25">
      <c r="C211" s="72"/>
      <c r="D211" s="109"/>
    </row>
    <row r="212" spans="3:4" x14ac:dyDescent="0.25">
      <c r="C212" s="72"/>
      <c r="D212" s="109"/>
    </row>
    <row r="213" spans="3:4" x14ac:dyDescent="0.25">
      <c r="C213" s="72"/>
      <c r="D213" s="109"/>
    </row>
    <row r="214" spans="3:4" x14ac:dyDescent="0.25">
      <c r="C214" s="72"/>
      <c r="D214" s="109"/>
    </row>
    <row r="215" spans="3:4" x14ac:dyDescent="0.25">
      <c r="C215" s="72"/>
      <c r="D215" s="109"/>
    </row>
    <row r="216" spans="3:4" x14ac:dyDescent="0.25">
      <c r="C216" s="72"/>
      <c r="D216" s="109"/>
    </row>
    <row r="217" spans="3:4" x14ac:dyDescent="0.25">
      <c r="D217" s="109"/>
    </row>
    <row r="218" spans="3:4" x14ac:dyDescent="0.25">
      <c r="D218" s="109"/>
    </row>
    <row r="219" spans="3:4" x14ac:dyDescent="0.25">
      <c r="D219" s="109"/>
    </row>
    <row r="220" spans="3:4" x14ac:dyDescent="0.25">
      <c r="D220" s="109"/>
    </row>
    <row r="221" spans="3:4" x14ac:dyDescent="0.25">
      <c r="D221" s="109"/>
    </row>
    <row r="222" spans="3:4" x14ac:dyDescent="0.25">
      <c r="D222" s="109"/>
    </row>
    <row r="223" spans="3:4" x14ac:dyDescent="0.25">
      <c r="D223" s="109"/>
    </row>
    <row r="224" spans="3:4" x14ac:dyDescent="0.25">
      <c r="D224" s="109"/>
    </row>
    <row r="225" spans="4:4" x14ac:dyDescent="0.25">
      <c r="D225" s="109"/>
    </row>
  </sheetData>
  <sheetProtection algorithmName="SHA-512" hashValue="srXaosjs7O7qTjolsdkGy9dkJO7XQF02+WJriIUEtJKywSB/merFV6ZNWrlU9nkluQKS3fbjunfica+frI3gzw==" saltValue="F1NgUJI6TOrbjcEe1GRPaQ==" spinCount="100000" sheet="1" objects="1" scenarios="1"/>
  <autoFilter ref="A11:G194" xr:uid="{05F9F90F-AB8B-49E7-97A9-20454BCB3068}"/>
  <pageMargins left="0.1" right="0.1" top="0.1" bottom="0.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66CCFF"/>
  </sheetPr>
  <dimension ref="A1:AM24"/>
  <sheetViews>
    <sheetView workbookViewId="0">
      <pane xSplit="7" ySplit="11" topLeftCell="U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W15" sqref="W15"/>
    </sheetView>
  </sheetViews>
  <sheetFormatPr defaultRowHeight="15" x14ac:dyDescent="0.25"/>
  <cols>
    <col min="1" max="1" width="9.140625" style="6" customWidth="1"/>
    <col min="2" max="2" width="36.7109375" style="6" customWidth="1"/>
    <col min="3" max="3" width="20.85546875" style="6" customWidth="1"/>
    <col min="4" max="4" width="16.42578125" style="133" customWidth="1"/>
    <col min="5" max="5" width="16.7109375" style="133" customWidth="1"/>
    <col min="6" max="6" width="18.85546875" style="6" customWidth="1"/>
    <col min="7" max="7" width="17" style="6" customWidth="1"/>
    <col min="8" max="34" width="15.7109375" customWidth="1"/>
    <col min="35" max="39" width="15" customWidth="1"/>
  </cols>
  <sheetData>
    <row r="1" spans="1:39" ht="21" x14ac:dyDescent="0.35">
      <c r="A1" s="10" t="s">
        <v>0</v>
      </c>
      <c r="B1" s="11"/>
      <c r="C1" s="12" t="s">
        <v>663</v>
      </c>
      <c r="D1" s="120"/>
      <c r="E1" s="120"/>
      <c r="F1" s="10"/>
      <c r="G1" s="13"/>
      <c r="H1" s="14"/>
      <c r="I1" s="14"/>
      <c r="J1" s="12" t="str">
        <f>C1</f>
        <v>Title I-D Delinquent (Revised Final 11/18/21)</v>
      </c>
      <c r="K1" s="12"/>
      <c r="L1" s="10"/>
      <c r="M1" s="10"/>
      <c r="N1" s="13"/>
      <c r="O1" s="13"/>
      <c r="P1" s="14"/>
      <c r="Q1" s="78" t="str">
        <f>C1</f>
        <v>Title I-D Delinquent (Revised Final 11/18/21)</v>
      </c>
      <c r="R1" s="12"/>
      <c r="S1" s="12"/>
      <c r="T1" s="10"/>
      <c r="U1" s="10"/>
      <c r="V1" s="13"/>
      <c r="W1" s="13"/>
      <c r="X1" s="78" t="str">
        <f>C1</f>
        <v>Title I-D Delinquent (Revised Final 11/18/21)</v>
      </c>
      <c r="Y1" s="14"/>
      <c r="Z1" s="12"/>
      <c r="AA1" s="12"/>
      <c r="AB1" s="10"/>
      <c r="AC1" s="10"/>
      <c r="AD1" s="13"/>
      <c r="AE1" s="78" t="str">
        <f>C1</f>
        <v>Title I-D Delinquent (Revised Final 11/18/21)</v>
      </c>
      <c r="AF1" s="14"/>
      <c r="AG1" s="14"/>
      <c r="AH1" s="12"/>
      <c r="AI1" s="120"/>
      <c r="AJ1" s="120"/>
      <c r="AK1" s="120"/>
      <c r="AL1" s="120"/>
      <c r="AM1" s="120"/>
    </row>
    <row r="2" spans="1:39" ht="15.75" x14ac:dyDescent="0.25">
      <c r="A2" s="15" t="s">
        <v>1</v>
      </c>
      <c r="B2" s="11"/>
      <c r="C2" s="16" t="s">
        <v>363</v>
      </c>
      <c r="D2" s="82"/>
      <c r="E2" s="82"/>
      <c r="F2" s="15"/>
      <c r="G2" s="17"/>
      <c r="H2" s="14"/>
      <c r="I2" s="14"/>
      <c r="J2" s="15" t="str">
        <f>"FY"&amp;C4</f>
        <v>FY2021-2022</v>
      </c>
      <c r="K2" s="15"/>
      <c r="L2" s="18"/>
      <c r="M2" s="18"/>
      <c r="N2" s="17"/>
      <c r="O2" s="17"/>
      <c r="P2" s="17"/>
      <c r="Q2" s="81" t="str">
        <f>"FY"&amp;C4</f>
        <v>FY2021-2022</v>
      </c>
      <c r="R2" s="15"/>
      <c r="S2" s="15"/>
      <c r="T2" s="18"/>
      <c r="U2" s="18"/>
      <c r="V2" s="17"/>
      <c r="W2" s="17"/>
      <c r="X2" s="81" t="str">
        <f>"FY"&amp;C4</f>
        <v>FY2021-2022</v>
      </c>
      <c r="Y2" s="17"/>
      <c r="Z2" s="15"/>
      <c r="AA2" s="15"/>
      <c r="AB2" s="18"/>
      <c r="AC2" s="18"/>
      <c r="AD2" s="17"/>
      <c r="AE2" s="81" t="str">
        <f>"FY"&amp;C4</f>
        <v>FY2021-2022</v>
      </c>
      <c r="AF2" s="17"/>
      <c r="AG2" s="17"/>
      <c r="AH2" s="15"/>
      <c r="AI2" s="81"/>
      <c r="AJ2" s="81"/>
      <c r="AK2" s="81"/>
      <c r="AL2" s="81"/>
      <c r="AM2" s="81"/>
    </row>
    <row r="3" spans="1:39" ht="15.75" x14ac:dyDescent="0.25">
      <c r="A3" s="15" t="s">
        <v>3</v>
      </c>
      <c r="B3" s="11"/>
      <c r="C3" s="18" t="s">
        <v>381</v>
      </c>
      <c r="D3" s="121"/>
      <c r="E3" s="121"/>
      <c r="F3" s="15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80"/>
      <c r="AJ3" s="80"/>
      <c r="AK3" s="80"/>
      <c r="AL3" s="80"/>
      <c r="AM3" s="80"/>
    </row>
    <row r="4" spans="1:39" ht="15.75" x14ac:dyDescent="0.25">
      <c r="A4" s="15" t="s">
        <v>2</v>
      </c>
      <c r="B4" s="11"/>
      <c r="C4" s="18" t="str">
        <f>'ESSA Title I-A Formula'!$C$4</f>
        <v>2021-2022</v>
      </c>
      <c r="D4" s="121"/>
      <c r="E4" s="121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80"/>
      <c r="AJ4" s="80"/>
      <c r="AK4" s="80"/>
      <c r="AL4" s="80"/>
      <c r="AM4" s="80"/>
    </row>
    <row r="5" spans="1:39" ht="15.75" x14ac:dyDescent="0.25">
      <c r="A5" s="15" t="s">
        <v>392</v>
      </c>
      <c r="B5" s="11"/>
      <c r="C5" s="67" t="s">
        <v>613</v>
      </c>
      <c r="D5" s="67"/>
      <c r="E5" s="67"/>
      <c r="F5" s="15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86"/>
      <c r="AJ5" s="86"/>
      <c r="AK5" s="86"/>
      <c r="AL5" s="86"/>
      <c r="AM5" s="86"/>
    </row>
    <row r="6" spans="1:39" ht="15.75" x14ac:dyDescent="0.25">
      <c r="A6" s="15" t="s">
        <v>4</v>
      </c>
      <c r="B6" s="11"/>
      <c r="C6" s="67" t="s">
        <v>364</v>
      </c>
      <c r="D6" s="67"/>
      <c r="E6" s="67"/>
      <c r="F6" s="15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86"/>
      <c r="AJ6" s="86"/>
      <c r="AK6" s="86"/>
      <c r="AL6" s="86"/>
      <c r="AM6" s="86"/>
    </row>
    <row r="7" spans="1:39" s="133" customFormat="1" ht="15.75" x14ac:dyDescent="0.25">
      <c r="A7" s="81"/>
      <c r="B7" s="77"/>
      <c r="C7" s="67" t="s">
        <v>617</v>
      </c>
      <c r="D7" s="67"/>
      <c r="E7" s="67"/>
      <c r="F7" s="81"/>
      <c r="G7" s="85"/>
      <c r="H7" s="85"/>
      <c r="I7" s="85"/>
      <c r="J7" s="8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1:39" ht="15.75" x14ac:dyDescent="0.25">
      <c r="A8" s="15" t="s">
        <v>378</v>
      </c>
      <c r="B8" s="11"/>
      <c r="C8" s="81" t="s">
        <v>580</v>
      </c>
      <c r="D8" s="81"/>
      <c r="E8" s="81"/>
      <c r="F8" s="1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86"/>
      <c r="AJ8" s="86"/>
      <c r="AK8" s="86"/>
      <c r="AL8" s="86"/>
      <c r="AM8" s="86"/>
    </row>
    <row r="9" spans="1:39" ht="15.75" x14ac:dyDescent="0.25">
      <c r="A9" s="15" t="s">
        <v>379</v>
      </c>
      <c r="B9" s="11"/>
      <c r="C9" s="15" t="s">
        <v>380</v>
      </c>
      <c r="D9" s="81"/>
      <c r="E9" s="81"/>
      <c r="F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86"/>
      <c r="AJ9" s="86"/>
      <c r="AK9" s="86"/>
      <c r="AL9" s="86"/>
      <c r="AM9" s="86"/>
    </row>
    <row r="10" spans="1:39" ht="16.5" thickBot="1" x14ac:dyDescent="0.3">
      <c r="A10" s="15" t="s">
        <v>393</v>
      </c>
      <c r="B10" s="11"/>
      <c r="C10" s="81" t="s">
        <v>642</v>
      </c>
      <c r="D10" s="81"/>
      <c r="E10" s="81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86"/>
      <c r="AJ10" s="86"/>
      <c r="AK10" s="86"/>
      <c r="AL10" s="86"/>
      <c r="AM10" s="86"/>
    </row>
    <row r="11" spans="1:39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612</v>
      </c>
      <c r="E11" s="41" t="s">
        <v>607</v>
      </c>
      <c r="F11" s="42" t="s">
        <v>368</v>
      </c>
      <c r="G11" s="49" t="s">
        <v>369</v>
      </c>
      <c r="H11" s="100" t="s">
        <v>645</v>
      </c>
      <c r="I11" s="100" t="s">
        <v>614</v>
      </c>
      <c r="J11" s="100" t="s">
        <v>615</v>
      </c>
      <c r="K11" s="100" t="s">
        <v>616</v>
      </c>
      <c r="L11" s="100" t="s">
        <v>646</v>
      </c>
      <c r="M11" s="100" t="s">
        <v>618</v>
      </c>
      <c r="N11" s="100" t="s">
        <v>625</v>
      </c>
      <c r="O11" s="100" t="s">
        <v>626</v>
      </c>
      <c r="P11" s="100" t="s">
        <v>627</v>
      </c>
      <c r="Q11" s="101" t="s">
        <v>628</v>
      </c>
      <c r="R11" s="100" t="s">
        <v>629</v>
      </c>
      <c r="S11" s="100" t="s">
        <v>630</v>
      </c>
      <c r="T11" s="100" t="s">
        <v>631</v>
      </c>
      <c r="U11" s="100" t="s">
        <v>632</v>
      </c>
      <c r="V11" s="100" t="s">
        <v>633</v>
      </c>
      <c r="W11" s="100" t="s">
        <v>634</v>
      </c>
      <c r="X11" s="100" t="s">
        <v>635</v>
      </c>
      <c r="Y11" s="100" t="s">
        <v>636</v>
      </c>
      <c r="Z11" s="100" t="s">
        <v>647</v>
      </c>
      <c r="AA11" s="100" t="s">
        <v>648</v>
      </c>
      <c r="AB11" s="100" t="s">
        <v>649</v>
      </c>
      <c r="AC11" s="100" t="s">
        <v>650</v>
      </c>
      <c r="AD11" s="100" t="s">
        <v>651</v>
      </c>
      <c r="AE11" s="100" t="s">
        <v>652</v>
      </c>
      <c r="AF11" s="100" t="s">
        <v>653</v>
      </c>
      <c r="AG11" s="100" t="s">
        <v>654</v>
      </c>
      <c r="AH11" s="100" t="s">
        <v>655</v>
      </c>
      <c r="AI11" s="100" t="s">
        <v>656</v>
      </c>
      <c r="AJ11" s="100" t="s">
        <v>657</v>
      </c>
      <c r="AK11" s="100" t="s">
        <v>658</v>
      </c>
      <c r="AL11" s="100" t="s">
        <v>610</v>
      </c>
      <c r="AM11" s="100" t="s">
        <v>611</v>
      </c>
    </row>
    <row r="12" spans="1:39" ht="18" customHeight="1" thickBot="1" x14ac:dyDescent="0.3">
      <c r="A12" s="138" t="s">
        <v>45</v>
      </c>
      <c r="B12" s="115" t="s">
        <v>446</v>
      </c>
      <c r="C12" s="205">
        <v>324682</v>
      </c>
      <c r="D12" s="95"/>
      <c r="E12" s="194">
        <f t="shared" ref="E12:E19" si="0">C12</f>
        <v>324682</v>
      </c>
      <c r="F12" s="195">
        <f t="shared" ref="F12:F19" si="1">SUM(H12:AK12)</f>
        <v>131728.62</v>
      </c>
      <c r="G12" s="196">
        <f t="shared" ref="G12:G19" si="2">E12-(F12+AL12+AM12)</f>
        <v>192953.38</v>
      </c>
      <c r="H12" s="197"/>
      <c r="I12" s="197"/>
      <c r="J12" s="197"/>
      <c r="K12" s="197"/>
      <c r="L12" s="198"/>
      <c r="M12" s="198"/>
      <c r="N12" s="198"/>
      <c r="O12" s="198"/>
      <c r="P12" s="198"/>
      <c r="Q12" s="198">
        <f>59885.97+13749.18</f>
        <v>73635.149999999994</v>
      </c>
      <c r="R12" s="198"/>
      <c r="S12" s="198">
        <f>14376.55+14144.93+15156.21</f>
        <v>43677.69</v>
      </c>
      <c r="T12" s="198"/>
      <c r="U12" s="198"/>
      <c r="V12" s="198">
        <v>14415.78</v>
      </c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199"/>
      <c r="AK12" s="199"/>
      <c r="AL12" s="199"/>
      <c r="AM12" s="199"/>
    </row>
    <row r="13" spans="1:39" ht="18" customHeight="1" thickBot="1" x14ac:dyDescent="0.3">
      <c r="A13" s="138" t="s">
        <v>58</v>
      </c>
      <c r="B13" s="115" t="s">
        <v>624</v>
      </c>
      <c r="C13" s="205">
        <v>80334</v>
      </c>
      <c r="D13" s="95"/>
      <c r="E13" s="194">
        <f t="shared" si="0"/>
        <v>80334</v>
      </c>
      <c r="F13" s="195">
        <f t="shared" si="1"/>
        <v>44416.42</v>
      </c>
      <c r="G13" s="196">
        <f>E13-(F13+AL13+AM13)</f>
        <v>35917.58</v>
      </c>
      <c r="H13" s="197"/>
      <c r="I13" s="197"/>
      <c r="J13" s="197"/>
      <c r="K13" s="197"/>
      <c r="L13" s="198"/>
      <c r="M13" s="198"/>
      <c r="N13" s="198">
        <v>3803.29</v>
      </c>
      <c r="O13" s="198">
        <v>8996.25</v>
      </c>
      <c r="P13" s="198"/>
      <c r="Q13" s="198">
        <v>5777.45</v>
      </c>
      <c r="R13" s="198">
        <v>8708.92</v>
      </c>
      <c r="S13" s="198"/>
      <c r="T13" s="198"/>
      <c r="U13" s="198"/>
      <c r="V13" s="198">
        <v>17130.509999999998</v>
      </c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199"/>
      <c r="AK13" s="199"/>
      <c r="AL13" s="199"/>
      <c r="AM13" s="199"/>
    </row>
    <row r="14" spans="1:39" s="133" customFormat="1" ht="18" customHeight="1" thickBot="1" x14ac:dyDescent="0.3">
      <c r="A14" s="138" t="s">
        <v>59</v>
      </c>
      <c r="B14" s="135" t="s">
        <v>237</v>
      </c>
      <c r="C14" s="205">
        <v>113807</v>
      </c>
      <c r="D14" s="275"/>
      <c r="E14" s="194">
        <f>C14</f>
        <v>113807</v>
      </c>
      <c r="F14" s="195">
        <f t="shared" si="1"/>
        <v>86023.44</v>
      </c>
      <c r="G14" s="196">
        <f>E14-(F14+AL14+AM14)</f>
        <v>27783.559999999998</v>
      </c>
      <c r="H14" s="197"/>
      <c r="I14" s="197"/>
      <c r="J14" s="197"/>
      <c r="K14" s="197"/>
      <c r="L14" s="198"/>
      <c r="M14" s="198"/>
      <c r="N14" s="198"/>
      <c r="O14" s="198"/>
      <c r="P14" s="198"/>
      <c r="Q14" s="198"/>
      <c r="R14" s="198"/>
      <c r="S14" s="198">
        <v>86023.44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9"/>
      <c r="AJ14" s="199"/>
      <c r="AK14" s="199"/>
      <c r="AL14" s="199"/>
      <c r="AM14" s="199"/>
    </row>
    <row r="15" spans="1:39" ht="18" customHeight="1" thickBot="1" x14ac:dyDescent="0.3">
      <c r="A15" s="43" t="s">
        <v>69</v>
      </c>
      <c r="B15" s="115" t="s">
        <v>594</v>
      </c>
      <c r="C15" s="205">
        <v>237656</v>
      </c>
      <c r="D15" s="95"/>
      <c r="E15" s="194">
        <f t="shared" si="0"/>
        <v>237656</v>
      </c>
      <c r="F15" s="195">
        <f t="shared" si="1"/>
        <v>85797.6</v>
      </c>
      <c r="G15" s="196">
        <f t="shared" si="2"/>
        <v>151858.4</v>
      </c>
      <c r="H15" s="197"/>
      <c r="I15" s="197"/>
      <c r="J15" s="197"/>
      <c r="K15" s="197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>
        <v>85797.6</v>
      </c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9"/>
      <c r="AJ15" s="199"/>
      <c r="AK15" s="199"/>
      <c r="AL15" s="199"/>
      <c r="AM15" s="199"/>
    </row>
    <row r="16" spans="1:39" s="133" customFormat="1" ht="18" customHeight="1" thickBot="1" x14ac:dyDescent="0.3">
      <c r="A16" s="138" t="s">
        <v>72</v>
      </c>
      <c r="B16" s="115" t="s">
        <v>463</v>
      </c>
      <c r="C16" s="205">
        <v>30126</v>
      </c>
      <c r="D16" s="95"/>
      <c r="E16" s="194">
        <f t="shared" si="0"/>
        <v>30126</v>
      </c>
      <c r="F16" s="195">
        <f t="shared" si="1"/>
        <v>0</v>
      </c>
      <c r="G16" s="196">
        <f t="shared" si="2"/>
        <v>30126</v>
      </c>
      <c r="H16" s="197"/>
      <c r="I16" s="197"/>
      <c r="J16" s="197"/>
      <c r="K16" s="197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9"/>
      <c r="AJ16" s="199"/>
      <c r="AK16" s="199"/>
      <c r="AL16" s="199"/>
      <c r="AM16" s="199"/>
    </row>
    <row r="17" spans="1:39" ht="18" customHeight="1" thickBot="1" x14ac:dyDescent="0.3">
      <c r="A17" s="43" t="s">
        <v>95</v>
      </c>
      <c r="B17" s="115" t="s">
        <v>595</v>
      </c>
      <c r="C17" s="205">
        <v>40166</v>
      </c>
      <c r="D17" s="95"/>
      <c r="E17" s="194">
        <f t="shared" si="0"/>
        <v>40166</v>
      </c>
      <c r="F17" s="195">
        <f t="shared" si="1"/>
        <v>29428.799999999999</v>
      </c>
      <c r="G17" s="196">
        <f t="shared" si="2"/>
        <v>10737.2</v>
      </c>
      <c r="H17" s="197"/>
      <c r="I17" s="197"/>
      <c r="J17" s="197"/>
      <c r="K17" s="197"/>
      <c r="L17" s="198"/>
      <c r="M17" s="198"/>
      <c r="N17" s="198"/>
      <c r="O17" s="198">
        <v>1910.1</v>
      </c>
      <c r="P17" s="198"/>
      <c r="Q17" s="198"/>
      <c r="R17" s="198">
        <v>13659.45</v>
      </c>
      <c r="S17" s="198">
        <v>9106.2999999999993</v>
      </c>
      <c r="T17" s="198"/>
      <c r="U17" s="198">
        <v>4752.95</v>
      </c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9"/>
      <c r="AJ17" s="199"/>
      <c r="AK17" s="199"/>
      <c r="AL17" s="199"/>
      <c r="AM17" s="199"/>
    </row>
    <row r="18" spans="1:39" ht="18" customHeight="1" thickBot="1" x14ac:dyDescent="0.3">
      <c r="A18" s="43" t="s">
        <v>113</v>
      </c>
      <c r="B18" s="115" t="s">
        <v>596</v>
      </c>
      <c r="C18" s="205">
        <v>20085</v>
      </c>
      <c r="D18" s="95"/>
      <c r="E18" s="194">
        <f t="shared" si="0"/>
        <v>20085</v>
      </c>
      <c r="F18" s="195">
        <f t="shared" si="1"/>
        <v>14843.45</v>
      </c>
      <c r="G18" s="196">
        <f t="shared" si="2"/>
        <v>5241.5499999999993</v>
      </c>
      <c r="H18" s="197"/>
      <c r="I18" s="197"/>
      <c r="J18" s="197"/>
      <c r="K18" s="197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>
        <v>14843.45</v>
      </c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9"/>
      <c r="AJ18" s="199"/>
      <c r="AK18" s="199"/>
      <c r="AL18" s="199"/>
      <c r="AM18" s="199"/>
    </row>
    <row r="19" spans="1:39" ht="18" customHeight="1" thickBot="1" x14ac:dyDescent="0.3">
      <c r="A19" s="43" t="s">
        <v>173</v>
      </c>
      <c r="B19" s="115" t="s">
        <v>349</v>
      </c>
      <c r="C19" s="205">
        <v>30126</v>
      </c>
      <c r="D19" s="95"/>
      <c r="E19" s="194">
        <f t="shared" si="0"/>
        <v>30126</v>
      </c>
      <c r="F19" s="195">
        <f t="shared" si="1"/>
        <v>13914.69</v>
      </c>
      <c r="G19" s="196">
        <f t="shared" si="2"/>
        <v>16211.31</v>
      </c>
      <c r="H19" s="197"/>
      <c r="I19" s="197"/>
      <c r="J19" s="197"/>
      <c r="K19" s="197"/>
      <c r="L19" s="198"/>
      <c r="M19" s="198"/>
      <c r="N19" s="198"/>
      <c r="O19" s="198"/>
      <c r="P19" s="198"/>
      <c r="Q19" s="198">
        <v>4451.8500000000004</v>
      </c>
      <c r="R19" s="198">
        <v>3512.84</v>
      </c>
      <c r="S19" s="198">
        <v>3345</v>
      </c>
      <c r="T19" s="198">
        <v>2605</v>
      </c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9"/>
      <c r="AJ19" s="199"/>
      <c r="AK19" s="199"/>
      <c r="AL19" s="199"/>
      <c r="AM19" s="199"/>
    </row>
    <row r="20" spans="1:39" s="146" customFormat="1" ht="18" customHeight="1" thickBot="1" x14ac:dyDescent="0.3">
      <c r="A20" s="150"/>
      <c r="B20" s="151"/>
      <c r="C20" s="206"/>
      <c r="D20" s="152"/>
      <c r="E20" s="200"/>
      <c r="F20" s="200"/>
      <c r="G20" s="200"/>
      <c r="H20" s="201"/>
      <c r="I20" s="201"/>
      <c r="J20" s="201"/>
      <c r="K20" s="201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3"/>
      <c r="AJ20" s="203"/>
      <c r="AK20" s="203"/>
      <c r="AL20" s="203"/>
      <c r="AM20" s="203"/>
    </row>
    <row r="21" spans="1:39" ht="18" customHeight="1" thickBot="1" x14ac:dyDescent="0.3">
      <c r="A21" s="46" t="s">
        <v>575</v>
      </c>
      <c r="B21" s="46"/>
      <c r="C21" s="207">
        <f>SUM(C12:C19)</f>
        <v>876982</v>
      </c>
      <c r="D21" s="96"/>
      <c r="E21" s="204">
        <f t="shared" ref="E21:AM21" si="3">SUM(E12:E19)</f>
        <v>876982</v>
      </c>
      <c r="F21" s="204">
        <f t="shared" si="3"/>
        <v>406153.01999999996</v>
      </c>
      <c r="G21" s="204">
        <f t="shared" si="3"/>
        <v>470828.98000000004</v>
      </c>
      <c r="H21" s="204">
        <f t="shared" si="3"/>
        <v>0</v>
      </c>
      <c r="I21" s="204">
        <f t="shared" si="3"/>
        <v>0</v>
      </c>
      <c r="J21" s="204">
        <f t="shared" si="3"/>
        <v>0</v>
      </c>
      <c r="K21" s="204">
        <f t="shared" si="3"/>
        <v>0</v>
      </c>
      <c r="L21" s="204">
        <f t="shared" si="3"/>
        <v>0</v>
      </c>
      <c r="M21" s="204">
        <f t="shared" si="3"/>
        <v>0</v>
      </c>
      <c r="N21" s="204">
        <f t="shared" si="3"/>
        <v>3803.29</v>
      </c>
      <c r="O21" s="204">
        <f t="shared" si="3"/>
        <v>10906.35</v>
      </c>
      <c r="P21" s="204">
        <f t="shared" si="3"/>
        <v>0</v>
      </c>
      <c r="Q21" s="204">
        <f t="shared" si="3"/>
        <v>83864.45</v>
      </c>
      <c r="R21" s="204">
        <f t="shared" si="3"/>
        <v>25881.210000000003</v>
      </c>
      <c r="S21" s="204">
        <f t="shared" si="3"/>
        <v>142152.43</v>
      </c>
      <c r="T21" s="204">
        <f t="shared" si="3"/>
        <v>2605</v>
      </c>
      <c r="U21" s="204">
        <f t="shared" si="3"/>
        <v>4752.95</v>
      </c>
      <c r="V21" s="204">
        <f t="shared" si="3"/>
        <v>132187.34000000003</v>
      </c>
      <c r="W21" s="204">
        <f t="shared" si="3"/>
        <v>0</v>
      </c>
      <c r="X21" s="204">
        <f t="shared" si="3"/>
        <v>0</v>
      </c>
      <c r="Y21" s="204">
        <f t="shared" si="3"/>
        <v>0</v>
      </c>
      <c r="Z21" s="204">
        <f t="shared" si="3"/>
        <v>0</v>
      </c>
      <c r="AA21" s="204">
        <f t="shared" si="3"/>
        <v>0</v>
      </c>
      <c r="AB21" s="204">
        <f t="shared" si="3"/>
        <v>0</v>
      </c>
      <c r="AC21" s="204">
        <f t="shared" si="3"/>
        <v>0</v>
      </c>
      <c r="AD21" s="204">
        <f t="shared" si="3"/>
        <v>0</v>
      </c>
      <c r="AE21" s="204">
        <f t="shared" si="3"/>
        <v>0</v>
      </c>
      <c r="AF21" s="204">
        <f t="shared" si="3"/>
        <v>0</v>
      </c>
      <c r="AG21" s="204">
        <f t="shared" si="3"/>
        <v>0</v>
      </c>
      <c r="AH21" s="204">
        <f t="shared" si="3"/>
        <v>0</v>
      </c>
      <c r="AI21" s="204">
        <f t="shared" si="3"/>
        <v>0</v>
      </c>
      <c r="AJ21" s="204">
        <f t="shared" si="3"/>
        <v>0</v>
      </c>
      <c r="AK21" s="204">
        <f t="shared" si="3"/>
        <v>0</v>
      </c>
      <c r="AL21" s="204">
        <f t="shared" si="3"/>
        <v>0</v>
      </c>
      <c r="AM21" s="204">
        <f t="shared" si="3"/>
        <v>0</v>
      </c>
    </row>
    <row r="23" spans="1:39" x14ac:dyDescent="0.25">
      <c r="N23" s="75"/>
      <c r="O23" s="75"/>
      <c r="P23" s="75"/>
      <c r="S23" s="75"/>
    </row>
    <row r="24" spans="1:39" x14ac:dyDescent="0.25">
      <c r="V24" s="75"/>
    </row>
  </sheetData>
  <sheetProtection algorithmName="SHA-512" hashValue="IQM2+sNp36++aKajnb/+mTE21JiBf9/DkFuq2PsKM0rb1ukzASvWl6aZACXjJi3dWls1GGmi47x+FWqveXlVgA==" saltValue="oBTU+zAijShO5EaYo8YjXg==" spinCount="100000" sheet="1" objects="1" scenarios="1"/>
  <sortState xmlns:xlrd2="http://schemas.microsoft.com/office/spreadsheetml/2017/richdata2" ref="A11:AF191">
    <sortCondition ref="A1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66CCFF"/>
  </sheetPr>
  <dimension ref="A1:AM17"/>
  <sheetViews>
    <sheetView workbookViewId="0">
      <pane xSplit="7" ySplit="11" topLeftCell="U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E21" sqref="E21"/>
    </sheetView>
  </sheetViews>
  <sheetFormatPr defaultColWidth="9.140625" defaultRowHeight="15" x14ac:dyDescent="0.25"/>
  <cols>
    <col min="1" max="1" width="9.140625" style="133" customWidth="1"/>
    <col min="2" max="2" width="36.7109375" style="133" customWidth="1"/>
    <col min="3" max="4" width="17.28515625" style="133" customWidth="1"/>
    <col min="5" max="5" width="29.28515625" style="133" customWidth="1"/>
    <col min="6" max="7" width="17.28515625" style="6" customWidth="1"/>
    <col min="8" max="34" width="15.7109375" style="6" customWidth="1"/>
    <col min="35" max="39" width="17.140625" style="6" customWidth="1"/>
    <col min="40" max="16384" width="9.140625" style="6"/>
  </cols>
  <sheetData>
    <row r="1" spans="1:39" ht="21" x14ac:dyDescent="0.35">
      <c r="A1" s="76" t="s">
        <v>0</v>
      </c>
      <c r="B1" s="77"/>
      <c r="C1" s="120" t="s">
        <v>576</v>
      </c>
      <c r="D1" s="120"/>
      <c r="E1" s="120"/>
      <c r="F1" s="10"/>
      <c r="G1" s="13"/>
      <c r="H1" s="14"/>
      <c r="I1" s="14"/>
      <c r="J1" s="12" t="str">
        <f>C1</f>
        <v>Title I-D Delinquent -- State Agencies</v>
      </c>
      <c r="K1" s="12"/>
      <c r="L1" s="10"/>
      <c r="M1" s="10"/>
      <c r="N1" s="13"/>
      <c r="O1" s="13"/>
      <c r="P1" s="14"/>
      <c r="Q1" s="14"/>
      <c r="R1" s="78" t="str">
        <f>C1</f>
        <v>Title I-D Delinquent -- State Agencies</v>
      </c>
      <c r="S1" s="12"/>
      <c r="T1" s="10"/>
      <c r="U1" s="10"/>
      <c r="V1" s="13"/>
      <c r="W1" s="13"/>
      <c r="X1" s="14"/>
      <c r="Y1" s="14"/>
      <c r="Z1" s="78" t="str">
        <f>C1</f>
        <v>Title I-D Delinquent -- State Agencies</v>
      </c>
      <c r="AA1" s="12"/>
      <c r="AB1" s="10"/>
      <c r="AC1" s="10"/>
      <c r="AD1" s="13"/>
      <c r="AE1" s="13"/>
      <c r="AF1" s="78" t="str">
        <f>C1</f>
        <v>Title I-D Delinquent -- State Agencies</v>
      </c>
      <c r="AG1" s="14"/>
      <c r="AH1" s="12"/>
      <c r="AI1" s="120"/>
      <c r="AJ1" s="120"/>
      <c r="AK1" s="120"/>
      <c r="AL1" s="120"/>
      <c r="AM1" s="120"/>
    </row>
    <row r="2" spans="1:39" ht="15.75" x14ac:dyDescent="0.25">
      <c r="A2" s="81" t="s">
        <v>1</v>
      </c>
      <c r="B2" s="77"/>
      <c r="C2" s="121" t="s">
        <v>395</v>
      </c>
      <c r="D2" s="121"/>
      <c r="E2" s="121"/>
      <c r="F2" s="15"/>
      <c r="G2" s="17"/>
      <c r="H2" s="14"/>
      <c r="I2" s="14"/>
      <c r="J2" s="15" t="str">
        <f>"FY"&amp;C4</f>
        <v>FY2020-2021</v>
      </c>
      <c r="K2" s="15"/>
      <c r="L2" s="18"/>
      <c r="M2" s="18"/>
      <c r="N2" s="17"/>
      <c r="O2" s="17"/>
      <c r="P2" s="17"/>
      <c r="Q2" s="17"/>
      <c r="R2" s="81" t="str">
        <f>"FY"&amp;C4</f>
        <v>FY2020-2021</v>
      </c>
      <c r="S2" s="15"/>
      <c r="T2" s="18"/>
      <c r="U2" s="18"/>
      <c r="V2" s="17"/>
      <c r="W2" s="17"/>
      <c r="X2" s="17"/>
      <c r="Y2" s="17"/>
      <c r="Z2" s="81" t="str">
        <f>"FY"&amp;C4</f>
        <v>FY2020-2021</v>
      </c>
      <c r="AA2" s="15"/>
      <c r="AB2" s="18"/>
      <c r="AC2" s="18"/>
      <c r="AD2" s="17"/>
      <c r="AE2" s="17"/>
      <c r="AF2" s="81" t="str">
        <f>"FY"&amp;C4</f>
        <v>FY2020-2021</v>
      </c>
      <c r="AG2" s="17"/>
      <c r="AH2" s="15"/>
      <c r="AI2" s="81"/>
      <c r="AJ2" s="81"/>
      <c r="AK2" s="81"/>
      <c r="AL2" s="81"/>
      <c r="AM2" s="81"/>
    </row>
    <row r="3" spans="1:39" ht="15.75" x14ac:dyDescent="0.25">
      <c r="A3" s="81" t="s">
        <v>3</v>
      </c>
      <c r="B3" s="77"/>
      <c r="C3" s="121">
        <v>4013</v>
      </c>
      <c r="D3" s="121"/>
      <c r="E3" s="121"/>
      <c r="F3" s="15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80"/>
      <c r="AJ3" s="80"/>
      <c r="AK3" s="80"/>
      <c r="AL3" s="80"/>
      <c r="AM3" s="80"/>
    </row>
    <row r="4" spans="1:39" ht="15.75" x14ac:dyDescent="0.25">
      <c r="A4" s="81" t="s">
        <v>2</v>
      </c>
      <c r="B4" s="77"/>
      <c r="C4" s="121" t="str">
        <f>'[1]ESSA Title I-A Formula'!$C$4</f>
        <v>2020-2021</v>
      </c>
      <c r="D4" s="121"/>
      <c r="E4" s="121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80"/>
      <c r="AJ4" s="80"/>
      <c r="AK4" s="80"/>
      <c r="AL4" s="80"/>
      <c r="AM4" s="80"/>
    </row>
    <row r="5" spans="1:39" ht="15.75" x14ac:dyDescent="0.25">
      <c r="A5" s="81" t="s">
        <v>392</v>
      </c>
      <c r="B5" s="77"/>
      <c r="C5" s="67" t="s">
        <v>613</v>
      </c>
      <c r="D5" s="67"/>
      <c r="E5" s="67"/>
      <c r="F5" s="15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86"/>
      <c r="AJ5" s="86"/>
      <c r="AK5" s="86"/>
      <c r="AL5" s="86"/>
      <c r="AM5" s="86"/>
    </row>
    <row r="6" spans="1:39" ht="15.75" x14ac:dyDescent="0.25">
      <c r="A6" s="81" t="s">
        <v>4</v>
      </c>
      <c r="B6" s="77"/>
      <c r="C6" s="81" t="s">
        <v>622</v>
      </c>
      <c r="D6" s="81"/>
      <c r="E6" s="81"/>
      <c r="F6" s="15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86"/>
      <c r="AJ6" s="86"/>
      <c r="AK6" s="86"/>
      <c r="AL6" s="86"/>
      <c r="AM6" s="86"/>
    </row>
    <row r="7" spans="1:39" s="133" customFormat="1" ht="15.75" x14ac:dyDescent="0.25">
      <c r="A7" s="81"/>
      <c r="B7" s="77"/>
      <c r="C7" s="81" t="s">
        <v>623</v>
      </c>
      <c r="D7" s="81"/>
      <c r="E7" s="81"/>
      <c r="F7" s="81"/>
      <c r="G7" s="85"/>
      <c r="H7" s="85"/>
      <c r="I7" s="85"/>
      <c r="J7" s="8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1:39" ht="15.75" x14ac:dyDescent="0.25">
      <c r="A8" s="81" t="s">
        <v>378</v>
      </c>
      <c r="B8" s="77"/>
      <c r="C8" s="81" t="s">
        <v>581</v>
      </c>
      <c r="D8" s="81"/>
      <c r="E8" s="81"/>
      <c r="F8" s="1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86"/>
      <c r="AJ8" s="86"/>
      <c r="AK8" s="86"/>
      <c r="AL8" s="86"/>
      <c r="AM8" s="86"/>
    </row>
    <row r="9" spans="1:39" ht="15.75" x14ac:dyDescent="0.25">
      <c r="A9" s="81" t="s">
        <v>379</v>
      </c>
      <c r="B9" s="77"/>
      <c r="C9" s="81" t="s">
        <v>380</v>
      </c>
      <c r="D9" s="81"/>
      <c r="E9" s="81"/>
      <c r="F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86"/>
      <c r="AJ9" s="86"/>
      <c r="AK9" s="86"/>
      <c r="AL9" s="86"/>
      <c r="AM9" s="86"/>
    </row>
    <row r="10" spans="1:39" ht="16.5" thickBot="1" x14ac:dyDescent="0.3">
      <c r="A10" s="81" t="s">
        <v>393</v>
      </c>
      <c r="B10" s="77"/>
      <c r="C10" s="81" t="s">
        <v>642</v>
      </c>
      <c r="D10" s="81"/>
      <c r="E10" s="81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86"/>
      <c r="AJ10" s="86"/>
      <c r="AK10" s="86"/>
      <c r="AL10" s="86"/>
      <c r="AM10" s="86"/>
    </row>
    <row r="11" spans="1:39" ht="30.75" thickBot="1" x14ac:dyDescent="0.3">
      <c r="A11" s="39" t="s">
        <v>365</v>
      </c>
      <c r="B11" s="87" t="s">
        <v>366</v>
      </c>
      <c r="C11" s="87" t="s">
        <v>367</v>
      </c>
      <c r="D11" s="107" t="s">
        <v>608</v>
      </c>
      <c r="E11" s="41" t="s">
        <v>607</v>
      </c>
      <c r="F11" s="40" t="s">
        <v>368</v>
      </c>
      <c r="G11" s="38" t="s">
        <v>369</v>
      </c>
      <c r="H11" s="100" t="s">
        <v>645</v>
      </c>
      <c r="I11" s="100" t="s">
        <v>614</v>
      </c>
      <c r="J11" s="100" t="s">
        <v>615</v>
      </c>
      <c r="K11" s="100" t="s">
        <v>616</v>
      </c>
      <c r="L11" s="100" t="s">
        <v>646</v>
      </c>
      <c r="M11" s="100" t="s">
        <v>618</v>
      </c>
      <c r="N11" s="100" t="s">
        <v>625</v>
      </c>
      <c r="O11" s="100" t="s">
        <v>626</v>
      </c>
      <c r="P11" s="100" t="s">
        <v>627</v>
      </c>
      <c r="Q11" s="101" t="s">
        <v>628</v>
      </c>
      <c r="R11" s="100" t="s">
        <v>629</v>
      </c>
      <c r="S11" s="100" t="s">
        <v>630</v>
      </c>
      <c r="T11" s="100" t="s">
        <v>631</v>
      </c>
      <c r="U11" s="100" t="s">
        <v>632</v>
      </c>
      <c r="V11" s="100" t="s">
        <v>633</v>
      </c>
      <c r="W11" s="100" t="s">
        <v>634</v>
      </c>
      <c r="X11" s="100" t="s">
        <v>635</v>
      </c>
      <c r="Y11" s="100" t="s">
        <v>636</v>
      </c>
      <c r="Z11" s="100" t="s">
        <v>647</v>
      </c>
      <c r="AA11" s="100" t="s">
        <v>648</v>
      </c>
      <c r="AB11" s="100" t="s">
        <v>649</v>
      </c>
      <c r="AC11" s="100" t="s">
        <v>650</v>
      </c>
      <c r="AD11" s="100" t="s">
        <v>651</v>
      </c>
      <c r="AE11" s="100" t="s">
        <v>652</v>
      </c>
      <c r="AF11" s="100" t="s">
        <v>653</v>
      </c>
      <c r="AG11" s="100" t="s">
        <v>654</v>
      </c>
      <c r="AH11" s="100" t="s">
        <v>655</v>
      </c>
      <c r="AI11" s="100" t="s">
        <v>656</v>
      </c>
      <c r="AJ11" s="100" t="s">
        <v>657</v>
      </c>
      <c r="AK11" s="100" t="s">
        <v>658</v>
      </c>
      <c r="AL11" s="100" t="s">
        <v>610</v>
      </c>
      <c r="AM11" s="100" t="s">
        <v>611</v>
      </c>
    </row>
    <row r="12" spans="1:39" ht="16.5" thickBot="1" x14ac:dyDescent="0.3">
      <c r="A12" s="43" t="s">
        <v>597</v>
      </c>
      <c r="B12" s="44" t="s">
        <v>598</v>
      </c>
      <c r="C12" s="205">
        <v>578303</v>
      </c>
      <c r="D12" s="95"/>
      <c r="E12" s="194">
        <f>C12</f>
        <v>578303</v>
      </c>
      <c r="F12" s="195">
        <f>SUM(H12:AH12)</f>
        <v>203717.12</v>
      </c>
      <c r="G12" s="196">
        <f>E12-F12</f>
        <v>374585.88</v>
      </c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>
        <v>203717.12</v>
      </c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199"/>
      <c r="AK12" s="199"/>
      <c r="AL12" s="199"/>
      <c r="AM12" s="199"/>
    </row>
    <row r="13" spans="1:39" s="146" customFormat="1" ht="16.5" thickBot="1" x14ac:dyDescent="0.3">
      <c r="A13" s="153"/>
      <c r="B13" s="154"/>
      <c r="C13" s="209"/>
      <c r="D13" s="155"/>
      <c r="E13" s="208"/>
      <c r="F13" s="208"/>
      <c r="G13" s="208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3"/>
      <c r="AJ13" s="203"/>
      <c r="AK13" s="203"/>
      <c r="AL13" s="203"/>
      <c r="AM13" s="203"/>
    </row>
    <row r="14" spans="1:39" ht="16.5" thickBot="1" x14ac:dyDescent="0.3">
      <c r="A14" s="46" t="s">
        <v>575</v>
      </c>
      <c r="B14" s="46"/>
      <c r="C14" s="207">
        <f>C12</f>
        <v>578303</v>
      </c>
      <c r="D14" s="96"/>
      <c r="E14" s="204">
        <f>E12</f>
        <v>578303</v>
      </c>
      <c r="F14" s="204">
        <f t="shared" ref="F14:G14" si="0">F12</f>
        <v>203717.12</v>
      </c>
      <c r="G14" s="204">
        <f t="shared" si="0"/>
        <v>374585.88</v>
      </c>
      <c r="H14" s="204">
        <f t="shared" ref="H14:AM14" si="1">SUM(H12:H12)</f>
        <v>0</v>
      </c>
      <c r="I14" s="204">
        <f t="shared" si="1"/>
        <v>0</v>
      </c>
      <c r="J14" s="204">
        <f t="shared" si="1"/>
        <v>0</v>
      </c>
      <c r="K14" s="204">
        <f t="shared" si="1"/>
        <v>0</v>
      </c>
      <c r="L14" s="204">
        <f t="shared" si="1"/>
        <v>0</v>
      </c>
      <c r="M14" s="204">
        <f t="shared" si="1"/>
        <v>0</v>
      </c>
      <c r="N14" s="204">
        <f t="shared" si="1"/>
        <v>0</v>
      </c>
      <c r="O14" s="204">
        <f t="shared" si="1"/>
        <v>0</v>
      </c>
      <c r="P14" s="204">
        <f t="shared" si="1"/>
        <v>0</v>
      </c>
      <c r="Q14" s="204">
        <f t="shared" si="1"/>
        <v>0</v>
      </c>
      <c r="R14" s="204">
        <f t="shared" si="1"/>
        <v>0</v>
      </c>
      <c r="S14" s="204">
        <f t="shared" si="1"/>
        <v>0</v>
      </c>
      <c r="T14" s="204">
        <f t="shared" si="1"/>
        <v>0</v>
      </c>
      <c r="U14" s="204">
        <f t="shared" si="1"/>
        <v>0</v>
      </c>
      <c r="V14" s="204">
        <f t="shared" si="1"/>
        <v>203717.12</v>
      </c>
      <c r="W14" s="204">
        <f t="shared" si="1"/>
        <v>0</v>
      </c>
      <c r="X14" s="204">
        <f t="shared" si="1"/>
        <v>0</v>
      </c>
      <c r="Y14" s="204">
        <f t="shared" si="1"/>
        <v>0</v>
      </c>
      <c r="Z14" s="204">
        <f t="shared" si="1"/>
        <v>0</v>
      </c>
      <c r="AA14" s="204">
        <f t="shared" si="1"/>
        <v>0</v>
      </c>
      <c r="AB14" s="204">
        <f t="shared" si="1"/>
        <v>0</v>
      </c>
      <c r="AC14" s="204">
        <f t="shared" si="1"/>
        <v>0</v>
      </c>
      <c r="AD14" s="204">
        <f t="shared" si="1"/>
        <v>0</v>
      </c>
      <c r="AE14" s="204">
        <f t="shared" si="1"/>
        <v>0</v>
      </c>
      <c r="AF14" s="204">
        <f t="shared" si="1"/>
        <v>0</v>
      </c>
      <c r="AG14" s="204">
        <f t="shared" si="1"/>
        <v>0</v>
      </c>
      <c r="AH14" s="204">
        <f t="shared" si="1"/>
        <v>0</v>
      </c>
      <c r="AI14" s="204">
        <f t="shared" si="1"/>
        <v>0</v>
      </c>
      <c r="AJ14" s="204">
        <f t="shared" si="1"/>
        <v>0</v>
      </c>
      <c r="AK14" s="204">
        <f t="shared" si="1"/>
        <v>0</v>
      </c>
      <c r="AL14" s="204">
        <f t="shared" si="1"/>
        <v>0</v>
      </c>
      <c r="AM14" s="204">
        <f t="shared" si="1"/>
        <v>0</v>
      </c>
    </row>
    <row r="17" spans="18:18" x14ac:dyDescent="0.25">
      <c r="R17" s="75"/>
    </row>
  </sheetData>
  <sheetProtection algorithmName="SHA-512" hashValue="nIXbUJWH+MTYj2ereCV4CMof3d4SDJc8W79D7yp/OeM+ULI78hB3zGO/sAnuRuCfZkjN8xN8d8uLLxIP1tNbFA==" saltValue="/hF8OTUAv9b8OaQcdq7eCg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66CCFF"/>
    <pageSetUpPr fitToPage="1"/>
  </sheetPr>
  <dimension ref="A1:AP225"/>
  <sheetViews>
    <sheetView zoomScaleNormal="100" workbookViewId="0">
      <pane xSplit="7" ySplit="11" topLeftCell="U14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V22" sqref="V22"/>
    </sheetView>
  </sheetViews>
  <sheetFormatPr defaultColWidth="9.140625" defaultRowHeight="15" x14ac:dyDescent="0.25"/>
  <cols>
    <col min="1" max="1" width="8.28515625" style="116" customWidth="1"/>
    <col min="2" max="2" width="39.28515625" style="116" bestFit="1" customWidth="1"/>
    <col min="3" max="3" width="16.5703125" style="133" customWidth="1"/>
    <col min="4" max="4" width="17.5703125" style="132" customWidth="1"/>
    <col min="5" max="5" width="24.7109375" style="133" customWidth="1"/>
    <col min="6" max="7" width="17" style="133" customWidth="1"/>
    <col min="8" max="11" width="15.7109375" style="133" customWidth="1"/>
    <col min="12" max="12" width="17.5703125" style="133" customWidth="1"/>
    <col min="13" max="19" width="15.7109375" style="133" customWidth="1"/>
    <col min="20" max="20" width="17.7109375" style="133" customWidth="1"/>
    <col min="21" max="37" width="15.7109375" style="133" customWidth="1"/>
    <col min="38" max="43" width="12.7109375" style="133" customWidth="1"/>
    <col min="44" max="16384" width="9.140625" style="133"/>
  </cols>
  <sheetData>
    <row r="1" spans="1:42" s="7" customFormat="1" ht="21" x14ac:dyDescent="0.35">
      <c r="A1" s="159" t="s">
        <v>0</v>
      </c>
      <c r="B1" s="117"/>
      <c r="C1" s="120" t="s">
        <v>664</v>
      </c>
      <c r="D1" s="128"/>
      <c r="E1" s="120"/>
      <c r="F1" s="76"/>
      <c r="G1" s="79"/>
      <c r="H1" s="80"/>
      <c r="I1" s="80"/>
      <c r="J1" s="120" t="str">
        <f>C1</f>
        <v>Title II-A Formula  (Revised Final 11/18/21)</v>
      </c>
      <c r="K1" s="120"/>
      <c r="L1" s="76"/>
      <c r="M1" s="76"/>
      <c r="N1" s="79"/>
      <c r="O1" s="79"/>
      <c r="P1" s="120" t="str">
        <f>C1</f>
        <v>Title II-A Formula  (Revised Final 11/18/21)</v>
      </c>
      <c r="Q1" s="80"/>
      <c r="R1" s="120"/>
      <c r="S1" s="120"/>
      <c r="T1" s="76"/>
      <c r="U1" s="76"/>
      <c r="V1" s="120" t="str">
        <f>C1</f>
        <v>Title II-A Formula  (Revised Final 11/18/21)</v>
      </c>
      <c r="W1" s="79"/>
      <c r="X1" s="80"/>
      <c r="Y1" s="80"/>
      <c r="Z1" s="120"/>
      <c r="AA1" s="120"/>
      <c r="AB1" s="120" t="str">
        <f>C1</f>
        <v>Title II-A Formula  (Revised Final 11/18/21)</v>
      </c>
      <c r="AC1" s="76"/>
      <c r="AD1" s="79"/>
      <c r="AE1" s="79"/>
      <c r="AF1" s="80"/>
      <c r="AG1" s="120" t="str">
        <f>C1</f>
        <v>Title II-A Formula  (Revised Final 11/18/21)</v>
      </c>
      <c r="AH1" s="120"/>
      <c r="AI1" s="120"/>
      <c r="AJ1" s="120"/>
      <c r="AK1" s="120"/>
      <c r="AL1" s="120"/>
      <c r="AM1" s="120"/>
      <c r="AN1" s="29"/>
      <c r="AO1" s="30"/>
      <c r="AP1" s="31"/>
    </row>
    <row r="2" spans="1:42" s="7" customFormat="1" ht="21" x14ac:dyDescent="0.35">
      <c r="A2" s="160" t="s">
        <v>1</v>
      </c>
      <c r="B2" s="117"/>
      <c r="C2" s="82">
        <v>84.367000000000004</v>
      </c>
      <c r="D2" s="131"/>
      <c r="E2" s="82"/>
      <c r="F2" s="81"/>
      <c r="G2" s="83"/>
      <c r="H2" s="80"/>
      <c r="I2" s="80"/>
      <c r="J2" s="81" t="str">
        <f>"FY"&amp;C4</f>
        <v>FY2021-2022</v>
      </c>
      <c r="K2" s="120"/>
      <c r="L2" s="121"/>
      <c r="M2" s="121"/>
      <c r="N2" s="83"/>
      <c r="O2" s="83"/>
      <c r="P2" s="81" t="str">
        <f>"FY"&amp;C4</f>
        <v>FY2021-2022</v>
      </c>
      <c r="Q2" s="83"/>
      <c r="R2" s="81"/>
      <c r="S2" s="120"/>
      <c r="T2" s="121" t="s">
        <v>382</v>
      </c>
      <c r="U2" s="121"/>
      <c r="V2" s="81" t="str">
        <f>"FY"&amp;C4</f>
        <v>FY2021-2022</v>
      </c>
      <c r="W2" s="83"/>
      <c r="X2" s="83"/>
      <c r="Y2" s="83"/>
      <c r="Z2" s="81"/>
      <c r="AA2" s="120"/>
      <c r="AB2" s="81" t="str">
        <f>"FY"&amp;C4</f>
        <v>FY2021-2022</v>
      </c>
      <c r="AC2" s="121"/>
      <c r="AD2" s="83"/>
      <c r="AE2" s="83"/>
      <c r="AF2" s="83"/>
      <c r="AG2" s="81" t="str">
        <f>"FY"&amp;C4</f>
        <v>FY2021-2022</v>
      </c>
      <c r="AH2" s="81"/>
      <c r="AI2" s="81"/>
      <c r="AJ2" s="81"/>
      <c r="AK2" s="81"/>
      <c r="AL2" s="81"/>
      <c r="AM2" s="81"/>
      <c r="AN2" s="32"/>
      <c r="AO2" s="34"/>
      <c r="AP2" s="33"/>
    </row>
    <row r="3" spans="1:42" s="7" customFormat="1" ht="15.75" x14ac:dyDescent="0.25">
      <c r="A3" s="160" t="s">
        <v>3</v>
      </c>
      <c r="B3" s="117"/>
      <c r="C3" s="121">
        <v>4367</v>
      </c>
      <c r="D3" s="129"/>
      <c r="E3" s="121"/>
      <c r="F3" s="81"/>
      <c r="G3" s="83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</row>
    <row r="4" spans="1:42" s="7" customFormat="1" ht="21" x14ac:dyDescent="0.35">
      <c r="A4" s="160" t="s">
        <v>2</v>
      </c>
      <c r="B4" s="117"/>
      <c r="C4" s="120" t="s">
        <v>640</v>
      </c>
      <c r="D4" s="129"/>
      <c r="E4" s="121"/>
      <c r="F4" s="83"/>
      <c r="G4" s="83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</row>
    <row r="5" spans="1:42" s="7" customFormat="1" ht="15.75" x14ac:dyDescent="0.25">
      <c r="A5" s="160" t="s">
        <v>392</v>
      </c>
      <c r="B5" s="117"/>
      <c r="C5" s="67" t="s">
        <v>613</v>
      </c>
      <c r="D5" s="129"/>
      <c r="E5" s="81"/>
      <c r="F5" s="81"/>
      <c r="G5" s="85"/>
      <c r="H5" s="85"/>
      <c r="I5" s="85"/>
      <c r="J5" s="85"/>
      <c r="K5" s="85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35"/>
      <c r="AO5" s="35"/>
    </row>
    <row r="6" spans="1:42" s="7" customFormat="1" ht="15.75" x14ac:dyDescent="0.25">
      <c r="A6" s="160" t="s">
        <v>4</v>
      </c>
      <c r="B6" s="117"/>
      <c r="C6" s="67" t="s">
        <v>364</v>
      </c>
      <c r="D6" s="129"/>
      <c r="E6" s="81"/>
      <c r="F6" s="81"/>
      <c r="G6" s="85"/>
      <c r="H6" s="85"/>
      <c r="I6" s="85"/>
      <c r="J6" s="85"/>
      <c r="K6" s="85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35"/>
      <c r="AO6" s="35"/>
    </row>
    <row r="7" spans="1:42" s="7" customFormat="1" ht="15.75" x14ac:dyDescent="0.25">
      <c r="A7" s="160"/>
      <c r="B7" s="117"/>
      <c r="C7" s="81" t="s">
        <v>619</v>
      </c>
      <c r="D7" s="129"/>
      <c r="E7" s="81"/>
      <c r="F7" s="81"/>
      <c r="G7" s="85"/>
      <c r="H7" s="85"/>
      <c r="I7" s="85"/>
      <c r="J7" s="8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35"/>
      <c r="AO7" s="35"/>
    </row>
    <row r="8" spans="1:42" s="7" customFormat="1" ht="15.75" x14ac:dyDescent="0.25">
      <c r="A8" s="160" t="s">
        <v>378</v>
      </c>
      <c r="B8" s="117"/>
      <c r="C8" s="81" t="s">
        <v>582</v>
      </c>
      <c r="D8" s="129"/>
      <c r="E8" s="81"/>
      <c r="F8" s="83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35"/>
      <c r="AO8" s="35"/>
    </row>
    <row r="9" spans="1:42" s="7" customFormat="1" ht="15.75" x14ac:dyDescent="0.25">
      <c r="A9" s="160" t="s">
        <v>379</v>
      </c>
      <c r="B9" s="117"/>
      <c r="C9" s="81" t="s">
        <v>380</v>
      </c>
      <c r="D9" s="129"/>
      <c r="E9" s="81"/>
      <c r="F9" s="83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35"/>
      <c r="AO9" s="35"/>
    </row>
    <row r="10" spans="1:42" s="7" customFormat="1" ht="16.5" thickBot="1" x14ac:dyDescent="0.3">
      <c r="A10" s="160" t="s">
        <v>393</v>
      </c>
      <c r="B10" s="117"/>
      <c r="C10" s="81" t="s">
        <v>642</v>
      </c>
      <c r="D10" s="129"/>
      <c r="E10" s="81"/>
      <c r="F10" s="83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35"/>
      <c r="AO10" s="35"/>
    </row>
    <row r="11" spans="1:42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612</v>
      </c>
      <c r="E11" s="41" t="s">
        <v>607</v>
      </c>
      <c r="F11" s="42" t="s">
        <v>368</v>
      </c>
      <c r="G11" s="49" t="s">
        <v>369</v>
      </c>
      <c r="H11" s="100" t="s">
        <v>645</v>
      </c>
      <c r="I11" s="100" t="s">
        <v>614</v>
      </c>
      <c r="J11" s="100" t="s">
        <v>615</v>
      </c>
      <c r="K11" s="100" t="s">
        <v>616</v>
      </c>
      <c r="L11" s="100" t="s">
        <v>646</v>
      </c>
      <c r="M11" s="100" t="s">
        <v>618</v>
      </c>
      <c r="N11" s="100" t="s">
        <v>625</v>
      </c>
      <c r="O11" s="100" t="s">
        <v>626</v>
      </c>
      <c r="P11" s="100" t="s">
        <v>627</v>
      </c>
      <c r="Q11" s="101" t="s">
        <v>628</v>
      </c>
      <c r="R11" s="100" t="s">
        <v>629</v>
      </c>
      <c r="S11" s="100" t="s">
        <v>630</v>
      </c>
      <c r="T11" s="100" t="s">
        <v>631</v>
      </c>
      <c r="U11" s="100" t="s">
        <v>632</v>
      </c>
      <c r="V11" s="100" t="s">
        <v>633</v>
      </c>
      <c r="W11" s="100" t="s">
        <v>634</v>
      </c>
      <c r="X11" s="100" t="s">
        <v>635</v>
      </c>
      <c r="Y11" s="100" t="s">
        <v>636</v>
      </c>
      <c r="Z11" s="100" t="s">
        <v>647</v>
      </c>
      <c r="AA11" s="100" t="s">
        <v>648</v>
      </c>
      <c r="AB11" s="100" t="s">
        <v>649</v>
      </c>
      <c r="AC11" s="100" t="s">
        <v>650</v>
      </c>
      <c r="AD11" s="100" t="s">
        <v>651</v>
      </c>
      <c r="AE11" s="100" t="s">
        <v>652</v>
      </c>
      <c r="AF11" s="100" t="s">
        <v>653</v>
      </c>
      <c r="AG11" s="100" t="s">
        <v>654</v>
      </c>
      <c r="AH11" s="100" t="s">
        <v>655</v>
      </c>
      <c r="AI11" s="100" t="s">
        <v>656</v>
      </c>
      <c r="AJ11" s="100" t="s">
        <v>657</v>
      </c>
      <c r="AK11" s="100" t="s">
        <v>658</v>
      </c>
      <c r="AL11" s="100" t="s">
        <v>610</v>
      </c>
      <c r="AM11" s="100" t="s">
        <v>611</v>
      </c>
    </row>
    <row r="12" spans="1:42" s="119" customFormat="1" ht="18" customHeight="1" thickBot="1" x14ac:dyDescent="0.35">
      <c r="A12" s="136" t="s">
        <v>6</v>
      </c>
      <c r="B12" s="135" t="s">
        <v>184</v>
      </c>
      <c r="C12" s="288">
        <v>191577</v>
      </c>
      <c r="D12" s="136"/>
      <c r="E12" s="186">
        <f>C12</f>
        <v>191577</v>
      </c>
      <c r="F12" s="186">
        <f>SUM(H12:AK12)</f>
        <v>175754.14</v>
      </c>
      <c r="G12" s="186">
        <f>E12-(F12+AL12+AM12)</f>
        <v>15822.859999999986</v>
      </c>
      <c r="H12" s="212"/>
      <c r="I12" s="213"/>
      <c r="J12" s="213"/>
      <c r="K12" s="213">
        <v>28386.36</v>
      </c>
      <c r="L12" s="213">
        <v>11173.43</v>
      </c>
      <c r="M12" s="213">
        <v>15823.92</v>
      </c>
      <c r="N12" s="213"/>
      <c r="O12" s="213">
        <f>16591.79+15061.68</f>
        <v>31653.47</v>
      </c>
      <c r="P12" s="213">
        <v>15822.86</v>
      </c>
      <c r="Q12" s="213">
        <v>15822.66</v>
      </c>
      <c r="R12" s="213">
        <v>16591.810000000001</v>
      </c>
      <c r="S12" s="213">
        <v>40479.629999999997</v>
      </c>
      <c r="T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4"/>
      <c r="AJ12" s="215"/>
      <c r="AK12" s="215"/>
      <c r="AL12" s="215"/>
      <c r="AM12" s="215"/>
    </row>
    <row r="13" spans="1:42" s="119" customFormat="1" ht="18" customHeight="1" thickBot="1" x14ac:dyDescent="0.35">
      <c r="A13" s="136" t="s">
        <v>7</v>
      </c>
      <c r="B13" s="135" t="s">
        <v>185</v>
      </c>
      <c r="C13" s="288">
        <v>930794</v>
      </c>
      <c r="D13" s="136"/>
      <c r="E13" s="186">
        <f t="shared" ref="E13:E76" si="0">C13</f>
        <v>930794</v>
      </c>
      <c r="F13" s="186">
        <f t="shared" ref="F13:F76" si="1">SUM(H13:AK13)</f>
        <v>644327.79</v>
      </c>
      <c r="G13" s="186">
        <f t="shared" ref="G13:G76" si="2">E13-(F13+AL13+AM13)</f>
        <v>286466.20999999996</v>
      </c>
      <c r="H13" s="212"/>
      <c r="I13" s="213"/>
      <c r="J13" s="213"/>
      <c r="K13" s="213"/>
      <c r="L13" s="213">
        <v>46700.9</v>
      </c>
      <c r="M13" s="213"/>
      <c r="N13" s="213">
        <v>71222.720000000001</v>
      </c>
      <c r="O13" s="213">
        <f>75433.8+63441.66</f>
        <v>138875.46000000002</v>
      </c>
      <c r="P13" s="213">
        <v>58184.97</v>
      </c>
      <c r="Q13" s="213">
        <v>61444.42</v>
      </c>
      <c r="R13" s="213">
        <v>64374.01</v>
      </c>
      <c r="S13" s="213">
        <f>74848.42+63944.91</f>
        <v>138793.33000000002</v>
      </c>
      <c r="T13" s="213"/>
      <c r="U13" s="213">
        <v>64731.98</v>
      </c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4"/>
      <c r="AJ13" s="215"/>
      <c r="AK13" s="215"/>
      <c r="AL13" s="215"/>
      <c r="AM13" s="215"/>
    </row>
    <row r="14" spans="1:42" s="119" customFormat="1" ht="18" customHeight="1" thickBot="1" x14ac:dyDescent="0.35">
      <c r="A14" s="136" t="s">
        <v>8</v>
      </c>
      <c r="B14" s="135" t="s">
        <v>186</v>
      </c>
      <c r="C14" s="288">
        <v>307794</v>
      </c>
      <c r="D14" s="136"/>
      <c r="E14" s="186">
        <f t="shared" si="0"/>
        <v>307794</v>
      </c>
      <c r="F14" s="186">
        <f t="shared" si="1"/>
        <v>123869.77</v>
      </c>
      <c r="G14" s="186">
        <f t="shared" si="2"/>
        <v>183924.22999999998</v>
      </c>
      <c r="H14" s="212"/>
      <c r="I14" s="213"/>
      <c r="J14" s="213"/>
      <c r="K14" s="213"/>
      <c r="L14" s="213"/>
      <c r="M14" s="213"/>
      <c r="N14" s="213"/>
      <c r="O14" s="213">
        <v>41373.39</v>
      </c>
      <c r="P14" s="213">
        <v>3838.73</v>
      </c>
      <c r="Q14" s="213">
        <v>2896.72</v>
      </c>
      <c r="R14" s="213">
        <v>12327.74</v>
      </c>
      <c r="S14" s="213"/>
      <c r="T14" s="213"/>
      <c r="U14" s="213">
        <v>63433.19</v>
      </c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4"/>
      <c r="AJ14" s="215"/>
      <c r="AK14" s="215"/>
      <c r="AL14" s="215"/>
      <c r="AM14" s="215"/>
    </row>
    <row r="15" spans="1:42" s="119" customFormat="1" ht="18" customHeight="1" thickBot="1" x14ac:dyDescent="0.35">
      <c r="A15" s="136" t="s">
        <v>9</v>
      </c>
      <c r="B15" s="135" t="s">
        <v>187</v>
      </c>
      <c r="C15" s="288">
        <v>309133</v>
      </c>
      <c r="D15" s="136"/>
      <c r="E15" s="186">
        <f t="shared" si="0"/>
        <v>309133</v>
      </c>
      <c r="F15" s="186">
        <f t="shared" si="1"/>
        <v>110057.51999999999</v>
      </c>
      <c r="G15" s="186">
        <f t="shared" si="2"/>
        <v>199075.48</v>
      </c>
      <c r="H15" s="212"/>
      <c r="I15" s="213"/>
      <c r="J15" s="213"/>
      <c r="K15" s="213"/>
      <c r="L15" s="213"/>
      <c r="M15" s="213"/>
      <c r="N15" s="213"/>
      <c r="O15" s="213">
        <v>11223.83</v>
      </c>
      <c r="P15" s="213">
        <v>14086</v>
      </c>
      <c r="Q15" s="213"/>
      <c r="R15" s="213">
        <v>21520.73</v>
      </c>
      <c r="S15" s="213"/>
      <c r="T15" s="213">
        <v>63226.96</v>
      </c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4"/>
      <c r="AJ15" s="215"/>
      <c r="AK15" s="215"/>
      <c r="AL15" s="215"/>
      <c r="AM15" s="215"/>
    </row>
    <row r="16" spans="1:42" s="119" customFormat="1" ht="18" customHeight="1" thickBot="1" x14ac:dyDescent="0.35">
      <c r="A16" s="136" t="s">
        <v>10</v>
      </c>
      <c r="B16" s="135" t="s">
        <v>188</v>
      </c>
      <c r="C16" s="288">
        <v>23943</v>
      </c>
      <c r="D16" s="136" t="s">
        <v>370</v>
      </c>
      <c r="E16" s="278">
        <v>0</v>
      </c>
      <c r="F16" s="186">
        <f t="shared" si="1"/>
        <v>0</v>
      </c>
      <c r="G16" s="186">
        <f t="shared" si="2"/>
        <v>0</v>
      </c>
      <c r="H16" s="212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4"/>
      <c r="AJ16" s="215"/>
      <c r="AK16" s="215"/>
      <c r="AL16" s="215"/>
      <c r="AM16" s="215"/>
    </row>
    <row r="17" spans="1:39" s="119" customFormat="1" ht="18" customHeight="1" thickBot="1" x14ac:dyDescent="0.35">
      <c r="A17" s="136" t="s">
        <v>11</v>
      </c>
      <c r="B17" s="135" t="s">
        <v>189</v>
      </c>
      <c r="C17" s="288">
        <v>16392</v>
      </c>
      <c r="D17" s="136" t="s">
        <v>370</v>
      </c>
      <c r="E17" s="278">
        <v>0</v>
      </c>
      <c r="F17" s="186">
        <f t="shared" si="1"/>
        <v>0</v>
      </c>
      <c r="G17" s="186">
        <f t="shared" si="2"/>
        <v>0</v>
      </c>
      <c r="H17" s="212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4"/>
      <c r="AJ17" s="215"/>
      <c r="AK17" s="215"/>
      <c r="AL17" s="215"/>
      <c r="AM17" s="215"/>
    </row>
    <row r="18" spans="1:39" s="119" customFormat="1" ht="18" customHeight="1" thickBot="1" x14ac:dyDescent="0.35">
      <c r="A18" s="136" t="s">
        <v>12</v>
      </c>
      <c r="B18" s="135" t="s">
        <v>190</v>
      </c>
      <c r="C18" s="288">
        <v>411467</v>
      </c>
      <c r="D18" s="136"/>
      <c r="E18" s="186">
        <f t="shared" si="0"/>
        <v>411467</v>
      </c>
      <c r="F18" s="186">
        <f t="shared" si="1"/>
        <v>390117.76</v>
      </c>
      <c r="G18" s="186">
        <f t="shared" si="2"/>
        <v>21349.239999999991</v>
      </c>
      <c r="H18" s="212"/>
      <c r="I18" s="213"/>
      <c r="J18" s="213"/>
      <c r="K18" s="213"/>
      <c r="L18" s="213">
        <v>83113.490000000005</v>
      </c>
      <c r="M18" s="213">
        <v>35629.980000000003</v>
      </c>
      <c r="N18" s="213">
        <v>29412.01</v>
      </c>
      <c r="O18" s="213">
        <v>31479.38</v>
      </c>
      <c r="P18" s="213">
        <v>26276.83</v>
      </c>
      <c r="Q18" s="213">
        <v>23412.13</v>
      </c>
      <c r="R18" s="213">
        <v>26712.87</v>
      </c>
      <c r="S18" s="213">
        <v>108081.18</v>
      </c>
      <c r="T18" s="213"/>
      <c r="U18" s="213"/>
      <c r="V18" s="213">
        <v>25999.89</v>
      </c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4"/>
      <c r="AJ18" s="215"/>
      <c r="AK18" s="215"/>
      <c r="AL18" s="215"/>
      <c r="AM18" s="215"/>
    </row>
    <row r="19" spans="1:39" s="119" customFormat="1" ht="18" customHeight="1" thickBot="1" x14ac:dyDescent="0.35">
      <c r="A19" s="136" t="s">
        <v>13</v>
      </c>
      <c r="B19" s="135" t="s">
        <v>191</v>
      </c>
      <c r="C19" s="288">
        <v>138204</v>
      </c>
      <c r="D19" s="136"/>
      <c r="E19" s="186">
        <f t="shared" si="0"/>
        <v>138204</v>
      </c>
      <c r="F19" s="186">
        <f t="shared" si="1"/>
        <v>69461.179999999993</v>
      </c>
      <c r="G19" s="186">
        <f t="shared" si="2"/>
        <v>68742.820000000007</v>
      </c>
      <c r="H19" s="212"/>
      <c r="I19" s="213"/>
      <c r="J19" s="213"/>
      <c r="K19" s="213"/>
      <c r="L19" s="213"/>
      <c r="M19" s="213">
        <v>2011.37</v>
      </c>
      <c r="N19" s="213">
        <v>8903.34</v>
      </c>
      <c r="O19" s="213">
        <v>9391.31</v>
      </c>
      <c r="P19" s="213">
        <v>11959.61</v>
      </c>
      <c r="Q19" s="213">
        <v>10073</v>
      </c>
      <c r="R19" s="213">
        <v>9256.6</v>
      </c>
      <c r="S19" s="213">
        <v>17865.95</v>
      </c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4"/>
      <c r="AJ19" s="215"/>
      <c r="AK19" s="215"/>
      <c r="AL19" s="215"/>
      <c r="AM19" s="215"/>
    </row>
    <row r="20" spans="1:39" s="119" customFormat="1" ht="18" customHeight="1" thickBot="1" x14ac:dyDescent="0.35">
      <c r="A20" s="136" t="s">
        <v>14</v>
      </c>
      <c r="B20" s="135" t="s">
        <v>192</v>
      </c>
      <c r="C20" s="288">
        <v>14115</v>
      </c>
      <c r="D20" s="136"/>
      <c r="E20" s="186">
        <f t="shared" si="0"/>
        <v>14115</v>
      </c>
      <c r="F20" s="186">
        <f t="shared" si="1"/>
        <v>13778</v>
      </c>
      <c r="G20" s="186">
        <f t="shared" si="2"/>
        <v>337</v>
      </c>
      <c r="H20" s="212"/>
      <c r="I20" s="213"/>
      <c r="J20" s="213"/>
      <c r="K20" s="213"/>
      <c r="L20" s="213"/>
      <c r="M20" s="213"/>
      <c r="N20" s="213"/>
      <c r="O20" s="213"/>
      <c r="P20" s="213"/>
      <c r="Q20" s="213">
        <v>10006.18</v>
      </c>
      <c r="R20" s="213"/>
      <c r="S20" s="213">
        <f>2865.74+906.08</f>
        <v>3771.8199999999997</v>
      </c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4"/>
      <c r="AJ20" s="215"/>
      <c r="AK20" s="215"/>
      <c r="AL20" s="215"/>
      <c r="AM20" s="215"/>
    </row>
    <row r="21" spans="1:39" s="119" customFormat="1" ht="18" customHeight="1" thickBot="1" x14ac:dyDescent="0.35">
      <c r="A21" s="136" t="s">
        <v>15</v>
      </c>
      <c r="B21" s="135" t="s">
        <v>193</v>
      </c>
      <c r="C21" s="288">
        <v>120762</v>
      </c>
      <c r="D21" s="136"/>
      <c r="E21" s="186">
        <f t="shared" si="0"/>
        <v>120762</v>
      </c>
      <c r="F21" s="186">
        <f t="shared" si="1"/>
        <v>117620</v>
      </c>
      <c r="G21" s="186">
        <f t="shared" si="2"/>
        <v>3142</v>
      </c>
      <c r="H21" s="212"/>
      <c r="I21" s="213"/>
      <c r="J21" s="213"/>
      <c r="K21" s="213"/>
      <c r="L21" s="213"/>
      <c r="M21" s="213">
        <v>37179.660000000003</v>
      </c>
      <c r="N21" s="213">
        <v>11901.72</v>
      </c>
      <c r="O21" s="213">
        <v>11345.03</v>
      </c>
      <c r="P21" s="213">
        <v>11345.03</v>
      </c>
      <c r="Q21" s="213">
        <v>11345.03</v>
      </c>
      <c r="R21" s="213">
        <v>11345.03</v>
      </c>
      <c r="S21" s="213">
        <v>11901.72</v>
      </c>
      <c r="T21" s="213">
        <v>11256.78</v>
      </c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4"/>
      <c r="AJ21" s="215"/>
      <c r="AK21" s="215"/>
      <c r="AL21" s="215"/>
      <c r="AM21" s="215"/>
    </row>
    <row r="22" spans="1:39" s="119" customFormat="1" ht="18" customHeight="1" thickBot="1" x14ac:dyDescent="0.35">
      <c r="A22" s="136" t="s">
        <v>16</v>
      </c>
      <c r="B22" s="135" t="s">
        <v>194</v>
      </c>
      <c r="C22" s="288">
        <v>59312</v>
      </c>
      <c r="D22" s="136"/>
      <c r="E22" s="186">
        <f t="shared" si="0"/>
        <v>59312</v>
      </c>
      <c r="F22" s="186">
        <f t="shared" si="1"/>
        <v>41240.229999999996</v>
      </c>
      <c r="G22" s="186">
        <f t="shared" si="2"/>
        <v>18071.770000000004</v>
      </c>
      <c r="H22" s="212"/>
      <c r="I22" s="213"/>
      <c r="J22" s="213"/>
      <c r="K22" s="213"/>
      <c r="L22" s="213"/>
      <c r="M22" s="213">
        <v>2384.96</v>
      </c>
      <c r="N22" s="214">
        <v>4212.8100000000004</v>
      </c>
      <c r="O22" s="213">
        <v>13655.14</v>
      </c>
      <c r="P22" s="213"/>
      <c r="Q22" s="213">
        <v>4261.5</v>
      </c>
      <c r="R22" s="213">
        <v>4187.3999999999996</v>
      </c>
      <c r="S22" s="213">
        <f>4179.99+4179.25</f>
        <v>8359.24</v>
      </c>
      <c r="T22" s="213"/>
      <c r="U22" s="213"/>
      <c r="V22" s="213">
        <v>4179.18</v>
      </c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4"/>
      <c r="AJ22" s="215"/>
      <c r="AK22" s="215"/>
      <c r="AL22" s="215"/>
      <c r="AM22" s="215"/>
    </row>
    <row r="23" spans="1:39" s="119" customFormat="1" ht="18" customHeight="1" thickBot="1" x14ac:dyDescent="0.35">
      <c r="A23" s="136" t="s">
        <v>17</v>
      </c>
      <c r="B23" s="135" t="s">
        <v>195</v>
      </c>
      <c r="C23" s="288">
        <v>1015289</v>
      </c>
      <c r="D23" s="136"/>
      <c r="E23" s="186">
        <f t="shared" si="0"/>
        <v>1015289</v>
      </c>
      <c r="F23" s="186">
        <f t="shared" si="1"/>
        <v>0</v>
      </c>
      <c r="G23" s="186">
        <f t="shared" si="2"/>
        <v>1015289</v>
      </c>
      <c r="H23" s="212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4"/>
      <c r="AJ23" s="215"/>
      <c r="AK23" s="215"/>
      <c r="AL23" s="215"/>
      <c r="AM23" s="215"/>
    </row>
    <row r="24" spans="1:39" s="119" customFormat="1" ht="18" customHeight="1" thickBot="1" x14ac:dyDescent="0.35">
      <c r="A24" s="136" t="s">
        <v>18</v>
      </c>
      <c r="B24" s="135" t="s">
        <v>196</v>
      </c>
      <c r="C24" s="288">
        <v>208460</v>
      </c>
      <c r="D24" s="136"/>
      <c r="E24" s="186">
        <f t="shared" si="0"/>
        <v>208460</v>
      </c>
      <c r="F24" s="186">
        <f t="shared" si="1"/>
        <v>69062.91</v>
      </c>
      <c r="G24" s="186">
        <f t="shared" si="2"/>
        <v>139397.09</v>
      </c>
      <c r="H24" s="212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>
        <v>16687.16</v>
      </c>
      <c r="T24" s="213">
        <v>38572.300000000003</v>
      </c>
      <c r="U24" s="213"/>
      <c r="V24" s="213">
        <f>3803.45+10000</f>
        <v>13803.45</v>
      </c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4"/>
      <c r="AJ24" s="215"/>
      <c r="AK24" s="215"/>
      <c r="AL24" s="215"/>
      <c r="AM24" s="215"/>
    </row>
    <row r="25" spans="1:39" s="119" customFormat="1" ht="18" customHeight="1" thickBot="1" x14ac:dyDescent="0.35">
      <c r="A25" s="136" t="s">
        <v>19</v>
      </c>
      <c r="B25" s="135" t="s">
        <v>197</v>
      </c>
      <c r="C25" s="288">
        <v>5009</v>
      </c>
      <c r="D25" s="136" t="s">
        <v>370</v>
      </c>
      <c r="E25" s="278">
        <v>0</v>
      </c>
      <c r="F25" s="186">
        <f t="shared" si="1"/>
        <v>0</v>
      </c>
      <c r="G25" s="186">
        <f t="shared" si="2"/>
        <v>0</v>
      </c>
      <c r="H25" s="212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4"/>
      <c r="AJ25" s="215"/>
      <c r="AK25" s="215"/>
      <c r="AL25" s="215"/>
      <c r="AM25" s="215"/>
    </row>
    <row r="26" spans="1:39" s="119" customFormat="1" ht="18" customHeight="1" thickBot="1" x14ac:dyDescent="0.35">
      <c r="A26" s="136" t="s">
        <v>20</v>
      </c>
      <c r="B26" s="135" t="s">
        <v>198</v>
      </c>
      <c r="C26" s="288">
        <v>1416130</v>
      </c>
      <c r="D26" s="136"/>
      <c r="E26" s="186">
        <f t="shared" si="0"/>
        <v>1416130</v>
      </c>
      <c r="F26" s="186">
        <f t="shared" si="1"/>
        <v>827983.72</v>
      </c>
      <c r="G26" s="186">
        <f t="shared" si="2"/>
        <v>588146.28</v>
      </c>
      <c r="H26" s="212"/>
      <c r="I26" s="213"/>
      <c r="J26" s="213"/>
      <c r="K26" s="213"/>
      <c r="L26" s="213"/>
      <c r="M26" s="213"/>
      <c r="N26" s="213">
        <f>164170.98+58994.69</f>
        <v>223165.67</v>
      </c>
      <c r="O26" s="213">
        <v>102392.6</v>
      </c>
      <c r="P26" s="213"/>
      <c r="Q26" s="213">
        <f>109925.13+68478.37</f>
        <v>178403.5</v>
      </c>
      <c r="R26" s="213">
        <v>74555.25</v>
      </c>
      <c r="S26" s="213">
        <v>68749.100000000006</v>
      </c>
      <c r="T26" s="213"/>
      <c r="U26" s="213"/>
      <c r="V26" s="213">
        <v>180717.6</v>
      </c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4"/>
      <c r="AJ26" s="215"/>
      <c r="AK26" s="215"/>
      <c r="AL26" s="215"/>
      <c r="AM26" s="215"/>
    </row>
    <row r="27" spans="1:39" s="119" customFormat="1" ht="18" customHeight="1" thickBot="1" x14ac:dyDescent="0.35">
      <c r="A27" s="136" t="s">
        <v>21</v>
      </c>
      <c r="B27" s="135" t="s">
        <v>199</v>
      </c>
      <c r="C27" s="288">
        <v>9790</v>
      </c>
      <c r="D27" s="136" t="s">
        <v>370</v>
      </c>
      <c r="E27" s="278">
        <v>0</v>
      </c>
      <c r="F27" s="186">
        <f t="shared" si="1"/>
        <v>0</v>
      </c>
      <c r="G27" s="186">
        <f t="shared" si="2"/>
        <v>0</v>
      </c>
      <c r="H27" s="212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4"/>
      <c r="AJ27" s="215"/>
      <c r="AK27" s="215"/>
      <c r="AL27" s="215"/>
      <c r="AM27" s="215"/>
    </row>
    <row r="28" spans="1:39" s="119" customFormat="1" ht="18" customHeight="1" thickBot="1" x14ac:dyDescent="0.35">
      <c r="A28" s="136" t="s">
        <v>22</v>
      </c>
      <c r="B28" s="135" t="s">
        <v>200</v>
      </c>
      <c r="C28" s="288">
        <v>75087</v>
      </c>
      <c r="D28" s="136"/>
      <c r="E28" s="186">
        <f t="shared" si="0"/>
        <v>75087</v>
      </c>
      <c r="F28" s="186">
        <f t="shared" si="1"/>
        <v>71927.349999999991</v>
      </c>
      <c r="G28" s="186">
        <f t="shared" si="2"/>
        <v>3159.6500000000087</v>
      </c>
      <c r="H28" s="212"/>
      <c r="I28" s="213"/>
      <c r="J28" s="213"/>
      <c r="K28" s="213"/>
      <c r="L28" s="213"/>
      <c r="M28" s="213"/>
      <c r="N28" s="213"/>
      <c r="O28" s="213">
        <v>16973.830000000002</v>
      </c>
      <c r="P28" s="213">
        <v>18983.2</v>
      </c>
      <c r="Q28" s="213">
        <f>1419.14+9807.71</f>
        <v>11226.849999999999</v>
      </c>
      <c r="R28" s="213">
        <v>6135.28</v>
      </c>
      <c r="S28" s="213">
        <v>6306.57</v>
      </c>
      <c r="T28" s="213">
        <f>5938.76+400</f>
        <v>6338.76</v>
      </c>
      <c r="U28" s="213">
        <v>5962.86</v>
      </c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4"/>
      <c r="AJ28" s="215"/>
      <c r="AK28" s="215"/>
      <c r="AL28" s="215"/>
      <c r="AM28" s="215"/>
    </row>
    <row r="29" spans="1:39" s="119" customFormat="1" ht="18" customHeight="1" thickBot="1" x14ac:dyDescent="0.35">
      <c r="A29" s="136" t="s">
        <v>23</v>
      </c>
      <c r="B29" s="135" t="s">
        <v>201</v>
      </c>
      <c r="C29" s="288">
        <v>5162</v>
      </c>
      <c r="D29" s="136"/>
      <c r="E29" s="186">
        <f t="shared" si="0"/>
        <v>5162</v>
      </c>
      <c r="F29" s="186">
        <f t="shared" si="1"/>
        <v>3183</v>
      </c>
      <c r="G29" s="186">
        <f t="shared" si="2"/>
        <v>1979</v>
      </c>
      <c r="H29" s="212"/>
      <c r="I29" s="213"/>
      <c r="J29" s="213"/>
      <c r="K29" s="213"/>
      <c r="L29" s="213"/>
      <c r="M29" s="213"/>
      <c r="N29" s="213"/>
      <c r="O29" s="213"/>
      <c r="P29" s="213">
        <v>3183</v>
      </c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4"/>
      <c r="AJ29" s="215"/>
      <c r="AK29" s="215"/>
      <c r="AL29" s="215"/>
      <c r="AM29" s="215"/>
    </row>
    <row r="30" spans="1:39" s="119" customFormat="1" ht="18" customHeight="1" thickBot="1" x14ac:dyDescent="0.35">
      <c r="A30" s="136" t="s">
        <v>24</v>
      </c>
      <c r="B30" s="135" t="s">
        <v>202</v>
      </c>
      <c r="C30" s="288">
        <v>2333</v>
      </c>
      <c r="D30" s="136"/>
      <c r="E30" s="186">
        <f t="shared" si="0"/>
        <v>2333</v>
      </c>
      <c r="F30" s="186">
        <f t="shared" si="1"/>
        <v>0</v>
      </c>
      <c r="G30" s="186">
        <f t="shared" si="2"/>
        <v>2333</v>
      </c>
      <c r="H30" s="212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4"/>
      <c r="AJ30" s="215"/>
      <c r="AK30" s="215"/>
      <c r="AL30" s="215"/>
      <c r="AM30" s="215"/>
    </row>
    <row r="31" spans="1:39" s="119" customFormat="1" ht="18" customHeight="1" thickBot="1" x14ac:dyDescent="0.35">
      <c r="A31" s="136" t="s">
        <v>25</v>
      </c>
      <c r="B31" s="135" t="s">
        <v>203</v>
      </c>
      <c r="C31" s="288">
        <v>22751</v>
      </c>
      <c r="D31" s="136"/>
      <c r="E31" s="186">
        <f t="shared" si="0"/>
        <v>22751</v>
      </c>
      <c r="F31" s="186">
        <f t="shared" si="1"/>
        <v>22751</v>
      </c>
      <c r="G31" s="186">
        <f t="shared" si="2"/>
        <v>0</v>
      </c>
      <c r="H31" s="212"/>
      <c r="I31" s="213"/>
      <c r="J31" s="213"/>
      <c r="K31" s="213"/>
      <c r="L31" s="213"/>
      <c r="M31" s="213"/>
      <c r="N31" s="213"/>
      <c r="O31" s="213"/>
      <c r="P31" s="213"/>
      <c r="Q31" s="213">
        <v>12917.21</v>
      </c>
      <c r="R31" s="213"/>
      <c r="S31" s="213">
        <v>5252.08</v>
      </c>
      <c r="T31" s="213"/>
      <c r="U31" s="213"/>
      <c r="V31" s="213">
        <v>4581.71</v>
      </c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4"/>
      <c r="AJ31" s="215"/>
      <c r="AK31" s="215"/>
      <c r="AL31" s="215"/>
      <c r="AM31" s="215"/>
    </row>
    <row r="32" spans="1:39" s="119" customFormat="1" ht="18" customHeight="1" thickBot="1" x14ac:dyDescent="0.35">
      <c r="A32" s="136" t="s">
        <v>26</v>
      </c>
      <c r="B32" s="135" t="s">
        <v>204</v>
      </c>
      <c r="C32" s="288">
        <v>1741</v>
      </c>
      <c r="D32" s="136"/>
      <c r="E32" s="186">
        <f t="shared" si="0"/>
        <v>1741</v>
      </c>
      <c r="F32" s="186">
        <f t="shared" si="1"/>
        <v>1741</v>
      </c>
      <c r="G32" s="186">
        <f t="shared" si="2"/>
        <v>0</v>
      </c>
      <c r="H32" s="212"/>
      <c r="I32" s="213"/>
      <c r="J32" s="213"/>
      <c r="K32" s="213"/>
      <c r="L32" s="213"/>
      <c r="M32" s="213"/>
      <c r="N32" s="213"/>
      <c r="O32" s="213"/>
      <c r="P32" s="213"/>
      <c r="Q32" s="213"/>
      <c r="R32" s="213">
        <v>1741</v>
      </c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4"/>
      <c r="AJ32" s="215"/>
      <c r="AK32" s="215"/>
      <c r="AL32" s="215"/>
      <c r="AM32" s="215"/>
    </row>
    <row r="33" spans="1:39" s="119" customFormat="1" ht="18" customHeight="1" thickBot="1" x14ac:dyDescent="0.35">
      <c r="A33" s="136" t="s">
        <v>27</v>
      </c>
      <c r="B33" s="135" t="s">
        <v>205</v>
      </c>
      <c r="C33" s="288">
        <v>1307</v>
      </c>
      <c r="D33" s="136"/>
      <c r="E33" s="186">
        <f t="shared" si="0"/>
        <v>1307</v>
      </c>
      <c r="F33" s="186">
        <f t="shared" si="1"/>
        <v>207.24</v>
      </c>
      <c r="G33" s="186">
        <f t="shared" si="2"/>
        <v>1099.76</v>
      </c>
      <c r="H33" s="212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>
        <v>187.61</v>
      </c>
      <c r="T33" s="213"/>
      <c r="U33" s="213">
        <v>19.63</v>
      </c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4"/>
      <c r="AJ33" s="215"/>
      <c r="AK33" s="215"/>
      <c r="AL33" s="215"/>
      <c r="AM33" s="215"/>
    </row>
    <row r="34" spans="1:39" s="119" customFormat="1" ht="18" customHeight="1" thickBot="1" x14ac:dyDescent="0.35">
      <c r="A34" s="136" t="s">
        <v>28</v>
      </c>
      <c r="B34" s="135" t="s">
        <v>206</v>
      </c>
      <c r="C34" s="288">
        <v>34911</v>
      </c>
      <c r="D34" s="136"/>
      <c r="E34" s="186">
        <f t="shared" si="0"/>
        <v>34911</v>
      </c>
      <c r="F34" s="186">
        <f t="shared" si="1"/>
        <v>34911</v>
      </c>
      <c r="G34" s="186">
        <f t="shared" si="2"/>
        <v>0</v>
      </c>
      <c r="H34" s="212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>
        <v>34911</v>
      </c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4"/>
      <c r="AJ34" s="215"/>
      <c r="AK34" s="215"/>
      <c r="AL34" s="215"/>
      <c r="AM34" s="215"/>
    </row>
    <row r="35" spans="1:39" s="119" customFormat="1" ht="18" customHeight="1" thickBot="1" x14ac:dyDescent="0.35">
      <c r="A35" s="136" t="s">
        <v>29</v>
      </c>
      <c r="B35" s="135" t="s">
        <v>207</v>
      </c>
      <c r="C35" s="288">
        <v>6121</v>
      </c>
      <c r="D35" s="136"/>
      <c r="E35" s="186">
        <f t="shared" si="0"/>
        <v>6121</v>
      </c>
      <c r="F35" s="186">
        <f t="shared" si="1"/>
        <v>6121</v>
      </c>
      <c r="G35" s="186">
        <f t="shared" si="2"/>
        <v>0</v>
      </c>
      <c r="H35" s="212"/>
      <c r="I35" s="213"/>
      <c r="J35" s="213"/>
      <c r="K35" s="213"/>
      <c r="L35" s="213"/>
      <c r="M35" s="213"/>
      <c r="N35" s="213"/>
      <c r="O35" s="213"/>
      <c r="P35" s="213">
        <v>2957.35</v>
      </c>
      <c r="Q35" s="213"/>
      <c r="R35" s="213"/>
      <c r="S35" s="213">
        <v>3163.65</v>
      </c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4"/>
      <c r="AJ35" s="215"/>
      <c r="AK35" s="215"/>
      <c r="AL35" s="215"/>
      <c r="AM35" s="215"/>
    </row>
    <row r="36" spans="1:39" s="119" customFormat="1" ht="18" customHeight="1" thickBot="1" x14ac:dyDescent="0.35">
      <c r="A36" s="136" t="s">
        <v>30</v>
      </c>
      <c r="B36" s="135" t="s">
        <v>208</v>
      </c>
      <c r="C36" s="288">
        <v>617890</v>
      </c>
      <c r="D36" s="136"/>
      <c r="E36" s="186">
        <f t="shared" si="0"/>
        <v>617890</v>
      </c>
      <c r="F36" s="186">
        <f t="shared" si="1"/>
        <v>117202.01</v>
      </c>
      <c r="G36" s="186">
        <f t="shared" si="2"/>
        <v>500687.99</v>
      </c>
      <c r="H36" s="212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>
        <f>85505.23+31696.78</f>
        <v>117202.01</v>
      </c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4"/>
      <c r="AJ36" s="215"/>
      <c r="AK36" s="215"/>
      <c r="AL36" s="215"/>
      <c r="AM36" s="215"/>
    </row>
    <row r="37" spans="1:39" s="119" customFormat="1" ht="18" customHeight="1" thickBot="1" x14ac:dyDescent="0.35">
      <c r="A37" s="136" t="s">
        <v>31</v>
      </c>
      <c r="B37" s="135" t="s">
        <v>209</v>
      </c>
      <c r="C37" s="288">
        <v>487378</v>
      </c>
      <c r="D37" s="136"/>
      <c r="E37" s="186">
        <f t="shared" si="0"/>
        <v>487378</v>
      </c>
      <c r="F37" s="186">
        <f t="shared" si="1"/>
        <v>0</v>
      </c>
      <c r="G37" s="186">
        <f t="shared" si="2"/>
        <v>487378</v>
      </c>
      <c r="H37" s="212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189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4"/>
      <c r="AJ37" s="215"/>
      <c r="AK37" s="215"/>
      <c r="AL37" s="215"/>
      <c r="AM37" s="215"/>
    </row>
    <row r="38" spans="1:39" s="119" customFormat="1" ht="18" customHeight="1" thickBot="1" x14ac:dyDescent="0.35">
      <c r="A38" s="136" t="s">
        <v>32</v>
      </c>
      <c r="B38" s="135" t="s">
        <v>210</v>
      </c>
      <c r="C38" s="288">
        <v>24427</v>
      </c>
      <c r="D38" s="136"/>
      <c r="E38" s="186">
        <f t="shared" si="0"/>
        <v>24427</v>
      </c>
      <c r="F38" s="186">
        <f t="shared" si="1"/>
        <v>24427</v>
      </c>
      <c r="G38" s="186">
        <f t="shared" si="2"/>
        <v>0</v>
      </c>
      <c r="H38" s="212"/>
      <c r="I38" s="213"/>
      <c r="J38" s="213"/>
      <c r="K38" s="213"/>
      <c r="L38" s="213"/>
      <c r="M38" s="213">
        <v>24427</v>
      </c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4"/>
      <c r="AJ38" s="215"/>
      <c r="AK38" s="215"/>
      <c r="AL38" s="215"/>
      <c r="AM38" s="215"/>
    </row>
    <row r="39" spans="1:39" s="119" customFormat="1" ht="18" customHeight="1" thickBot="1" x14ac:dyDescent="0.35">
      <c r="A39" s="136" t="s">
        <v>33</v>
      </c>
      <c r="B39" s="135" t="s">
        <v>211</v>
      </c>
      <c r="C39" s="288">
        <v>36918</v>
      </c>
      <c r="D39" s="136"/>
      <c r="E39" s="186">
        <f t="shared" si="0"/>
        <v>36918</v>
      </c>
      <c r="F39" s="186">
        <f t="shared" si="1"/>
        <v>4426.18</v>
      </c>
      <c r="G39" s="186">
        <f t="shared" si="2"/>
        <v>32491.82</v>
      </c>
      <c r="H39" s="212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>
        <v>3727.79</v>
      </c>
      <c r="T39" s="213"/>
      <c r="U39" s="213">
        <v>698.39</v>
      </c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4"/>
      <c r="AJ39" s="215"/>
      <c r="AK39" s="215"/>
      <c r="AL39" s="215"/>
      <c r="AM39" s="215"/>
    </row>
    <row r="40" spans="1:39" s="119" customFormat="1" ht="18" customHeight="1" thickBot="1" x14ac:dyDescent="0.35">
      <c r="A40" s="136" t="s">
        <v>34</v>
      </c>
      <c r="B40" s="135" t="s">
        <v>212</v>
      </c>
      <c r="C40" s="288">
        <v>3717</v>
      </c>
      <c r="D40" s="136" t="s">
        <v>370</v>
      </c>
      <c r="E40" s="278">
        <v>0</v>
      </c>
      <c r="F40" s="186">
        <f t="shared" si="1"/>
        <v>0</v>
      </c>
      <c r="G40" s="186">
        <f t="shared" si="2"/>
        <v>0</v>
      </c>
      <c r="H40" s="212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4"/>
      <c r="AJ40" s="215"/>
      <c r="AK40" s="215"/>
      <c r="AL40" s="215"/>
      <c r="AM40" s="215"/>
    </row>
    <row r="41" spans="1:39" s="119" customFormat="1" ht="18" customHeight="1" thickBot="1" x14ac:dyDescent="0.35">
      <c r="A41" s="136" t="s">
        <v>35</v>
      </c>
      <c r="B41" s="135" t="s">
        <v>213</v>
      </c>
      <c r="C41" s="288">
        <v>10481</v>
      </c>
      <c r="D41" s="136" t="s">
        <v>370</v>
      </c>
      <c r="E41" s="278">
        <v>0</v>
      </c>
      <c r="F41" s="186">
        <f t="shared" si="1"/>
        <v>0</v>
      </c>
      <c r="G41" s="186">
        <f t="shared" si="2"/>
        <v>0</v>
      </c>
      <c r="H41" s="212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4"/>
      <c r="AJ41" s="215"/>
      <c r="AK41" s="215"/>
      <c r="AL41" s="215"/>
      <c r="AM41" s="215"/>
    </row>
    <row r="42" spans="1:39" s="119" customFormat="1" ht="18" customHeight="1" thickBot="1" x14ac:dyDescent="0.35">
      <c r="A42" s="136" t="s">
        <v>36</v>
      </c>
      <c r="B42" s="135" t="s">
        <v>214</v>
      </c>
      <c r="C42" s="288">
        <v>23845</v>
      </c>
      <c r="D42" s="136"/>
      <c r="E42" s="186">
        <f t="shared" si="0"/>
        <v>23845</v>
      </c>
      <c r="F42" s="186">
        <f t="shared" si="1"/>
        <v>23844.83</v>
      </c>
      <c r="G42" s="186">
        <f t="shared" si="2"/>
        <v>0.16999999999825377</v>
      </c>
      <c r="H42" s="212"/>
      <c r="I42" s="213"/>
      <c r="J42" s="213"/>
      <c r="K42" s="213"/>
      <c r="L42" s="213"/>
      <c r="M42" s="213"/>
      <c r="N42" s="213">
        <v>9603.83</v>
      </c>
      <c r="O42" s="213"/>
      <c r="P42" s="213"/>
      <c r="Q42" s="213"/>
      <c r="R42" s="213"/>
      <c r="S42" s="213"/>
      <c r="T42" s="213"/>
      <c r="U42" s="213"/>
      <c r="V42" s="213">
        <v>14241</v>
      </c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4"/>
      <c r="AJ42" s="215"/>
      <c r="AK42" s="215"/>
      <c r="AL42" s="215"/>
      <c r="AM42" s="215"/>
    </row>
    <row r="43" spans="1:39" s="119" customFormat="1" ht="18" customHeight="1" thickBot="1" x14ac:dyDescent="0.35">
      <c r="A43" s="136" t="s">
        <v>37</v>
      </c>
      <c r="B43" s="135" t="s">
        <v>215</v>
      </c>
      <c r="C43" s="288">
        <v>45428</v>
      </c>
      <c r="D43" s="136"/>
      <c r="E43" s="186">
        <f t="shared" si="0"/>
        <v>45428</v>
      </c>
      <c r="F43" s="186">
        <f t="shared" si="1"/>
        <v>45428</v>
      </c>
      <c r="G43" s="186">
        <f t="shared" si="2"/>
        <v>0</v>
      </c>
      <c r="H43" s="212"/>
      <c r="I43" s="213"/>
      <c r="J43" s="213"/>
      <c r="K43" s="213"/>
      <c r="L43" s="213"/>
      <c r="M43" s="213"/>
      <c r="N43" s="213"/>
      <c r="O43" s="213"/>
      <c r="P43" s="213"/>
      <c r="Q43" s="213"/>
      <c r="R43" s="213">
        <v>2197.98</v>
      </c>
      <c r="S43" s="213">
        <v>2005</v>
      </c>
      <c r="T43" s="213"/>
      <c r="U43" s="213"/>
      <c r="V43" s="213">
        <v>41225.019999999997</v>
      </c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4"/>
      <c r="AJ43" s="215"/>
      <c r="AK43" s="215"/>
      <c r="AL43" s="215"/>
      <c r="AM43" s="215"/>
    </row>
    <row r="44" spans="1:39" s="119" customFormat="1" ht="18" customHeight="1" thickBot="1" x14ac:dyDescent="0.35">
      <c r="A44" s="136" t="s">
        <v>38</v>
      </c>
      <c r="B44" s="135" t="s">
        <v>216</v>
      </c>
      <c r="C44" s="288">
        <v>14845</v>
      </c>
      <c r="D44" s="136"/>
      <c r="E44" s="186">
        <f t="shared" si="0"/>
        <v>14845</v>
      </c>
      <c r="F44" s="186">
        <f t="shared" si="1"/>
        <v>14750</v>
      </c>
      <c r="G44" s="186">
        <f t="shared" si="2"/>
        <v>95</v>
      </c>
      <c r="H44" s="212"/>
      <c r="I44" s="213"/>
      <c r="J44" s="213"/>
      <c r="K44" s="213"/>
      <c r="L44" s="213"/>
      <c r="M44" s="213"/>
      <c r="N44" s="213"/>
      <c r="O44" s="213">
        <v>9937</v>
      </c>
      <c r="P44" s="213"/>
      <c r="Q44" s="213"/>
      <c r="R44" s="213"/>
      <c r="S44" s="213">
        <v>4813</v>
      </c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4"/>
      <c r="AJ44" s="215"/>
      <c r="AK44" s="215"/>
      <c r="AL44" s="215"/>
      <c r="AM44" s="215"/>
    </row>
    <row r="45" spans="1:39" s="119" customFormat="1" ht="18" customHeight="1" thickBot="1" x14ac:dyDescent="0.35">
      <c r="A45" s="136" t="s">
        <v>39</v>
      </c>
      <c r="B45" s="135" t="s">
        <v>217</v>
      </c>
      <c r="C45" s="288">
        <v>19032</v>
      </c>
      <c r="D45" s="136"/>
      <c r="E45" s="186">
        <f t="shared" si="0"/>
        <v>19032</v>
      </c>
      <c r="F45" s="186">
        <f t="shared" si="1"/>
        <v>0</v>
      </c>
      <c r="G45" s="186">
        <f t="shared" si="2"/>
        <v>19032</v>
      </c>
      <c r="H45" s="212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4"/>
      <c r="AJ45" s="215"/>
      <c r="AK45" s="215"/>
      <c r="AL45" s="215"/>
      <c r="AM45" s="215"/>
    </row>
    <row r="46" spans="1:39" s="119" customFormat="1" ht="18" customHeight="1" thickBot="1" x14ac:dyDescent="0.35">
      <c r="A46" s="136" t="s">
        <v>40</v>
      </c>
      <c r="B46" s="135" t="s">
        <v>218</v>
      </c>
      <c r="C46" s="288">
        <v>24937</v>
      </c>
      <c r="D46" s="136"/>
      <c r="E46" s="186">
        <f t="shared" si="0"/>
        <v>24937</v>
      </c>
      <c r="F46" s="186">
        <f t="shared" si="1"/>
        <v>24937</v>
      </c>
      <c r="G46" s="186">
        <f t="shared" si="2"/>
        <v>0</v>
      </c>
      <c r="H46" s="212"/>
      <c r="I46" s="213"/>
      <c r="J46" s="213"/>
      <c r="K46" s="213"/>
      <c r="L46" s="213"/>
      <c r="M46" s="213"/>
      <c r="N46" s="213"/>
      <c r="O46" s="213"/>
      <c r="P46" s="213"/>
      <c r="Q46" s="213"/>
      <c r="R46" s="213">
        <v>24937</v>
      </c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4"/>
      <c r="AJ46" s="215"/>
      <c r="AK46" s="215"/>
      <c r="AL46" s="215"/>
      <c r="AM46" s="215"/>
    </row>
    <row r="47" spans="1:39" s="119" customFormat="1" ht="18" customHeight="1" thickBot="1" x14ac:dyDescent="0.35">
      <c r="A47" s="136" t="s">
        <v>41</v>
      </c>
      <c r="B47" s="135" t="s">
        <v>219</v>
      </c>
      <c r="C47" s="288">
        <v>17019</v>
      </c>
      <c r="D47" s="136"/>
      <c r="E47" s="186">
        <f t="shared" si="0"/>
        <v>17019</v>
      </c>
      <c r="F47" s="186">
        <f t="shared" si="1"/>
        <v>17011</v>
      </c>
      <c r="G47" s="186">
        <f t="shared" si="2"/>
        <v>8</v>
      </c>
      <c r="H47" s="212"/>
      <c r="I47" s="213"/>
      <c r="J47" s="213"/>
      <c r="K47" s="213"/>
      <c r="L47" s="213"/>
      <c r="M47" s="213"/>
      <c r="N47" s="213"/>
      <c r="O47" s="213"/>
      <c r="P47" s="213"/>
      <c r="Q47" s="213"/>
      <c r="R47" s="213">
        <v>12169.96</v>
      </c>
      <c r="S47" s="213">
        <v>4841.04</v>
      </c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4"/>
      <c r="AJ47" s="215"/>
      <c r="AK47" s="215"/>
      <c r="AL47" s="215"/>
      <c r="AM47" s="215"/>
    </row>
    <row r="48" spans="1:39" s="119" customFormat="1" ht="18" customHeight="1" thickBot="1" x14ac:dyDescent="0.35">
      <c r="A48" s="136" t="s">
        <v>42</v>
      </c>
      <c r="B48" s="135" t="s">
        <v>220</v>
      </c>
      <c r="C48" s="288">
        <v>28375</v>
      </c>
      <c r="D48" s="136"/>
      <c r="E48" s="186">
        <f t="shared" si="0"/>
        <v>28375</v>
      </c>
      <c r="F48" s="186">
        <f t="shared" si="1"/>
        <v>0</v>
      </c>
      <c r="G48" s="186">
        <f t="shared" si="2"/>
        <v>28375</v>
      </c>
      <c r="H48" s="212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4"/>
      <c r="AJ48" s="215"/>
      <c r="AK48" s="215"/>
      <c r="AL48" s="215"/>
      <c r="AM48" s="215"/>
    </row>
    <row r="49" spans="1:39" s="119" customFormat="1" ht="18" customHeight="1" thickBot="1" x14ac:dyDescent="0.35">
      <c r="A49" s="136" t="s">
        <v>43</v>
      </c>
      <c r="B49" s="135" t="s">
        <v>443</v>
      </c>
      <c r="C49" s="288">
        <v>26239</v>
      </c>
      <c r="D49" s="136"/>
      <c r="E49" s="186">
        <f t="shared" si="0"/>
        <v>26239</v>
      </c>
      <c r="F49" s="186">
        <f t="shared" si="1"/>
        <v>13608.87</v>
      </c>
      <c r="G49" s="186">
        <f t="shared" si="2"/>
        <v>12630.13</v>
      </c>
      <c r="H49" s="212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>
        <v>13608.87</v>
      </c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4"/>
      <c r="AJ49" s="215"/>
      <c r="AK49" s="215"/>
      <c r="AL49" s="215"/>
      <c r="AM49" s="215"/>
    </row>
    <row r="50" spans="1:39" s="119" customFormat="1" ht="18" customHeight="1" thickBot="1" x14ac:dyDescent="0.35">
      <c r="A50" s="136" t="s">
        <v>44</v>
      </c>
      <c r="B50" s="135" t="s">
        <v>222</v>
      </c>
      <c r="C50" s="288">
        <v>190686</v>
      </c>
      <c r="D50" s="136"/>
      <c r="E50" s="186">
        <f t="shared" si="0"/>
        <v>190686</v>
      </c>
      <c r="F50" s="186">
        <f t="shared" si="1"/>
        <v>190686</v>
      </c>
      <c r="G50" s="186">
        <f t="shared" si="2"/>
        <v>0</v>
      </c>
      <c r="H50" s="212"/>
      <c r="I50" s="213"/>
      <c r="J50" s="213"/>
      <c r="K50" s="213"/>
      <c r="L50" s="213"/>
      <c r="M50" s="213">
        <v>62310.22</v>
      </c>
      <c r="N50" s="213"/>
      <c r="O50" s="213">
        <v>32978.39</v>
      </c>
      <c r="P50" s="213">
        <v>4533.1400000000003</v>
      </c>
      <c r="Q50" s="213">
        <v>15558.27</v>
      </c>
      <c r="R50" s="213">
        <v>20794.810000000001</v>
      </c>
      <c r="S50" s="213">
        <v>28575.67</v>
      </c>
      <c r="T50" s="213"/>
      <c r="U50" s="213"/>
      <c r="V50" s="213">
        <v>25935.5</v>
      </c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4"/>
      <c r="AJ50" s="215"/>
      <c r="AK50" s="215"/>
      <c r="AL50" s="215"/>
      <c r="AM50" s="215"/>
    </row>
    <row r="51" spans="1:39" s="119" customFormat="1" ht="18" customHeight="1" thickBot="1" x14ac:dyDescent="0.35">
      <c r="A51" s="136" t="s">
        <v>45</v>
      </c>
      <c r="B51" s="135" t="s">
        <v>223</v>
      </c>
      <c r="C51" s="288">
        <v>3345653</v>
      </c>
      <c r="D51" s="136"/>
      <c r="E51" s="186">
        <f t="shared" si="0"/>
        <v>3345653</v>
      </c>
      <c r="F51" s="186">
        <f t="shared" si="1"/>
        <v>2045699.6799999997</v>
      </c>
      <c r="G51" s="186">
        <f t="shared" si="2"/>
        <v>1299953.3200000003</v>
      </c>
      <c r="H51" s="212"/>
      <c r="I51" s="213"/>
      <c r="J51" s="213"/>
      <c r="K51" s="213"/>
      <c r="L51" s="213"/>
      <c r="M51" s="213"/>
      <c r="N51" s="213"/>
      <c r="O51" s="213"/>
      <c r="P51" s="213">
        <v>158800.81</v>
      </c>
      <c r="Q51" s="213">
        <f>162511.81+488374.07</f>
        <v>650885.88</v>
      </c>
      <c r="R51" s="213"/>
      <c r="S51" s="213">
        <f>239536.01+388459.45+216615.59</f>
        <v>844611.04999999993</v>
      </c>
      <c r="T51" s="213"/>
      <c r="U51" s="213"/>
      <c r="V51" s="213">
        <v>391401.94</v>
      </c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4"/>
      <c r="AJ51" s="215"/>
      <c r="AK51" s="215"/>
      <c r="AL51" s="215"/>
      <c r="AM51" s="215"/>
    </row>
    <row r="52" spans="1:39" s="119" customFormat="1" ht="18" customHeight="1" thickBot="1" x14ac:dyDescent="0.35">
      <c r="A52" s="136" t="s">
        <v>46</v>
      </c>
      <c r="B52" s="135" t="s">
        <v>224</v>
      </c>
      <c r="C52" s="288">
        <v>10231</v>
      </c>
      <c r="D52" s="136"/>
      <c r="E52" s="186">
        <f t="shared" si="0"/>
        <v>10231</v>
      </c>
      <c r="F52" s="186">
        <f t="shared" si="1"/>
        <v>10231</v>
      </c>
      <c r="G52" s="186">
        <f t="shared" si="2"/>
        <v>0</v>
      </c>
      <c r="H52" s="212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>
        <v>10231</v>
      </c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4"/>
      <c r="AJ52" s="215"/>
      <c r="AK52" s="215"/>
      <c r="AL52" s="215"/>
      <c r="AM52" s="215"/>
    </row>
    <row r="53" spans="1:39" s="119" customFormat="1" ht="18" customHeight="1" thickBot="1" x14ac:dyDescent="0.35">
      <c r="A53" s="136" t="s">
        <v>47</v>
      </c>
      <c r="B53" s="135" t="s">
        <v>225</v>
      </c>
      <c r="C53" s="288">
        <v>636413</v>
      </c>
      <c r="D53" s="136"/>
      <c r="E53" s="186">
        <f t="shared" si="0"/>
        <v>636413</v>
      </c>
      <c r="F53" s="186">
        <f t="shared" si="1"/>
        <v>323791.3</v>
      </c>
      <c r="G53" s="186">
        <f t="shared" si="2"/>
        <v>312621.7</v>
      </c>
      <c r="H53" s="212"/>
      <c r="I53" s="213"/>
      <c r="J53" s="213"/>
      <c r="K53" s="213"/>
      <c r="L53" s="213"/>
      <c r="M53" s="213"/>
      <c r="N53" s="213">
        <v>32633.07</v>
      </c>
      <c r="O53" s="213"/>
      <c r="P53" s="213">
        <v>76126.52</v>
      </c>
      <c r="Q53" s="213">
        <v>46508.06</v>
      </c>
      <c r="R53" s="213"/>
      <c r="S53" s="213">
        <v>126601.72</v>
      </c>
      <c r="T53" s="213">
        <v>41921.93</v>
      </c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4"/>
      <c r="AJ53" s="215"/>
      <c r="AK53" s="215"/>
      <c r="AL53" s="215"/>
      <c r="AM53" s="215"/>
    </row>
    <row r="54" spans="1:39" s="119" customFormat="1" ht="18" customHeight="1" thickBot="1" x14ac:dyDescent="0.35">
      <c r="A54" s="136" t="s">
        <v>48</v>
      </c>
      <c r="B54" s="135" t="s">
        <v>226</v>
      </c>
      <c r="C54" s="288">
        <v>119128</v>
      </c>
      <c r="D54" s="136"/>
      <c r="E54" s="186">
        <f t="shared" si="0"/>
        <v>119128</v>
      </c>
      <c r="F54" s="186">
        <f t="shared" si="1"/>
        <v>119128</v>
      </c>
      <c r="G54" s="186">
        <f t="shared" si="2"/>
        <v>0</v>
      </c>
      <c r="H54" s="212"/>
      <c r="I54" s="213"/>
      <c r="J54" s="213"/>
      <c r="K54" s="213"/>
      <c r="L54" s="213"/>
      <c r="M54" s="213"/>
      <c r="N54" s="213"/>
      <c r="O54" s="213">
        <v>73690.69</v>
      </c>
      <c r="P54" s="213"/>
      <c r="Q54" s="213">
        <v>20323.47</v>
      </c>
      <c r="R54" s="213"/>
      <c r="S54" s="213">
        <v>25113.84</v>
      </c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4"/>
      <c r="AJ54" s="215"/>
      <c r="AK54" s="215"/>
      <c r="AL54" s="215"/>
      <c r="AM54" s="215"/>
    </row>
    <row r="55" spans="1:39" s="119" customFormat="1" ht="18" customHeight="1" thickBot="1" x14ac:dyDescent="0.35">
      <c r="A55" s="136" t="s">
        <v>49</v>
      </c>
      <c r="B55" s="135" t="s">
        <v>227</v>
      </c>
      <c r="C55" s="288">
        <v>44731</v>
      </c>
      <c r="D55" s="136"/>
      <c r="E55" s="186">
        <f t="shared" si="0"/>
        <v>44731</v>
      </c>
      <c r="F55" s="186">
        <f t="shared" si="1"/>
        <v>44731</v>
      </c>
      <c r="G55" s="186">
        <f t="shared" si="2"/>
        <v>0</v>
      </c>
      <c r="H55" s="212"/>
      <c r="I55" s="213"/>
      <c r="J55" s="213"/>
      <c r="K55" s="213"/>
      <c r="L55" s="213"/>
      <c r="M55" s="213"/>
      <c r="N55" s="213"/>
      <c r="O55" s="213">
        <v>11337.39</v>
      </c>
      <c r="P55" s="213"/>
      <c r="Q55" s="213">
        <v>17929.509999999998</v>
      </c>
      <c r="R55" s="213"/>
      <c r="S55" s="213"/>
      <c r="T55" s="213"/>
      <c r="U55" s="213">
        <v>5464.1</v>
      </c>
      <c r="V55" s="213">
        <v>10000</v>
      </c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4"/>
      <c r="AJ55" s="215"/>
      <c r="AK55" s="215"/>
      <c r="AL55" s="215"/>
      <c r="AM55" s="215"/>
    </row>
    <row r="56" spans="1:39" s="119" customFormat="1" ht="18" customHeight="1" thickBot="1" x14ac:dyDescent="0.35">
      <c r="A56" s="136" t="s">
        <v>50</v>
      </c>
      <c r="B56" s="135" t="s">
        <v>228</v>
      </c>
      <c r="C56" s="288">
        <v>8406</v>
      </c>
      <c r="D56" s="136" t="s">
        <v>370</v>
      </c>
      <c r="E56" s="278">
        <v>0</v>
      </c>
      <c r="F56" s="186">
        <f t="shared" si="1"/>
        <v>0</v>
      </c>
      <c r="G56" s="186">
        <f t="shared" si="2"/>
        <v>0</v>
      </c>
      <c r="H56" s="212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15"/>
      <c r="AK56" s="215"/>
      <c r="AL56" s="215"/>
      <c r="AM56" s="215"/>
    </row>
    <row r="57" spans="1:39" s="119" customFormat="1" ht="18" customHeight="1" thickBot="1" x14ac:dyDescent="0.35">
      <c r="A57" s="136" t="s">
        <v>51</v>
      </c>
      <c r="B57" s="135" t="s">
        <v>229</v>
      </c>
      <c r="C57" s="288">
        <v>6929</v>
      </c>
      <c r="D57" s="136"/>
      <c r="E57" s="186">
        <f t="shared" si="0"/>
        <v>6929</v>
      </c>
      <c r="F57" s="186">
        <f t="shared" si="1"/>
        <v>6929</v>
      </c>
      <c r="G57" s="186">
        <f t="shared" si="2"/>
        <v>0</v>
      </c>
      <c r="H57" s="212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>
        <v>6929</v>
      </c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4"/>
      <c r="AJ57" s="215"/>
      <c r="AK57" s="215"/>
      <c r="AL57" s="215"/>
      <c r="AM57" s="215"/>
    </row>
    <row r="58" spans="1:39" s="119" customFormat="1" ht="18" customHeight="1" thickBot="1" x14ac:dyDescent="0.35">
      <c r="A58" s="136" t="s">
        <v>52</v>
      </c>
      <c r="B58" s="135" t="s">
        <v>230</v>
      </c>
      <c r="C58" s="288">
        <v>6731</v>
      </c>
      <c r="D58" s="136"/>
      <c r="E58" s="186">
        <f t="shared" si="0"/>
        <v>6731</v>
      </c>
      <c r="F58" s="186">
        <f t="shared" si="1"/>
        <v>6731</v>
      </c>
      <c r="G58" s="186">
        <f t="shared" si="2"/>
        <v>0</v>
      </c>
      <c r="H58" s="212"/>
      <c r="I58" s="213"/>
      <c r="J58" s="213"/>
      <c r="K58" s="213"/>
      <c r="L58" s="213"/>
      <c r="M58" s="213"/>
      <c r="N58" s="213"/>
      <c r="O58" s="213">
        <v>3365</v>
      </c>
      <c r="P58" s="213"/>
      <c r="Q58" s="213"/>
      <c r="R58" s="213"/>
      <c r="S58" s="213">
        <v>3366</v>
      </c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4"/>
      <c r="AJ58" s="215"/>
      <c r="AK58" s="215"/>
      <c r="AL58" s="215"/>
      <c r="AM58" s="215"/>
    </row>
    <row r="59" spans="1:39" s="119" customFormat="1" ht="18" customHeight="1" thickBot="1" x14ac:dyDescent="0.35">
      <c r="A59" s="136" t="s">
        <v>53</v>
      </c>
      <c r="B59" s="135" t="s">
        <v>231</v>
      </c>
      <c r="C59" s="288">
        <v>2895</v>
      </c>
      <c r="D59" s="136" t="s">
        <v>370</v>
      </c>
      <c r="E59" s="278">
        <v>0</v>
      </c>
      <c r="F59" s="186">
        <f t="shared" si="1"/>
        <v>0</v>
      </c>
      <c r="G59" s="186">
        <f t="shared" si="2"/>
        <v>0</v>
      </c>
      <c r="H59" s="212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4"/>
      <c r="AJ59" s="215"/>
      <c r="AK59" s="215"/>
      <c r="AL59" s="215"/>
      <c r="AM59" s="215"/>
    </row>
    <row r="60" spans="1:39" s="119" customFormat="1" ht="18" customHeight="1" thickBot="1" x14ac:dyDescent="0.35">
      <c r="A60" s="136" t="s">
        <v>54</v>
      </c>
      <c r="B60" s="135" t="s">
        <v>232</v>
      </c>
      <c r="C60" s="288">
        <v>16299</v>
      </c>
      <c r="D60" s="136"/>
      <c r="E60" s="186">
        <f t="shared" si="0"/>
        <v>16299</v>
      </c>
      <c r="F60" s="186">
        <f t="shared" si="1"/>
        <v>12500.1</v>
      </c>
      <c r="G60" s="186">
        <f t="shared" si="2"/>
        <v>3798.8999999999996</v>
      </c>
      <c r="H60" s="212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>
        <v>12500.1</v>
      </c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4"/>
      <c r="AJ60" s="215"/>
      <c r="AK60" s="215"/>
      <c r="AL60" s="215"/>
      <c r="AM60" s="215"/>
    </row>
    <row r="61" spans="1:39" s="119" customFormat="1" ht="18" customHeight="1" thickBot="1" x14ac:dyDescent="0.35">
      <c r="A61" s="136" t="s">
        <v>55</v>
      </c>
      <c r="B61" s="135" t="s">
        <v>233</v>
      </c>
      <c r="C61" s="288">
        <v>567618</v>
      </c>
      <c r="D61" s="136"/>
      <c r="E61" s="186">
        <f t="shared" si="0"/>
        <v>567618</v>
      </c>
      <c r="F61" s="186">
        <f t="shared" si="1"/>
        <v>369178.83</v>
      </c>
      <c r="G61" s="186">
        <f t="shared" si="2"/>
        <v>198439.16999999998</v>
      </c>
      <c r="H61" s="212"/>
      <c r="I61" s="213"/>
      <c r="J61" s="213"/>
      <c r="K61" s="213"/>
      <c r="L61" s="213"/>
      <c r="M61" s="213"/>
      <c r="N61" s="213"/>
      <c r="O61" s="213"/>
      <c r="P61" s="213"/>
      <c r="Q61" s="213">
        <v>369178.83</v>
      </c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4"/>
      <c r="AJ61" s="215"/>
      <c r="AK61" s="215"/>
      <c r="AL61" s="215"/>
      <c r="AM61" s="215"/>
    </row>
    <row r="62" spans="1:39" s="119" customFormat="1" ht="18" customHeight="1" thickBot="1" x14ac:dyDescent="0.35">
      <c r="A62" s="136" t="s">
        <v>56</v>
      </c>
      <c r="B62" s="135" t="s">
        <v>234</v>
      </c>
      <c r="C62" s="288">
        <v>249093</v>
      </c>
      <c r="D62" s="136"/>
      <c r="E62" s="186">
        <f t="shared" si="0"/>
        <v>249093</v>
      </c>
      <c r="F62" s="186">
        <f t="shared" si="1"/>
        <v>221798.43</v>
      </c>
      <c r="G62" s="186">
        <f t="shared" si="2"/>
        <v>27294.570000000007</v>
      </c>
      <c r="H62" s="212"/>
      <c r="I62" s="213"/>
      <c r="J62" s="213"/>
      <c r="K62" s="213"/>
      <c r="L62" s="213"/>
      <c r="M62" s="213">
        <v>82365.05</v>
      </c>
      <c r="N62" s="213"/>
      <c r="O62" s="213"/>
      <c r="P62" s="213"/>
      <c r="Q62" s="213">
        <v>77916.490000000005</v>
      </c>
      <c r="R62" s="213"/>
      <c r="S62" s="213">
        <v>33785.68</v>
      </c>
      <c r="T62" s="213"/>
      <c r="U62" s="213">
        <v>27731.21</v>
      </c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4"/>
      <c r="AJ62" s="215"/>
      <c r="AK62" s="215"/>
      <c r="AL62" s="215"/>
      <c r="AM62" s="215"/>
    </row>
    <row r="63" spans="1:39" s="119" customFormat="1" ht="18" customHeight="1" thickBot="1" x14ac:dyDescent="0.35">
      <c r="A63" s="136" t="s">
        <v>57</v>
      </c>
      <c r="B63" s="135" t="s">
        <v>235</v>
      </c>
      <c r="C63" s="288">
        <v>235786</v>
      </c>
      <c r="D63" s="136"/>
      <c r="E63" s="186">
        <f t="shared" si="0"/>
        <v>235786</v>
      </c>
      <c r="F63" s="186">
        <f t="shared" si="1"/>
        <v>235786</v>
      </c>
      <c r="G63" s="186">
        <f t="shared" si="2"/>
        <v>0</v>
      </c>
      <c r="H63" s="212"/>
      <c r="I63" s="213"/>
      <c r="J63" s="213"/>
      <c r="K63" s="213"/>
      <c r="L63" s="213">
        <f>84399+52624</f>
        <v>137023</v>
      </c>
      <c r="M63" s="213">
        <v>16288</v>
      </c>
      <c r="N63" s="213">
        <v>14996</v>
      </c>
      <c r="O63" s="213">
        <v>13322</v>
      </c>
      <c r="P63" s="213">
        <v>16827</v>
      </c>
      <c r="Q63" s="213">
        <v>17739</v>
      </c>
      <c r="R63" s="213">
        <v>11362</v>
      </c>
      <c r="S63" s="213">
        <v>8229</v>
      </c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4"/>
      <c r="AJ63" s="215"/>
      <c r="AK63" s="215"/>
      <c r="AL63" s="215"/>
      <c r="AM63" s="215"/>
    </row>
    <row r="64" spans="1:39" s="119" customFormat="1" ht="18" customHeight="1" thickBot="1" x14ac:dyDescent="0.35">
      <c r="A64" s="136" t="s">
        <v>58</v>
      </c>
      <c r="B64" s="135" t="s">
        <v>236</v>
      </c>
      <c r="C64" s="288">
        <v>1044933</v>
      </c>
      <c r="D64" s="136"/>
      <c r="E64" s="186">
        <f t="shared" si="0"/>
        <v>1044933</v>
      </c>
      <c r="F64" s="186">
        <f t="shared" si="1"/>
        <v>740842.79999999993</v>
      </c>
      <c r="G64" s="186">
        <f t="shared" si="2"/>
        <v>304090.20000000007</v>
      </c>
      <c r="H64" s="212"/>
      <c r="I64" s="213"/>
      <c r="J64" s="213"/>
      <c r="K64" s="213"/>
      <c r="L64" s="213"/>
      <c r="M64" s="213">
        <v>29004.86</v>
      </c>
      <c r="N64" s="213">
        <v>63448.24</v>
      </c>
      <c r="O64" s="213">
        <v>112724.47</v>
      </c>
      <c r="P64" s="213">
        <v>91575.62</v>
      </c>
      <c r="Q64" s="213">
        <v>91150.66</v>
      </c>
      <c r="R64" s="213">
        <v>107814</v>
      </c>
      <c r="S64" s="213">
        <v>5311.29</v>
      </c>
      <c r="T64" s="213"/>
      <c r="U64" s="213"/>
      <c r="V64" s="213">
        <v>239813.66</v>
      </c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4"/>
      <c r="AJ64" s="215"/>
      <c r="AK64" s="215"/>
      <c r="AL64" s="215"/>
      <c r="AM64" s="215"/>
    </row>
    <row r="65" spans="1:39" s="119" customFormat="1" ht="18" customHeight="1" thickBot="1" x14ac:dyDescent="0.35">
      <c r="A65" s="136" t="s">
        <v>59</v>
      </c>
      <c r="B65" s="135" t="s">
        <v>237</v>
      </c>
      <c r="C65" s="288">
        <v>66769</v>
      </c>
      <c r="D65" s="136"/>
      <c r="E65" s="186">
        <f t="shared" si="0"/>
        <v>66769</v>
      </c>
      <c r="F65" s="186">
        <f t="shared" si="1"/>
        <v>0</v>
      </c>
      <c r="G65" s="186">
        <f t="shared" si="2"/>
        <v>66769</v>
      </c>
      <c r="H65" s="212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4"/>
      <c r="AJ65" s="215"/>
      <c r="AK65" s="215"/>
      <c r="AL65" s="215"/>
      <c r="AM65" s="215"/>
    </row>
    <row r="66" spans="1:39" s="119" customFormat="1" ht="18" customHeight="1" thickBot="1" x14ac:dyDescent="0.35">
      <c r="A66" s="136" t="s">
        <v>60</v>
      </c>
      <c r="B66" s="135" t="s">
        <v>238</v>
      </c>
      <c r="C66" s="288">
        <v>19444</v>
      </c>
      <c r="D66" s="136"/>
      <c r="E66" s="186">
        <f t="shared" si="0"/>
        <v>19444</v>
      </c>
      <c r="F66" s="186">
        <f t="shared" si="1"/>
        <v>19444</v>
      </c>
      <c r="G66" s="186">
        <f t="shared" si="2"/>
        <v>0</v>
      </c>
      <c r="H66" s="212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>
        <v>19444</v>
      </c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4"/>
      <c r="AJ66" s="215"/>
      <c r="AK66" s="215"/>
      <c r="AL66" s="215"/>
      <c r="AM66" s="215"/>
    </row>
    <row r="67" spans="1:39" s="119" customFormat="1" ht="18" customHeight="1" thickBot="1" x14ac:dyDescent="0.35">
      <c r="A67" s="136" t="s">
        <v>61</v>
      </c>
      <c r="B67" s="135" t="s">
        <v>239</v>
      </c>
      <c r="C67" s="288">
        <v>296617</v>
      </c>
      <c r="D67" s="136"/>
      <c r="E67" s="186">
        <f t="shared" si="0"/>
        <v>296617</v>
      </c>
      <c r="F67" s="186">
        <f t="shared" si="1"/>
        <v>224013.55</v>
      </c>
      <c r="G67" s="186">
        <f t="shared" si="2"/>
        <v>72603.450000000012</v>
      </c>
      <c r="H67" s="212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>
        <v>166637.57999999999</v>
      </c>
      <c r="T67" s="213">
        <v>46161.49</v>
      </c>
      <c r="U67" s="213">
        <v>11047.28</v>
      </c>
      <c r="V67" s="213">
        <v>167.2</v>
      </c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4"/>
      <c r="AJ67" s="215"/>
      <c r="AK67" s="215"/>
      <c r="AL67" s="215"/>
      <c r="AM67" s="215"/>
    </row>
    <row r="68" spans="1:39" s="119" customFormat="1" ht="18" customHeight="1" thickBot="1" x14ac:dyDescent="0.35">
      <c r="A68" s="136" t="s">
        <v>62</v>
      </c>
      <c r="B68" s="135" t="s">
        <v>240</v>
      </c>
      <c r="C68" s="288">
        <v>30001</v>
      </c>
      <c r="D68" s="136"/>
      <c r="E68" s="186">
        <f t="shared" si="0"/>
        <v>30001</v>
      </c>
      <c r="F68" s="186">
        <f t="shared" si="1"/>
        <v>0</v>
      </c>
      <c r="G68" s="186">
        <f t="shared" si="2"/>
        <v>30001</v>
      </c>
      <c r="H68" s="212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4"/>
      <c r="AJ68" s="215"/>
      <c r="AK68" s="215"/>
      <c r="AL68" s="215"/>
      <c r="AM68" s="215"/>
    </row>
    <row r="69" spans="1:39" s="119" customFormat="1" ht="18" customHeight="1" thickBot="1" x14ac:dyDescent="0.35">
      <c r="A69" s="136" t="s">
        <v>63</v>
      </c>
      <c r="B69" s="135" t="s">
        <v>241</v>
      </c>
      <c r="C69" s="288">
        <v>17124</v>
      </c>
      <c r="D69" s="136"/>
      <c r="E69" s="186">
        <f t="shared" si="0"/>
        <v>17124</v>
      </c>
      <c r="F69" s="186">
        <f t="shared" si="1"/>
        <v>7127.83</v>
      </c>
      <c r="G69" s="186">
        <f t="shared" si="2"/>
        <v>9996.17</v>
      </c>
      <c r="H69" s="212"/>
      <c r="I69" s="213"/>
      <c r="J69" s="213"/>
      <c r="K69" s="213"/>
      <c r="L69" s="213"/>
      <c r="M69" s="213"/>
      <c r="N69" s="213"/>
      <c r="O69" s="213">
        <v>813.24</v>
      </c>
      <c r="P69" s="213"/>
      <c r="Q69" s="213"/>
      <c r="R69" s="213"/>
      <c r="S69" s="213"/>
      <c r="T69" s="213"/>
      <c r="U69" s="213"/>
      <c r="V69" s="213">
        <v>6314.59</v>
      </c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4"/>
      <c r="AJ69" s="215"/>
      <c r="AK69" s="215"/>
      <c r="AL69" s="215"/>
      <c r="AM69" s="215"/>
    </row>
    <row r="70" spans="1:39" s="119" customFormat="1" ht="18" customHeight="1" thickBot="1" x14ac:dyDescent="0.35">
      <c r="A70" s="136" t="s">
        <v>64</v>
      </c>
      <c r="B70" s="135" t="s">
        <v>242</v>
      </c>
      <c r="C70" s="288">
        <v>9668</v>
      </c>
      <c r="D70" s="136"/>
      <c r="E70" s="186">
        <f t="shared" si="0"/>
        <v>9668</v>
      </c>
      <c r="F70" s="186">
        <f t="shared" si="1"/>
        <v>9668</v>
      </c>
      <c r="G70" s="186">
        <f t="shared" si="2"/>
        <v>0</v>
      </c>
      <c r="H70" s="212"/>
      <c r="I70" s="213"/>
      <c r="J70" s="213"/>
      <c r="K70" s="213"/>
      <c r="L70" s="213"/>
      <c r="M70" s="213"/>
      <c r="N70" s="215"/>
      <c r="O70" s="213"/>
      <c r="P70" s="213"/>
      <c r="Q70" s="213"/>
      <c r="R70" s="213"/>
      <c r="S70" s="213"/>
      <c r="T70" s="213"/>
      <c r="U70" s="213"/>
      <c r="V70" s="213">
        <v>9668</v>
      </c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4"/>
      <c r="AJ70" s="215"/>
      <c r="AK70" s="215"/>
      <c r="AL70" s="215"/>
      <c r="AM70" s="215"/>
    </row>
    <row r="71" spans="1:39" s="119" customFormat="1" ht="18" customHeight="1" thickBot="1" x14ac:dyDescent="0.35">
      <c r="A71" s="136" t="s">
        <v>65</v>
      </c>
      <c r="B71" s="135" t="s">
        <v>243</v>
      </c>
      <c r="C71" s="288">
        <v>92484</v>
      </c>
      <c r="D71" s="136"/>
      <c r="E71" s="186">
        <f t="shared" si="0"/>
        <v>92484</v>
      </c>
      <c r="F71" s="186">
        <f t="shared" si="1"/>
        <v>43120.9</v>
      </c>
      <c r="G71" s="186">
        <f t="shared" si="2"/>
        <v>49363.1</v>
      </c>
      <c r="H71" s="212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>
        <v>43120.9</v>
      </c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4"/>
      <c r="AJ71" s="215"/>
      <c r="AK71" s="215"/>
      <c r="AL71" s="215"/>
      <c r="AM71" s="215"/>
    </row>
    <row r="72" spans="1:39" s="119" customFormat="1" ht="18" customHeight="1" thickBot="1" x14ac:dyDescent="0.35">
      <c r="A72" s="136" t="s">
        <v>66</v>
      </c>
      <c r="B72" s="135" t="s">
        <v>244</v>
      </c>
      <c r="C72" s="288">
        <v>309560</v>
      </c>
      <c r="D72" s="136"/>
      <c r="E72" s="186">
        <f t="shared" si="0"/>
        <v>309560</v>
      </c>
      <c r="F72" s="186">
        <f t="shared" si="1"/>
        <v>3023</v>
      </c>
      <c r="G72" s="186">
        <f t="shared" si="2"/>
        <v>306537</v>
      </c>
      <c r="H72" s="212"/>
      <c r="I72" s="213"/>
      <c r="J72" s="213"/>
      <c r="K72" s="213"/>
      <c r="L72" s="213"/>
      <c r="M72" s="213"/>
      <c r="O72" s="213"/>
      <c r="P72" s="213"/>
      <c r="Q72" s="213"/>
      <c r="R72" s="213"/>
      <c r="S72" s="213"/>
      <c r="T72" s="213">
        <v>3023</v>
      </c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4"/>
      <c r="AJ72" s="215"/>
      <c r="AK72" s="215"/>
      <c r="AL72" s="215"/>
      <c r="AM72" s="215"/>
    </row>
    <row r="73" spans="1:39" s="119" customFormat="1" ht="18" customHeight="1" thickBot="1" x14ac:dyDescent="0.35">
      <c r="A73" s="136" t="s">
        <v>67</v>
      </c>
      <c r="B73" s="135" t="s">
        <v>245</v>
      </c>
      <c r="C73" s="288">
        <v>3257</v>
      </c>
      <c r="D73" s="136"/>
      <c r="E73" s="186">
        <f t="shared" si="0"/>
        <v>3257</v>
      </c>
      <c r="F73" s="186">
        <f t="shared" si="1"/>
        <v>2528</v>
      </c>
      <c r="G73" s="186">
        <f t="shared" si="2"/>
        <v>729</v>
      </c>
      <c r="H73" s="212"/>
      <c r="I73" s="213"/>
      <c r="J73" s="213"/>
      <c r="K73" s="213"/>
      <c r="L73" s="213"/>
      <c r="M73" s="213"/>
      <c r="N73" s="213"/>
      <c r="O73" s="213">
        <v>2528</v>
      </c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4"/>
      <c r="AJ73" s="215"/>
      <c r="AK73" s="215"/>
      <c r="AL73" s="215"/>
      <c r="AM73" s="215"/>
    </row>
    <row r="74" spans="1:39" s="119" customFormat="1" ht="18" customHeight="1" thickBot="1" x14ac:dyDescent="0.35">
      <c r="A74" s="136" t="s">
        <v>68</v>
      </c>
      <c r="B74" s="135" t="s">
        <v>246</v>
      </c>
      <c r="C74" s="288">
        <v>12888</v>
      </c>
      <c r="D74" s="136"/>
      <c r="E74" s="186">
        <f t="shared" si="0"/>
        <v>12888</v>
      </c>
      <c r="F74" s="186">
        <f t="shared" si="1"/>
        <v>12863</v>
      </c>
      <c r="G74" s="186">
        <f t="shared" si="2"/>
        <v>25</v>
      </c>
      <c r="H74" s="212"/>
      <c r="I74" s="213"/>
      <c r="J74" s="213"/>
      <c r="K74" s="213"/>
      <c r="L74" s="213">
        <v>5379.59</v>
      </c>
      <c r="M74" s="213"/>
      <c r="N74" s="215"/>
      <c r="O74" s="213">
        <v>4598.1099999999997</v>
      </c>
      <c r="P74" s="213"/>
      <c r="Q74" s="213">
        <v>2885.3</v>
      </c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4"/>
      <c r="AJ74" s="215"/>
      <c r="AK74" s="215"/>
      <c r="AL74" s="215"/>
      <c r="AM74" s="215"/>
    </row>
    <row r="75" spans="1:39" s="119" customFormat="1" ht="18" customHeight="1" thickBot="1" x14ac:dyDescent="0.35">
      <c r="A75" s="136" t="s">
        <v>69</v>
      </c>
      <c r="B75" s="135" t="s">
        <v>247</v>
      </c>
      <c r="C75" s="288">
        <v>160049</v>
      </c>
      <c r="D75" s="136"/>
      <c r="E75" s="186">
        <f t="shared" si="0"/>
        <v>160049</v>
      </c>
      <c r="F75" s="186">
        <f t="shared" si="1"/>
        <v>35117.620000000003</v>
      </c>
      <c r="G75" s="186">
        <f t="shared" si="2"/>
        <v>124931.38</v>
      </c>
      <c r="H75" s="212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>
        <v>35117.620000000003</v>
      </c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4"/>
      <c r="AJ75" s="215"/>
      <c r="AK75" s="215"/>
      <c r="AL75" s="215"/>
      <c r="AM75" s="215"/>
    </row>
    <row r="76" spans="1:39" s="119" customFormat="1" ht="18" customHeight="1" thickBot="1" x14ac:dyDescent="0.35">
      <c r="A76" s="136" t="s">
        <v>70</v>
      </c>
      <c r="B76" s="135" t="s">
        <v>248</v>
      </c>
      <c r="C76" s="288">
        <v>60336</v>
      </c>
      <c r="D76" s="136"/>
      <c r="E76" s="186">
        <f t="shared" si="0"/>
        <v>60336</v>
      </c>
      <c r="F76" s="186">
        <f t="shared" si="1"/>
        <v>33160.160000000003</v>
      </c>
      <c r="G76" s="186">
        <f t="shared" si="2"/>
        <v>27175.839999999997</v>
      </c>
      <c r="H76" s="212"/>
      <c r="I76" s="213"/>
      <c r="J76" s="213"/>
      <c r="K76" s="213"/>
      <c r="L76" s="213"/>
      <c r="M76" s="213"/>
      <c r="N76" s="213"/>
      <c r="O76" s="213">
        <v>3485.23</v>
      </c>
      <c r="P76" s="213"/>
      <c r="Q76" s="213"/>
      <c r="R76" s="213"/>
      <c r="S76" s="189">
        <v>14948.72</v>
      </c>
      <c r="T76" s="213">
        <v>14726.21</v>
      </c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4"/>
      <c r="AJ76" s="215"/>
      <c r="AK76" s="215"/>
      <c r="AL76" s="215"/>
      <c r="AM76" s="215"/>
    </row>
    <row r="77" spans="1:39" s="119" customFormat="1" ht="18" customHeight="1" thickBot="1" x14ac:dyDescent="0.35">
      <c r="A77" s="136" t="s">
        <v>71</v>
      </c>
      <c r="B77" s="135" t="s">
        <v>249</v>
      </c>
      <c r="C77" s="288">
        <v>11175</v>
      </c>
      <c r="D77" s="136"/>
      <c r="E77" s="186">
        <f t="shared" ref="E77:E140" si="3">C77</f>
        <v>11175</v>
      </c>
      <c r="F77" s="186">
        <f t="shared" ref="F77:F140" si="4">SUM(H77:AK77)</f>
        <v>11175</v>
      </c>
      <c r="G77" s="186">
        <f t="shared" ref="G77:G140" si="5">E77-(F77+AL77+AM77)</f>
        <v>0</v>
      </c>
      <c r="H77" s="212"/>
      <c r="I77" s="213"/>
      <c r="J77" s="213"/>
      <c r="K77" s="213"/>
      <c r="L77" s="213"/>
      <c r="M77" s="213"/>
      <c r="N77" s="213"/>
      <c r="O77" s="213"/>
      <c r="P77" s="213"/>
      <c r="Q77" s="213"/>
      <c r="R77" s="198"/>
      <c r="S77" s="189">
        <v>11175</v>
      </c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4"/>
      <c r="AJ77" s="215"/>
      <c r="AK77" s="215"/>
      <c r="AL77" s="215"/>
      <c r="AM77" s="215"/>
    </row>
    <row r="78" spans="1:39" s="119" customFormat="1" ht="18" customHeight="1" thickBot="1" x14ac:dyDescent="0.35">
      <c r="A78" s="136" t="s">
        <v>72</v>
      </c>
      <c r="B78" s="135" t="s">
        <v>250</v>
      </c>
      <c r="C78" s="288">
        <v>143438</v>
      </c>
      <c r="D78" s="136"/>
      <c r="E78" s="186">
        <f t="shared" si="3"/>
        <v>143438</v>
      </c>
      <c r="F78" s="186">
        <f t="shared" si="4"/>
        <v>119903.33</v>
      </c>
      <c r="G78" s="186">
        <f t="shared" si="5"/>
        <v>23534.67</v>
      </c>
      <c r="H78" s="212"/>
      <c r="I78" s="213"/>
      <c r="J78" s="213"/>
      <c r="K78" s="213"/>
      <c r="L78" s="213"/>
      <c r="M78" s="213"/>
      <c r="N78" s="213"/>
      <c r="O78" s="213">
        <v>76576.33</v>
      </c>
      <c r="P78" s="213"/>
      <c r="Q78" s="213"/>
      <c r="R78" s="198"/>
      <c r="S78" s="198"/>
      <c r="T78" s="213"/>
      <c r="U78" s="213">
        <v>43327</v>
      </c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4"/>
      <c r="AJ78" s="215"/>
      <c r="AK78" s="215"/>
      <c r="AL78" s="215"/>
      <c r="AM78" s="215"/>
    </row>
    <row r="79" spans="1:39" s="119" customFormat="1" ht="18" customHeight="1" thickBot="1" x14ac:dyDescent="0.35">
      <c r="A79" s="136" t="s">
        <v>73</v>
      </c>
      <c r="B79" s="135" t="s">
        <v>251</v>
      </c>
      <c r="C79" s="288">
        <v>126423</v>
      </c>
      <c r="D79" s="136"/>
      <c r="E79" s="186">
        <f t="shared" si="3"/>
        <v>126423</v>
      </c>
      <c r="F79" s="186">
        <f t="shared" si="4"/>
        <v>0</v>
      </c>
      <c r="G79" s="186">
        <f t="shared" si="5"/>
        <v>126423</v>
      </c>
      <c r="H79" s="212"/>
      <c r="I79" s="213"/>
      <c r="J79" s="213"/>
      <c r="K79" s="213"/>
      <c r="L79" s="213"/>
      <c r="M79" s="213"/>
      <c r="N79" s="213"/>
      <c r="O79" s="213"/>
      <c r="P79" s="213"/>
      <c r="Q79" s="213"/>
      <c r="R79" s="189"/>
      <c r="S79" s="198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4"/>
      <c r="AJ79" s="215"/>
      <c r="AK79" s="215"/>
      <c r="AL79" s="215"/>
      <c r="AM79" s="215"/>
    </row>
    <row r="80" spans="1:39" s="119" customFormat="1" ht="18" customHeight="1" thickBot="1" x14ac:dyDescent="0.35">
      <c r="A80" s="136" t="s">
        <v>74</v>
      </c>
      <c r="B80" s="135" t="s">
        <v>252</v>
      </c>
      <c r="C80" s="288">
        <v>39199</v>
      </c>
      <c r="D80" s="136"/>
      <c r="E80" s="186">
        <f t="shared" si="3"/>
        <v>39199</v>
      </c>
      <c r="F80" s="186">
        <f t="shared" si="4"/>
        <v>39199</v>
      </c>
      <c r="G80" s="186">
        <f t="shared" si="5"/>
        <v>0</v>
      </c>
      <c r="H80" s="212"/>
      <c r="I80" s="213"/>
      <c r="J80" s="213"/>
      <c r="K80" s="213"/>
      <c r="L80" s="213"/>
      <c r="M80" s="213"/>
      <c r="N80" s="213"/>
      <c r="O80" s="213"/>
      <c r="P80" s="213">
        <v>25254.23</v>
      </c>
      <c r="Q80" s="213"/>
      <c r="R80" s="198"/>
      <c r="S80" s="198">
        <v>13944.77</v>
      </c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4"/>
      <c r="AJ80" s="215"/>
      <c r="AK80" s="215"/>
      <c r="AL80" s="215"/>
      <c r="AM80" s="215"/>
    </row>
    <row r="81" spans="1:39" s="119" customFormat="1" ht="18" customHeight="1" thickBot="1" x14ac:dyDescent="0.35">
      <c r="A81" s="136" t="s">
        <v>75</v>
      </c>
      <c r="B81" s="135" t="s">
        <v>253</v>
      </c>
      <c r="C81" s="288">
        <v>5035</v>
      </c>
      <c r="D81" s="136"/>
      <c r="E81" s="186">
        <f t="shared" si="3"/>
        <v>5035</v>
      </c>
      <c r="F81" s="186">
        <f t="shared" si="4"/>
        <v>4723</v>
      </c>
      <c r="G81" s="186">
        <f t="shared" si="5"/>
        <v>312</v>
      </c>
      <c r="H81" s="212"/>
      <c r="I81" s="213"/>
      <c r="J81" s="213"/>
      <c r="K81" s="213"/>
      <c r="L81" s="213"/>
      <c r="M81" s="213">
        <v>4723</v>
      </c>
      <c r="N81" s="213"/>
      <c r="O81" s="213"/>
      <c r="P81" s="213"/>
      <c r="Q81" s="213"/>
      <c r="R81" s="198"/>
      <c r="S81" s="198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4"/>
      <c r="AJ81" s="215"/>
      <c r="AK81" s="215"/>
      <c r="AL81" s="215"/>
      <c r="AM81" s="215"/>
    </row>
    <row r="82" spans="1:39" s="119" customFormat="1" ht="18" customHeight="1" thickBot="1" x14ac:dyDescent="0.35">
      <c r="A82" s="136" t="s">
        <v>76</v>
      </c>
      <c r="B82" s="135" t="s">
        <v>254</v>
      </c>
      <c r="C82" s="288">
        <v>21717</v>
      </c>
      <c r="D82" s="136"/>
      <c r="E82" s="186">
        <f t="shared" si="3"/>
        <v>21717</v>
      </c>
      <c r="F82" s="186">
        <f t="shared" si="4"/>
        <v>21717</v>
      </c>
      <c r="G82" s="186">
        <f t="shared" si="5"/>
        <v>0</v>
      </c>
      <c r="H82" s="212"/>
      <c r="I82" s="213"/>
      <c r="J82" s="213"/>
      <c r="K82" s="213"/>
      <c r="L82" s="213"/>
      <c r="M82" s="213"/>
      <c r="O82" s="213"/>
      <c r="P82" s="213"/>
      <c r="Q82" s="213"/>
      <c r="R82" s="198">
        <v>21717</v>
      </c>
      <c r="S82" s="198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4"/>
      <c r="AJ82" s="215"/>
      <c r="AK82" s="215"/>
      <c r="AL82" s="215"/>
      <c r="AM82" s="215"/>
    </row>
    <row r="83" spans="1:39" s="119" customFormat="1" ht="18" customHeight="1" thickBot="1" x14ac:dyDescent="0.35">
      <c r="A83" s="136" t="s">
        <v>77</v>
      </c>
      <c r="B83" s="135" t="s">
        <v>255</v>
      </c>
      <c r="C83" s="288">
        <v>21384</v>
      </c>
      <c r="D83" s="136"/>
      <c r="E83" s="186">
        <f t="shared" si="3"/>
        <v>21384</v>
      </c>
      <c r="F83" s="186">
        <f t="shared" si="4"/>
        <v>669.99</v>
      </c>
      <c r="G83" s="186">
        <f t="shared" si="5"/>
        <v>20714.009999999998</v>
      </c>
      <c r="H83" s="212"/>
      <c r="I83" s="213"/>
      <c r="J83" s="213"/>
      <c r="K83" s="213"/>
      <c r="L83" s="213"/>
      <c r="M83" s="213"/>
      <c r="N83" s="213"/>
      <c r="O83" s="213"/>
      <c r="P83" s="213"/>
      <c r="Q83" s="213"/>
      <c r="R83" s="198">
        <v>669.99</v>
      </c>
      <c r="S83" s="198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4"/>
      <c r="AJ83" s="215"/>
      <c r="AK83" s="215"/>
      <c r="AL83" s="215"/>
      <c r="AM83" s="215"/>
    </row>
    <row r="84" spans="1:39" s="119" customFormat="1" ht="18" customHeight="1" thickBot="1" x14ac:dyDescent="0.35">
      <c r="A84" s="136" t="s">
        <v>78</v>
      </c>
      <c r="B84" s="135" t="s">
        <v>256</v>
      </c>
      <c r="C84" s="288">
        <v>48227</v>
      </c>
      <c r="D84" s="136"/>
      <c r="E84" s="186">
        <f t="shared" si="3"/>
        <v>48227</v>
      </c>
      <c r="F84" s="186">
        <f t="shared" si="4"/>
        <v>44688</v>
      </c>
      <c r="G84" s="186">
        <f t="shared" si="5"/>
        <v>3539</v>
      </c>
      <c r="H84" s="212"/>
      <c r="I84" s="213"/>
      <c r="J84" s="213"/>
      <c r="K84" s="213"/>
      <c r="L84" s="213"/>
      <c r="M84" s="213"/>
      <c r="N84" s="213"/>
      <c r="O84" s="213">
        <v>19787.169999999998</v>
      </c>
      <c r="P84" s="213"/>
      <c r="Q84" s="213"/>
      <c r="R84" s="198"/>
      <c r="S84" s="198"/>
      <c r="T84" s="213"/>
      <c r="U84" s="213">
        <v>24900.83</v>
      </c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4"/>
      <c r="AJ84" s="215"/>
      <c r="AK84" s="215"/>
      <c r="AL84" s="215"/>
      <c r="AM84" s="215"/>
    </row>
    <row r="85" spans="1:39" s="119" customFormat="1" ht="18" customHeight="1" thickBot="1" x14ac:dyDescent="0.35">
      <c r="A85" s="136" t="s">
        <v>79</v>
      </c>
      <c r="B85" s="135" t="s">
        <v>257</v>
      </c>
      <c r="C85" s="288">
        <v>3324</v>
      </c>
      <c r="D85" s="136"/>
      <c r="E85" s="186">
        <f t="shared" si="3"/>
        <v>3324</v>
      </c>
      <c r="F85" s="186">
        <f t="shared" si="4"/>
        <v>3324</v>
      </c>
      <c r="G85" s="186">
        <f t="shared" si="5"/>
        <v>0</v>
      </c>
      <c r="H85" s="212"/>
      <c r="I85" s="213"/>
      <c r="J85" s="213"/>
      <c r="K85" s="213"/>
      <c r="L85" s="213"/>
      <c r="M85" s="213"/>
      <c r="N85" s="213"/>
      <c r="O85" s="213"/>
      <c r="P85" s="213"/>
      <c r="Q85" s="213"/>
      <c r="R85" s="198">
        <v>3324</v>
      </c>
      <c r="S85" s="198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4"/>
      <c r="AJ85" s="215"/>
      <c r="AK85" s="215"/>
      <c r="AL85" s="215"/>
      <c r="AM85" s="215"/>
    </row>
    <row r="86" spans="1:39" s="119" customFormat="1" ht="18" customHeight="1" thickBot="1" x14ac:dyDescent="0.35">
      <c r="A86" s="136" t="s">
        <v>80</v>
      </c>
      <c r="B86" s="135" t="s">
        <v>258</v>
      </c>
      <c r="C86" s="288">
        <v>46386</v>
      </c>
      <c r="D86" s="136"/>
      <c r="E86" s="186">
        <f t="shared" si="3"/>
        <v>46386</v>
      </c>
      <c r="F86" s="186">
        <f t="shared" si="4"/>
        <v>39998.379999999997</v>
      </c>
      <c r="G86" s="186">
        <f t="shared" si="5"/>
        <v>6387.6200000000026</v>
      </c>
      <c r="H86" s="212"/>
      <c r="I86" s="213"/>
      <c r="J86" s="213"/>
      <c r="K86" s="213"/>
      <c r="L86" s="213"/>
      <c r="M86" s="213">
        <v>8787.34</v>
      </c>
      <c r="N86" s="213"/>
      <c r="O86" s="213">
        <v>8305.9599999999991</v>
      </c>
      <c r="P86" s="213">
        <v>2924.56</v>
      </c>
      <c r="Q86" s="213"/>
      <c r="R86" s="198">
        <v>732.36</v>
      </c>
      <c r="S86" s="198">
        <f>8274.21+2159.46</f>
        <v>10433.669999999998</v>
      </c>
      <c r="T86" s="213">
        <v>2391.81</v>
      </c>
      <c r="U86" s="213">
        <v>6422.68</v>
      </c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4"/>
      <c r="AJ86" s="215"/>
      <c r="AK86" s="215"/>
      <c r="AL86" s="215"/>
      <c r="AM86" s="215"/>
    </row>
    <row r="87" spans="1:39" s="119" customFormat="1" ht="18" customHeight="1" thickBot="1" x14ac:dyDescent="0.35">
      <c r="A87" s="136" t="s">
        <v>81</v>
      </c>
      <c r="B87" s="135" t="s">
        <v>259</v>
      </c>
      <c r="C87" s="288">
        <v>10066</v>
      </c>
      <c r="D87" s="136"/>
      <c r="E87" s="186">
        <f t="shared" si="3"/>
        <v>10066</v>
      </c>
      <c r="F87" s="186">
        <f t="shared" si="4"/>
        <v>8805.4599999999991</v>
      </c>
      <c r="G87" s="186">
        <f t="shared" si="5"/>
        <v>1260.5400000000009</v>
      </c>
      <c r="H87" s="212"/>
      <c r="I87" s="213"/>
      <c r="J87" s="213"/>
      <c r="K87" s="213">
        <v>881</v>
      </c>
      <c r="L87" s="213">
        <v>880</v>
      </c>
      <c r="M87" s="213">
        <v>880.62</v>
      </c>
      <c r="N87" s="213">
        <v>880.57</v>
      </c>
      <c r="O87" s="213">
        <v>880.54</v>
      </c>
      <c r="P87" s="213">
        <v>880.54</v>
      </c>
      <c r="Q87" s="213">
        <v>880.54</v>
      </c>
      <c r="R87" s="189"/>
      <c r="S87" s="189"/>
      <c r="T87" s="213">
        <v>2641.65</v>
      </c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4"/>
      <c r="AJ87" s="215"/>
      <c r="AK87" s="215"/>
      <c r="AL87" s="215"/>
      <c r="AM87" s="215"/>
    </row>
    <row r="88" spans="1:39" s="119" customFormat="1" ht="18" customHeight="1" thickBot="1" x14ac:dyDescent="0.35">
      <c r="A88" s="136" t="s">
        <v>82</v>
      </c>
      <c r="B88" s="135" t="s">
        <v>260</v>
      </c>
      <c r="C88" s="288">
        <v>6718</v>
      </c>
      <c r="D88" s="136"/>
      <c r="E88" s="186">
        <f t="shared" si="3"/>
        <v>6718</v>
      </c>
      <c r="F88" s="186">
        <f t="shared" si="4"/>
        <v>6718</v>
      </c>
      <c r="G88" s="186">
        <f t="shared" si="5"/>
        <v>0</v>
      </c>
      <c r="H88" s="212"/>
      <c r="I88" s="213"/>
      <c r="J88" s="213"/>
      <c r="K88" s="213"/>
      <c r="L88" s="213"/>
      <c r="M88" s="213"/>
      <c r="N88" s="213"/>
      <c r="O88" s="213"/>
      <c r="P88" s="213"/>
      <c r="Q88" s="213"/>
      <c r="R88" s="198">
        <v>2964.07</v>
      </c>
      <c r="S88" s="198">
        <v>3753.93</v>
      </c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4"/>
      <c r="AJ88" s="215"/>
      <c r="AK88" s="215"/>
      <c r="AL88" s="215"/>
      <c r="AM88" s="215"/>
    </row>
    <row r="89" spans="1:39" s="119" customFormat="1" ht="18" customHeight="1" thickBot="1" x14ac:dyDescent="0.35">
      <c r="A89" s="136" t="s">
        <v>83</v>
      </c>
      <c r="B89" s="135" t="s">
        <v>261</v>
      </c>
      <c r="C89" s="288">
        <v>1847137</v>
      </c>
      <c r="D89" s="136"/>
      <c r="E89" s="186">
        <f t="shared" si="3"/>
        <v>1847137</v>
      </c>
      <c r="F89" s="186">
        <f t="shared" si="4"/>
        <v>1011222.08</v>
      </c>
      <c r="G89" s="186">
        <f t="shared" si="5"/>
        <v>835914.92</v>
      </c>
      <c r="H89" s="212"/>
      <c r="I89" s="213"/>
      <c r="J89" s="213"/>
      <c r="K89" s="213"/>
      <c r="L89" s="213"/>
      <c r="M89" s="213"/>
      <c r="N89" s="213"/>
      <c r="O89" s="213">
        <v>181033.35</v>
      </c>
      <c r="P89" s="213">
        <v>103296.19</v>
      </c>
      <c r="Q89" s="213">
        <v>140566.48000000001</v>
      </c>
      <c r="R89" s="189">
        <f>148953.62+117293.39</f>
        <v>266247.01</v>
      </c>
      <c r="S89" s="189">
        <v>168352.72</v>
      </c>
      <c r="T89" s="213">
        <v>151726.32999999999</v>
      </c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4"/>
      <c r="AJ89" s="215"/>
      <c r="AK89" s="215"/>
      <c r="AL89" s="215"/>
      <c r="AM89" s="215"/>
    </row>
    <row r="90" spans="1:39" s="119" customFormat="1" ht="18" customHeight="1" thickBot="1" x14ac:dyDescent="0.35">
      <c r="A90" s="136" t="s">
        <v>84</v>
      </c>
      <c r="B90" s="135" t="s">
        <v>262</v>
      </c>
      <c r="C90" s="288">
        <v>6254</v>
      </c>
      <c r="D90" s="136"/>
      <c r="E90" s="186">
        <f t="shared" si="3"/>
        <v>6254</v>
      </c>
      <c r="F90" s="186">
        <f t="shared" si="4"/>
        <v>6251</v>
      </c>
      <c r="G90" s="186">
        <f t="shared" si="5"/>
        <v>3</v>
      </c>
      <c r="H90" s="212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>
        <v>6251</v>
      </c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4"/>
      <c r="AJ90" s="215"/>
      <c r="AK90" s="215"/>
      <c r="AL90" s="215"/>
      <c r="AM90" s="215"/>
    </row>
    <row r="91" spans="1:39" s="119" customFormat="1" ht="18" customHeight="1" thickBot="1" x14ac:dyDescent="0.35">
      <c r="A91" s="136" t="s">
        <v>85</v>
      </c>
      <c r="B91" s="135" t="s">
        <v>263</v>
      </c>
      <c r="C91" s="288">
        <v>2226</v>
      </c>
      <c r="D91" s="136"/>
      <c r="E91" s="186">
        <f t="shared" si="3"/>
        <v>2226</v>
      </c>
      <c r="F91" s="186">
        <f t="shared" si="4"/>
        <v>2108.64</v>
      </c>
      <c r="G91" s="186">
        <f t="shared" si="5"/>
        <v>117.36000000000013</v>
      </c>
      <c r="H91" s="212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>
        <v>2108.64</v>
      </c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4"/>
      <c r="AJ91" s="215"/>
      <c r="AK91" s="215"/>
      <c r="AL91" s="215"/>
      <c r="AM91" s="215"/>
    </row>
    <row r="92" spans="1:39" s="119" customFormat="1" ht="18" customHeight="1" thickBot="1" x14ac:dyDescent="0.35">
      <c r="A92" s="136" t="s">
        <v>86</v>
      </c>
      <c r="B92" s="135" t="s">
        <v>264</v>
      </c>
      <c r="C92" s="288">
        <v>7290</v>
      </c>
      <c r="D92" s="136" t="s">
        <v>370</v>
      </c>
      <c r="E92" s="278">
        <v>0</v>
      </c>
      <c r="F92" s="186">
        <f t="shared" si="4"/>
        <v>0</v>
      </c>
      <c r="G92" s="186">
        <f t="shared" si="5"/>
        <v>0</v>
      </c>
      <c r="H92" s="212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4"/>
      <c r="AJ92" s="215"/>
      <c r="AK92" s="215"/>
      <c r="AL92" s="215"/>
      <c r="AM92" s="215"/>
    </row>
    <row r="93" spans="1:39" s="119" customFormat="1" ht="18" customHeight="1" thickBot="1" x14ac:dyDescent="0.35">
      <c r="A93" s="136" t="s">
        <v>87</v>
      </c>
      <c r="B93" s="135" t="s">
        <v>265</v>
      </c>
      <c r="C93" s="288">
        <v>8979</v>
      </c>
      <c r="D93" s="136" t="s">
        <v>370</v>
      </c>
      <c r="E93" s="278">
        <v>0</v>
      </c>
      <c r="F93" s="186">
        <f t="shared" si="4"/>
        <v>0</v>
      </c>
      <c r="G93" s="186">
        <f t="shared" si="5"/>
        <v>0</v>
      </c>
      <c r="H93" s="212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4"/>
      <c r="AJ93" s="215"/>
      <c r="AK93" s="215"/>
      <c r="AL93" s="215"/>
      <c r="AM93" s="215"/>
    </row>
    <row r="94" spans="1:39" s="119" customFormat="1" ht="18" customHeight="1" thickBot="1" x14ac:dyDescent="0.35">
      <c r="A94" s="136" t="s">
        <v>88</v>
      </c>
      <c r="B94" s="135" t="s">
        <v>266</v>
      </c>
      <c r="C94" s="288">
        <v>7071</v>
      </c>
      <c r="D94" s="136" t="s">
        <v>370</v>
      </c>
      <c r="E94" s="278">
        <v>0</v>
      </c>
      <c r="F94" s="186">
        <f t="shared" si="4"/>
        <v>0</v>
      </c>
      <c r="G94" s="186">
        <f t="shared" si="5"/>
        <v>0</v>
      </c>
      <c r="H94" s="212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4"/>
      <c r="AJ94" s="215"/>
      <c r="AK94" s="215"/>
      <c r="AL94" s="215"/>
      <c r="AM94" s="215"/>
    </row>
    <row r="95" spans="1:39" s="119" customFormat="1" ht="18" customHeight="1" thickBot="1" x14ac:dyDescent="0.35">
      <c r="A95" s="136" t="s">
        <v>89</v>
      </c>
      <c r="B95" s="135" t="s">
        <v>267</v>
      </c>
      <c r="C95" s="288">
        <v>3058</v>
      </c>
      <c r="D95" s="136" t="s">
        <v>370</v>
      </c>
      <c r="E95" s="278">
        <v>0</v>
      </c>
      <c r="F95" s="186">
        <f t="shared" si="4"/>
        <v>0</v>
      </c>
      <c r="G95" s="186">
        <f t="shared" si="5"/>
        <v>0</v>
      </c>
      <c r="H95" s="212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4"/>
      <c r="AJ95" s="215"/>
      <c r="AK95" s="215"/>
      <c r="AL95" s="215"/>
      <c r="AM95" s="215"/>
    </row>
    <row r="96" spans="1:39" s="119" customFormat="1" ht="18" customHeight="1" thickBot="1" x14ac:dyDescent="0.35">
      <c r="A96" s="136" t="s">
        <v>90</v>
      </c>
      <c r="B96" s="135" t="s">
        <v>268</v>
      </c>
      <c r="C96" s="288">
        <v>33076</v>
      </c>
      <c r="D96" s="136" t="s">
        <v>370</v>
      </c>
      <c r="E96" s="278">
        <v>0</v>
      </c>
      <c r="F96" s="186">
        <f t="shared" si="4"/>
        <v>0</v>
      </c>
      <c r="G96" s="186">
        <f t="shared" si="5"/>
        <v>0</v>
      </c>
      <c r="H96" s="212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4"/>
      <c r="AJ96" s="215"/>
      <c r="AK96" s="215"/>
      <c r="AL96" s="215"/>
      <c r="AM96" s="215"/>
    </row>
    <row r="97" spans="1:39" s="119" customFormat="1" ht="18" customHeight="1" thickBot="1" x14ac:dyDescent="0.35">
      <c r="A97" s="136" t="s">
        <v>91</v>
      </c>
      <c r="B97" s="135" t="s">
        <v>269</v>
      </c>
      <c r="C97" s="288">
        <v>43267</v>
      </c>
      <c r="D97" s="136"/>
      <c r="E97" s="186">
        <f t="shared" si="3"/>
        <v>43267</v>
      </c>
      <c r="F97" s="186">
        <f t="shared" si="4"/>
        <v>43267</v>
      </c>
      <c r="G97" s="186">
        <f t="shared" si="5"/>
        <v>0</v>
      </c>
      <c r="H97" s="212"/>
      <c r="I97" s="213"/>
      <c r="J97" s="213"/>
      <c r="K97" s="213"/>
      <c r="L97" s="213"/>
      <c r="M97" s="213"/>
      <c r="N97" s="213"/>
      <c r="O97" s="213">
        <f>3130.85+3546.42</f>
        <v>6677.27</v>
      </c>
      <c r="P97" s="213">
        <f>11064.63+3546.42</f>
        <v>14611.05</v>
      </c>
      <c r="Q97" s="213">
        <v>3546.42</v>
      </c>
      <c r="R97" s="213">
        <v>3546.42</v>
      </c>
      <c r="S97" s="213">
        <v>14885.84</v>
      </c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4"/>
      <c r="AJ97" s="215"/>
      <c r="AK97" s="215"/>
      <c r="AL97" s="215"/>
      <c r="AM97" s="215"/>
    </row>
    <row r="98" spans="1:39" s="119" customFormat="1" ht="18" customHeight="1" thickBot="1" x14ac:dyDescent="0.35">
      <c r="A98" s="136" t="s">
        <v>92</v>
      </c>
      <c r="B98" s="135" t="s">
        <v>270</v>
      </c>
      <c r="C98" s="288">
        <v>147863</v>
      </c>
      <c r="D98" s="136"/>
      <c r="E98" s="186">
        <f t="shared" si="3"/>
        <v>147863</v>
      </c>
      <c r="F98" s="186">
        <f t="shared" si="4"/>
        <v>92616.859999999986</v>
      </c>
      <c r="G98" s="186">
        <f t="shared" si="5"/>
        <v>55246.140000000014</v>
      </c>
      <c r="H98" s="212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>
        <f>82744.93+9871.93</f>
        <v>92616.859999999986</v>
      </c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4"/>
      <c r="AJ98" s="215"/>
      <c r="AK98" s="215"/>
      <c r="AL98" s="215"/>
      <c r="AM98" s="215"/>
    </row>
    <row r="99" spans="1:39" s="119" customFormat="1" ht="18" customHeight="1" thickBot="1" x14ac:dyDescent="0.35">
      <c r="A99" s="136" t="s">
        <v>93</v>
      </c>
      <c r="B99" s="135" t="s">
        <v>271</v>
      </c>
      <c r="C99" s="288">
        <v>34726</v>
      </c>
      <c r="D99" s="136"/>
      <c r="E99" s="186">
        <f t="shared" si="3"/>
        <v>34726</v>
      </c>
      <c r="F99" s="186">
        <f t="shared" si="4"/>
        <v>31254.89</v>
      </c>
      <c r="G99" s="186">
        <f t="shared" si="5"/>
        <v>3471.1100000000006</v>
      </c>
      <c r="H99" s="212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>
        <v>31254.89</v>
      </c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4"/>
      <c r="AJ99" s="215"/>
      <c r="AK99" s="215"/>
      <c r="AL99" s="215"/>
      <c r="AM99" s="215"/>
    </row>
    <row r="100" spans="1:39" s="119" customFormat="1" ht="18" customHeight="1" thickBot="1" x14ac:dyDescent="0.35">
      <c r="A100" s="136" t="s">
        <v>94</v>
      </c>
      <c r="B100" s="135" t="s">
        <v>272</v>
      </c>
      <c r="C100" s="288">
        <v>48114</v>
      </c>
      <c r="D100" s="136"/>
      <c r="E100" s="186">
        <f t="shared" si="3"/>
        <v>48114</v>
      </c>
      <c r="F100" s="186">
        <f t="shared" si="4"/>
        <v>16733.580000000002</v>
      </c>
      <c r="G100" s="186">
        <f t="shared" si="5"/>
        <v>31380.42</v>
      </c>
      <c r="H100" s="212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>
        <v>16733.580000000002</v>
      </c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4"/>
      <c r="AJ100" s="215"/>
      <c r="AK100" s="215"/>
      <c r="AL100" s="215"/>
      <c r="AM100" s="215"/>
    </row>
    <row r="101" spans="1:39" s="119" customFormat="1" ht="18" customHeight="1" thickBot="1" x14ac:dyDescent="0.35">
      <c r="A101" s="136" t="s">
        <v>95</v>
      </c>
      <c r="B101" s="135" t="s">
        <v>273</v>
      </c>
      <c r="C101" s="288">
        <v>591498</v>
      </c>
      <c r="D101" s="136"/>
      <c r="E101" s="186">
        <f t="shared" si="3"/>
        <v>591498</v>
      </c>
      <c r="F101" s="186">
        <f t="shared" si="4"/>
        <v>0</v>
      </c>
      <c r="G101" s="186">
        <f t="shared" si="5"/>
        <v>591498</v>
      </c>
      <c r="H101" s="212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4"/>
      <c r="AJ101" s="215"/>
      <c r="AK101" s="215"/>
      <c r="AL101" s="215"/>
      <c r="AM101" s="215"/>
    </row>
    <row r="102" spans="1:39" s="119" customFormat="1" ht="18" customHeight="1" thickBot="1" x14ac:dyDescent="0.35">
      <c r="A102" s="136" t="s">
        <v>96</v>
      </c>
      <c r="B102" s="135" t="s">
        <v>274</v>
      </c>
      <c r="C102" s="288">
        <v>432857</v>
      </c>
      <c r="D102" s="136"/>
      <c r="E102" s="186">
        <f t="shared" si="3"/>
        <v>432857</v>
      </c>
      <c r="F102" s="186">
        <f t="shared" si="4"/>
        <v>69030.45</v>
      </c>
      <c r="G102" s="186">
        <f t="shared" si="5"/>
        <v>363826.55</v>
      </c>
      <c r="H102" s="212"/>
      <c r="I102" s="213"/>
      <c r="J102" s="213"/>
      <c r="K102" s="213"/>
      <c r="L102" s="213"/>
      <c r="M102" s="213"/>
      <c r="O102" s="213"/>
      <c r="P102" s="213"/>
      <c r="Q102" s="213"/>
      <c r="R102" s="213"/>
      <c r="S102" s="213">
        <v>69030.45</v>
      </c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4"/>
      <c r="AJ102" s="215"/>
      <c r="AK102" s="215"/>
      <c r="AL102" s="215"/>
      <c r="AM102" s="215"/>
    </row>
    <row r="103" spans="1:39" s="119" customFormat="1" ht="18" customHeight="1" thickBot="1" x14ac:dyDescent="0.35">
      <c r="A103" s="136" t="s">
        <v>97</v>
      </c>
      <c r="B103" s="135" t="s">
        <v>275</v>
      </c>
      <c r="C103" s="288">
        <v>24374</v>
      </c>
      <c r="D103" s="136"/>
      <c r="E103" s="186">
        <f t="shared" si="3"/>
        <v>24374</v>
      </c>
      <c r="F103" s="186">
        <f t="shared" si="4"/>
        <v>23974.400000000001</v>
      </c>
      <c r="G103" s="186">
        <f t="shared" si="5"/>
        <v>399.59999999999854</v>
      </c>
      <c r="H103" s="212"/>
      <c r="I103" s="213"/>
      <c r="J103" s="213"/>
      <c r="K103" s="213"/>
      <c r="L103" s="213">
        <v>1398.5</v>
      </c>
      <c r="M103" s="213">
        <v>992.48</v>
      </c>
      <c r="N103" s="213">
        <v>447.6</v>
      </c>
      <c r="O103" s="213">
        <v>1815.74</v>
      </c>
      <c r="P103" s="213"/>
      <c r="Q103" s="213">
        <v>5520.7</v>
      </c>
      <c r="R103" s="213">
        <v>257.94</v>
      </c>
      <c r="S103" s="213">
        <v>3469.1</v>
      </c>
      <c r="T103" s="213">
        <v>5319.3</v>
      </c>
      <c r="U103" s="213"/>
      <c r="V103" s="213">
        <v>4753.04</v>
      </c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4"/>
      <c r="AJ103" s="215"/>
      <c r="AK103" s="215"/>
      <c r="AL103" s="215"/>
      <c r="AM103" s="215"/>
    </row>
    <row r="104" spans="1:39" s="119" customFormat="1" ht="18" customHeight="1" thickBot="1" x14ac:dyDescent="0.35">
      <c r="A104" s="136" t="s">
        <v>98</v>
      </c>
      <c r="B104" s="135" t="s">
        <v>276</v>
      </c>
      <c r="C104" s="288">
        <v>68722</v>
      </c>
      <c r="D104" s="136"/>
      <c r="E104" s="186">
        <f t="shared" si="3"/>
        <v>68722</v>
      </c>
      <c r="F104" s="186">
        <f t="shared" si="4"/>
        <v>65620.11</v>
      </c>
      <c r="G104" s="186">
        <f t="shared" si="5"/>
        <v>3101.8899999999994</v>
      </c>
      <c r="H104" s="212"/>
      <c r="I104" s="213"/>
      <c r="J104" s="213"/>
      <c r="K104" s="213"/>
      <c r="L104" s="213"/>
      <c r="M104" s="213"/>
      <c r="N104" s="213"/>
      <c r="O104" s="213"/>
      <c r="P104" s="213">
        <v>30688</v>
      </c>
      <c r="Q104" s="213"/>
      <c r="R104" s="213"/>
      <c r="S104" s="213"/>
      <c r="T104" s="213"/>
      <c r="U104" s="213">
        <f>28778.61+6153.5</f>
        <v>34932.11</v>
      </c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4"/>
      <c r="AJ104" s="215"/>
      <c r="AK104" s="215"/>
      <c r="AL104" s="215"/>
      <c r="AM104" s="215"/>
    </row>
    <row r="105" spans="1:39" s="119" customFormat="1" ht="18" customHeight="1" thickBot="1" x14ac:dyDescent="0.35">
      <c r="A105" s="136" t="s">
        <v>99</v>
      </c>
      <c r="B105" s="135" t="s">
        <v>277</v>
      </c>
      <c r="C105" s="288">
        <v>4686</v>
      </c>
      <c r="D105" s="136"/>
      <c r="E105" s="186">
        <f t="shared" si="3"/>
        <v>4686</v>
      </c>
      <c r="F105" s="186">
        <f t="shared" si="4"/>
        <v>4686</v>
      </c>
      <c r="G105" s="186">
        <f t="shared" si="5"/>
        <v>0</v>
      </c>
      <c r="H105" s="212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198">
        <v>4686</v>
      </c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4"/>
      <c r="AJ105" s="215"/>
      <c r="AK105" s="215"/>
      <c r="AL105" s="215"/>
      <c r="AM105" s="215"/>
    </row>
    <row r="106" spans="1:39" s="119" customFormat="1" ht="18" customHeight="1" thickBot="1" x14ac:dyDescent="0.35">
      <c r="A106" s="136" t="s">
        <v>100</v>
      </c>
      <c r="B106" s="135" t="s">
        <v>278</v>
      </c>
      <c r="C106" s="288">
        <v>14258</v>
      </c>
      <c r="D106" s="136"/>
      <c r="E106" s="186">
        <f t="shared" si="3"/>
        <v>14258</v>
      </c>
      <c r="F106" s="186">
        <f t="shared" si="4"/>
        <v>14254</v>
      </c>
      <c r="G106" s="186">
        <f t="shared" si="5"/>
        <v>4</v>
      </c>
      <c r="H106" s="212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>
        <v>14254</v>
      </c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4"/>
      <c r="AJ106" s="215"/>
      <c r="AK106" s="215"/>
      <c r="AL106" s="215"/>
      <c r="AM106" s="215"/>
    </row>
    <row r="107" spans="1:39" s="119" customFormat="1" ht="18" customHeight="1" thickBot="1" x14ac:dyDescent="0.35">
      <c r="A107" s="136" t="s">
        <v>101</v>
      </c>
      <c r="B107" s="135" t="s">
        <v>279</v>
      </c>
      <c r="C107" s="288">
        <v>5789</v>
      </c>
      <c r="D107" s="136"/>
      <c r="E107" s="186">
        <f t="shared" si="3"/>
        <v>5789</v>
      </c>
      <c r="F107" s="186">
        <f t="shared" si="4"/>
        <v>5789</v>
      </c>
      <c r="G107" s="186">
        <f t="shared" si="5"/>
        <v>0</v>
      </c>
      <c r="H107" s="212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>
        <v>5789</v>
      </c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4"/>
      <c r="AJ107" s="215"/>
      <c r="AK107" s="215"/>
      <c r="AL107" s="215"/>
      <c r="AM107" s="215"/>
    </row>
    <row r="108" spans="1:39" s="119" customFormat="1" ht="18" customHeight="1" thickBot="1" x14ac:dyDescent="0.35">
      <c r="A108" s="136" t="s">
        <v>102</v>
      </c>
      <c r="B108" s="135" t="s">
        <v>280</v>
      </c>
      <c r="C108" s="288">
        <v>1276</v>
      </c>
      <c r="D108" s="136"/>
      <c r="E108" s="186">
        <f t="shared" si="3"/>
        <v>1276</v>
      </c>
      <c r="F108" s="186">
        <f t="shared" si="4"/>
        <v>0</v>
      </c>
      <c r="G108" s="186">
        <f t="shared" si="5"/>
        <v>1276</v>
      </c>
      <c r="H108" s="212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4"/>
      <c r="AJ108" s="215"/>
      <c r="AK108" s="215"/>
      <c r="AL108" s="215"/>
      <c r="AM108" s="215"/>
    </row>
    <row r="109" spans="1:39" s="119" customFormat="1" ht="18" customHeight="1" thickBot="1" x14ac:dyDescent="0.35">
      <c r="A109" s="136" t="s">
        <v>103</v>
      </c>
      <c r="B109" s="135" t="s">
        <v>281</v>
      </c>
      <c r="C109" s="288">
        <v>1930</v>
      </c>
      <c r="D109" s="136"/>
      <c r="E109" s="186">
        <f t="shared" si="3"/>
        <v>1930</v>
      </c>
      <c r="F109" s="186">
        <f t="shared" si="4"/>
        <v>1928</v>
      </c>
      <c r="G109" s="186">
        <f t="shared" si="5"/>
        <v>2</v>
      </c>
      <c r="H109" s="212"/>
      <c r="I109" s="213"/>
      <c r="J109" s="213"/>
      <c r="K109" s="213"/>
      <c r="L109" s="213"/>
      <c r="M109" s="213">
        <v>1928</v>
      </c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4"/>
      <c r="AJ109" s="215"/>
      <c r="AK109" s="215"/>
      <c r="AL109" s="215"/>
      <c r="AM109" s="215"/>
    </row>
    <row r="110" spans="1:39" s="119" customFormat="1" ht="18" customHeight="1" thickBot="1" x14ac:dyDescent="0.35">
      <c r="A110" s="136" t="s">
        <v>104</v>
      </c>
      <c r="B110" s="135" t="s">
        <v>282</v>
      </c>
      <c r="C110" s="288">
        <v>7770</v>
      </c>
      <c r="D110" s="136" t="s">
        <v>370</v>
      </c>
      <c r="E110" s="278">
        <v>0</v>
      </c>
      <c r="F110" s="186">
        <f t="shared" si="4"/>
        <v>0</v>
      </c>
      <c r="G110" s="186">
        <f t="shared" si="5"/>
        <v>0</v>
      </c>
      <c r="H110" s="212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4"/>
      <c r="AJ110" s="215"/>
      <c r="AK110" s="215"/>
      <c r="AL110" s="215"/>
      <c r="AM110" s="215"/>
    </row>
    <row r="111" spans="1:39" s="119" customFormat="1" ht="18" customHeight="1" thickBot="1" x14ac:dyDescent="0.35">
      <c r="A111" s="136" t="s">
        <v>105</v>
      </c>
      <c r="B111" s="135" t="s">
        <v>283</v>
      </c>
      <c r="C111" s="288">
        <v>23028</v>
      </c>
      <c r="D111" s="136" t="s">
        <v>370</v>
      </c>
      <c r="E111" s="278">
        <v>0</v>
      </c>
      <c r="F111" s="186">
        <f t="shared" si="4"/>
        <v>0</v>
      </c>
      <c r="G111" s="186">
        <f t="shared" si="5"/>
        <v>0</v>
      </c>
      <c r="H111" s="212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4"/>
      <c r="AJ111" s="215"/>
      <c r="AK111" s="215"/>
      <c r="AL111" s="215"/>
      <c r="AM111" s="215"/>
    </row>
    <row r="112" spans="1:39" s="119" customFormat="1" ht="18" customHeight="1" thickBot="1" x14ac:dyDescent="0.35">
      <c r="A112" s="136" t="s">
        <v>106</v>
      </c>
      <c r="B112" s="135" t="s">
        <v>284</v>
      </c>
      <c r="C112" s="288">
        <v>3119</v>
      </c>
      <c r="D112" s="136" t="s">
        <v>370</v>
      </c>
      <c r="E112" s="278">
        <v>0</v>
      </c>
      <c r="F112" s="186">
        <f t="shared" si="4"/>
        <v>0</v>
      </c>
      <c r="G112" s="186">
        <f t="shared" si="5"/>
        <v>0</v>
      </c>
      <c r="H112" s="212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4"/>
      <c r="AJ112" s="215"/>
      <c r="AK112" s="215"/>
      <c r="AL112" s="215"/>
      <c r="AM112" s="215"/>
    </row>
    <row r="113" spans="1:39" s="119" customFormat="1" ht="18" customHeight="1" thickBot="1" x14ac:dyDescent="0.35">
      <c r="A113" s="136" t="s">
        <v>107</v>
      </c>
      <c r="B113" s="135" t="s">
        <v>285</v>
      </c>
      <c r="C113" s="288">
        <v>94916</v>
      </c>
      <c r="D113" s="136" t="s">
        <v>371</v>
      </c>
      <c r="E113" s="278">
        <v>0</v>
      </c>
      <c r="F113" s="186">
        <f t="shared" si="4"/>
        <v>0</v>
      </c>
      <c r="G113" s="186">
        <f t="shared" si="5"/>
        <v>0</v>
      </c>
      <c r="H113" s="212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4"/>
      <c r="AJ113" s="215"/>
      <c r="AK113" s="215"/>
      <c r="AL113" s="215"/>
      <c r="AM113" s="215"/>
    </row>
    <row r="114" spans="1:39" s="119" customFormat="1" ht="18" customHeight="1" thickBot="1" x14ac:dyDescent="0.35">
      <c r="A114" s="136" t="s">
        <v>108</v>
      </c>
      <c r="B114" s="135" t="s">
        <v>286</v>
      </c>
      <c r="C114" s="288">
        <v>8132</v>
      </c>
      <c r="D114" s="136" t="s">
        <v>372</v>
      </c>
      <c r="E114" s="278">
        <v>0</v>
      </c>
      <c r="F114" s="186">
        <f t="shared" si="4"/>
        <v>0</v>
      </c>
      <c r="G114" s="186">
        <f t="shared" si="5"/>
        <v>0</v>
      </c>
      <c r="H114" s="212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4"/>
      <c r="AJ114" s="215"/>
      <c r="AK114" s="215"/>
      <c r="AL114" s="215"/>
      <c r="AM114" s="215"/>
    </row>
    <row r="115" spans="1:39" s="119" customFormat="1" ht="18" customHeight="1" thickBot="1" x14ac:dyDescent="0.35">
      <c r="A115" s="136" t="s">
        <v>109</v>
      </c>
      <c r="B115" s="135" t="s">
        <v>287</v>
      </c>
      <c r="C115" s="288">
        <v>3299</v>
      </c>
      <c r="D115" s="136"/>
      <c r="E115" s="186">
        <f t="shared" si="3"/>
        <v>3299</v>
      </c>
      <c r="F115" s="186">
        <f t="shared" si="4"/>
        <v>1654.27</v>
      </c>
      <c r="G115" s="186">
        <f t="shared" si="5"/>
        <v>1644.73</v>
      </c>
      <c r="H115" s="212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>
        <v>1654.27</v>
      </c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4"/>
      <c r="AJ115" s="215"/>
      <c r="AK115" s="215"/>
      <c r="AL115" s="215"/>
      <c r="AM115" s="215"/>
    </row>
    <row r="116" spans="1:39" s="119" customFormat="1" ht="18" customHeight="1" thickBot="1" x14ac:dyDescent="0.35">
      <c r="A116" s="136" t="s">
        <v>110</v>
      </c>
      <c r="B116" s="135" t="s">
        <v>288</v>
      </c>
      <c r="C116" s="288">
        <v>2711</v>
      </c>
      <c r="D116" s="136" t="s">
        <v>372</v>
      </c>
      <c r="E116" s="278">
        <v>0</v>
      </c>
      <c r="F116" s="186">
        <f t="shared" si="4"/>
        <v>0</v>
      </c>
      <c r="G116" s="186">
        <f t="shared" si="5"/>
        <v>0</v>
      </c>
      <c r="H116" s="212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4"/>
      <c r="AJ116" s="215"/>
      <c r="AK116" s="215"/>
      <c r="AL116" s="215"/>
      <c r="AM116" s="215"/>
    </row>
    <row r="117" spans="1:39" s="119" customFormat="1" ht="18" customHeight="1" thickBot="1" x14ac:dyDescent="0.35">
      <c r="A117" s="136" t="s">
        <v>111</v>
      </c>
      <c r="B117" s="135" t="s">
        <v>289</v>
      </c>
      <c r="C117" s="288">
        <v>2829</v>
      </c>
      <c r="D117" s="136"/>
      <c r="E117" s="186">
        <f t="shared" si="3"/>
        <v>2829</v>
      </c>
      <c r="F117" s="186">
        <f t="shared" si="4"/>
        <v>2829</v>
      </c>
      <c r="G117" s="186">
        <f t="shared" si="5"/>
        <v>0</v>
      </c>
      <c r="H117" s="212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>
        <v>2829</v>
      </c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4"/>
      <c r="AJ117" s="215"/>
      <c r="AK117" s="215"/>
      <c r="AL117" s="215"/>
      <c r="AM117" s="215"/>
    </row>
    <row r="118" spans="1:39" s="119" customFormat="1" ht="18" customHeight="1" thickBot="1" x14ac:dyDescent="0.35">
      <c r="A118" s="136" t="s">
        <v>112</v>
      </c>
      <c r="B118" s="135" t="s">
        <v>290</v>
      </c>
      <c r="C118" s="288">
        <v>12692</v>
      </c>
      <c r="D118" s="136"/>
      <c r="E118" s="186">
        <f t="shared" si="3"/>
        <v>12692</v>
      </c>
      <c r="F118" s="186">
        <f t="shared" si="4"/>
        <v>8260.119999999999</v>
      </c>
      <c r="G118" s="186">
        <f t="shared" si="5"/>
        <v>4431.880000000001</v>
      </c>
      <c r="H118" s="212"/>
      <c r="I118" s="213"/>
      <c r="J118" s="213"/>
      <c r="K118" s="213"/>
      <c r="L118" s="213"/>
      <c r="M118" s="213"/>
      <c r="N118" s="213">
        <v>4099.8900000000003</v>
      </c>
      <c r="O118" s="213"/>
      <c r="P118" s="213"/>
      <c r="Q118" s="213">
        <v>3120.18</v>
      </c>
      <c r="R118" s="213"/>
      <c r="S118" s="213"/>
      <c r="T118" s="213"/>
      <c r="U118" s="213">
        <v>1040.05</v>
      </c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4"/>
      <c r="AJ118" s="215"/>
      <c r="AK118" s="215"/>
      <c r="AL118" s="215"/>
      <c r="AM118" s="215"/>
    </row>
    <row r="119" spans="1:39" s="119" customFormat="1" ht="18" customHeight="1" thickBot="1" x14ac:dyDescent="0.35">
      <c r="A119" s="136" t="s">
        <v>113</v>
      </c>
      <c r="B119" s="135" t="s">
        <v>291</v>
      </c>
      <c r="C119" s="288">
        <v>677898</v>
      </c>
      <c r="D119" s="136"/>
      <c r="E119" s="186">
        <f t="shared" si="3"/>
        <v>677898</v>
      </c>
      <c r="F119" s="186">
        <f t="shared" si="4"/>
        <v>381968.82</v>
      </c>
      <c r="G119" s="186">
        <f t="shared" si="5"/>
        <v>295929.18</v>
      </c>
      <c r="H119" s="212"/>
      <c r="I119" s="213"/>
      <c r="J119" s="213"/>
      <c r="K119" s="213"/>
      <c r="L119" s="213"/>
      <c r="M119" s="213"/>
      <c r="N119" s="213"/>
      <c r="O119" s="213"/>
      <c r="P119" s="213"/>
      <c r="Q119" s="213">
        <v>58478.3</v>
      </c>
      <c r="R119" s="213">
        <v>78038.009999999995</v>
      </c>
      <c r="S119" s="213">
        <v>59249.29</v>
      </c>
      <c r="T119" s="213"/>
      <c r="U119" s="213"/>
      <c r="V119" s="213">
        <v>186203.22</v>
      </c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4"/>
      <c r="AJ119" s="215"/>
      <c r="AK119" s="215"/>
      <c r="AL119" s="215"/>
      <c r="AM119" s="215"/>
    </row>
    <row r="120" spans="1:39" s="119" customFormat="1" ht="18" customHeight="1" thickBot="1" x14ac:dyDescent="0.35">
      <c r="A120" s="136" t="s">
        <v>114</v>
      </c>
      <c r="B120" s="135" t="s">
        <v>292</v>
      </c>
      <c r="C120" s="288">
        <v>2660</v>
      </c>
      <c r="D120" s="136"/>
      <c r="E120" s="186">
        <f t="shared" si="3"/>
        <v>2660</v>
      </c>
      <c r="F120" s="186">
        <f t="shared" si="4"/>
        <v>2660</v>
      </c>
      <c r="G120" s="186">
        <f t="shared" si="5"/>
        <v>0</v>
      </c>
      <c r="H120" s="212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>
        <v>2660</v>
      </c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4"/>
      <c r="AJ120" s="215"/>
      <c r="AK120" s="215"/>
      <c r="AL120" s="215"/>
      <c r="AM120" s="215"/>
    </row>
    <row r="121" spans="1:39" s="119" customFormat="1" ht="18" customHeight="1" thickBot="1" x14ac:dyDescent="0.35">
      <c r="A121" s="136" t="s">
        <v>115</v>
      </c>
      <c r="B121" s="135" t="s">
        <v>293</v>
      </c>
      <c r="C121" s="288">
        <v>69442</v>
      </c>
      <c r="D121" s="136"/>
      <c r="E121" s="186">
        <f t="shared" si="3"/>
        <v>69442</v>
      </c>
      <c r="F121" s="186">
        <f t="shared" si="4"/>
        <v>69442</v>
      </c>
      <c r="G121" s="186">
        <f t="shared" si="5"/>
        <v>0</v>
      </c>
      <c r="H121" s="212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>
        <v>69442</v>
      </c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4"/>
      <c r="AJ121" s="215"/>
      <c r="AK121" s="215"/>
      <c r="AL121" s="215"/>
      <c r="AM121" s="215"/>
    </row>
    <row r="122" spans="1:39" s="119" customFormat="1" ht="18" customHeight="1" thickBot="1" x14ac:dyDescent="0.35">
      <c r="A122" s="136" t="s">
        <v>116</v>
      </c>
      <c r="B122" s="135" t="s">
        <v>294</v>
      </c>
      <c r="C122" s="288">
        <v>155997</v>
      </c>
      <c r="D122" s="136"/>
      <c r="E122" s="186">
        <f t="shared" si="3"/>
        <v>155997</v>
      </c>
      <c r="F122" s="186">
        <f t="shared" si="4"/>
        <v>129656.53</v>
      </c>
      <c r="G122" s="186">
        <f t="shared" si="5"/>
        <v>26340.47</v>
      </c>
      <c r="H122" s="212"/>
      <c r="I122" s="213"/>
      <c r="J122" s="213"/>
      <c r="K122" s="213"/>
      <c r="L122" s="213"/>
      <c r="M122" s="213">
        <v>479.51</v>
      </c>
      <c r="N122" s="213">
        <v>38325.89</v>
      </c>
      <c r="O122" s="213">
        <v>8231.14</v>
      </c>
      <c r="P122" s="213">
        <v>5644.49</v>
      </c>
      <c r="Q122" s="213">
        <v>8307.93</v>
      </c>
      <c r="R122" s="213"/>
      <c r="S122" s="213"/>
      <c r="T122" s="213">
        <f>11201.48+9299.31+48166.78</f>
        <v>68667.570000000007</v>
      </c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4"/>
      <c r="AJ122" s="215"/>
      <c r="AK122" s="215"/>
      <c r="AL122" s="215"/>
      <c r="AM122" s="215"/>
    </row>
    <row r="123" spans="1:39" s="119" customFormat="1" ht="18" customHeight="1" thickBot="1" x14ac:dyDescent="0.35">
      <c r="A123" s="136" t="s">
        <v>117</v>
      </c>
      <c r="B123" s="135" t="s">
        <v>295</v>
      </c>
      <c r="C123" s="288">
        <v>12739</v>
      </c>
      <c r="D123" s="136"/>
      <c r="E123" s="186">
        <f t="shared" si="3"/>
        <v>12739</v>
      </c>
      <c r="F123" s="186">
        <f t="shared" si="4"/>
        <v>12739</v>
      </c>
      <c r="G123" s="186">
        <f t="shared" si="5"/>
        <v>0</v>
      </c>
      <c r="H123" s="212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>
        <v>12739</v>
      </c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4"/>
      <c r="AJ123" s="215"/>
      <c r="AK123" s="215"/>
      <c r="AL123" s="215"/>
      <c r="AM123" s="215"/>
    </row>
    <row r="124" spans="1:39" s="119" customFormat="1" ht="18" customHeight="1" thickBot="1" x14ac:dyDescent="0.35">
      <c r="A124" s="136" t="s">
        <v>118</v>
      </c>
      <c r="B124" s="135" t="s">
        <v>296</v>
      </c>
      <c r="C124" s="288">
        <v>25825</v>
      </c>
      <c r="D124" s="136"/>
      <c r="E124" s="186">
        <f t="shared" si="3"/>
        <v>25825</v>
      </c>
      <c r="F124" s="186">
        <f t="shared" si="4"/>
        <v>25750</v>
      </c>
      <c r="G124" s="186">
        <f t="shared" si="5"/>
        <v>75</v>
      </c>
      <c r="H124" s="212"/>
      <c r="I124" s="213"/>
      <c r="J124" s="213"/>
      <c r="K124" s="213"/>
      <c r="L124" s="213"/>
      <c r="M124" s="213"/>
      <c r="N124" s="213"/>
      <c r="O124" s="213">
        <v>15707.14</v>
      </c>
      <c r="P124" s="213">
        <v>1582.41</v>
      </c>
      <c r="Q124" s="213">
        <v>3196.7</v>
      </c>
      <c r="R124" s="213">
        <v>2631.87</v>
      </c>
      <c r="S124" s="213">
        <v>2631.88</v>
      </c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4"/>
      <c r="AJ124" s="215"/>
      <c r="AK124" s="215"/>
      <c r="AL124" s="215"/>
      <c r="AM124" s="215"/>
    </row>
    <row r="125" spans="1:39" s="119" customFormat="1" ht="18" customHeight="1" thickBot="1" x14ac:dyDescent="0.35">
      <c r="A125" s="136" t="s">
        <v>119</v>
      </c>
      <c r="B125" s="135" t="s">
        <v>297</v>
      </c>
      <c r="C125" s="288">
        <v>247022</v>
      </c>
      <c r="D125" s="136"/>
      <c r="E125" s="186">
        <f t="shared" si="3"/>
        <v>247022</v>
      </c>
      <c r="F125" s="186">
        <f t="shared" si="4"/>
        <v>181819.90999999997</v>
      </c>
      <c r="G125" s="186">
        <f t="shared" si="5"/>
        <v>65202.090000000026</v>
      </c>
      <c r="H125" s="212"/>
      <c r="I125" s="213"/>
      <c r="J125" s="213"/>
      <c r="K125" s="213"/>
      <c r="L125" s="213"/>
      <c r="M125" s="213"/>
      <c r="N125" s="213">
        <v>26218.76</v>
      </c>
      <c r="O125" s="213">
        <v>13551.45</v>
      </c>
      <c r="P125" s="213">
        <v>17253.28</v>
      </c>
      <c r="Q125" s="213">
        <v>29872.7</v>
      </c>
      <c r="R125" s="213">
        <v>23458.61</v>
      </c>
      <c r="S125" s="213">
        <v>42682.879999999997</v>
      </c>
      <c r="T125" s="213">
        <v>16877.61</v>
      </c>
      <c r="U125" s="213"/>
      <c r="V125" s="213">
        <v>11904.62</v>
      </c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4"/>
      <c r="AJ125" s="215"/>
      <c r="AK125" s="215"/>
      <c r="AL125" s="215"/>
      <c r="AM125" s="215"/>
    </row>
    <row r="126" spans="1:39" s="119" customFormat="1" ht="18" customHeight="1" thickBot="1" x14ac:dyDescent="0.35">
      <c r="A126" s="136" t="s">
        <v>120</v>
      </c>
      <c r="B126" s="135" t="s">
        <v>298</v>
      </c>
      <c r="C126" s="288">
        <v>14968</v>
      </c>
      <c r="D126" s="136"/>
      <c r="E126" s="186">
        <f t="shared" si="3"/>
        <v>14968</v>
      </c>
      <c r="F126" s="186">
        <f t="shared" si="4"/>
        <v>5804.74</v>
      </c>
      <c r="G126" s="186">
        <f t="shared" si="5"/>
        <v>9163.26</v>
      </c>
      <c r="H126" s="212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>
        <v>5804.74</v>
      </c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4"/>
      <c r="AJ126" s="215"/>
      <c r="AK126" s="215"/>
      <c r="AL126" s="215"/>
      <c r="AM126" s="215"/>
    </row>
    <row r="127" spans="1:39" s="119" customFormat="1" ht="18" customHeight="1" thickBot="1" x14ac:dyDescent="0.35">
      <c r="A127" s="136" t="s">
        <v>121</v>
      </c>
      <c r="B127" s="135" t="s">
        <v>299</v>
      </c>
      <c r="C127" s="288">
        <v>53957</v>
      </c>
      <c r="D127" s="136" t="s">
        <v>371</v>
      </c>
      <c r="E127" s="278">
        <v>0</v>
      </c>
      <c r="F127" s="186">
        <f t="shared" si="4"/>
        <v>0</v>
      </c>
      <c r="G127" s="186">
        <f t="shared" si="5"/>
        <v>0</v>
      </c>
      <c r="H127" s="212"/>
      <c r="I127" s="213"/>
      <c r="J127" s="213"/>
      <c r="K127" s="213"/>
      <c r="L127" s="213"/>
      <c r="M127" s="213"/>
      <c r="N127" s="215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4"/>
      <c r="AJ127" s="215"/>
      <c r="AK127" s="215"/>
      <c r="AL127" s="215"/>
      <c r="AM127" s="215"/>
    </row>
    <row r="128" spans="1:39" s="119" customFormat="1" ht="18" customHeight="1" thickBot="1" x14ac:dyDescent="0.35">
      <c r="A128" s="136" t="s">
        <v>122</v>
      </c>
      <c r="B128" s="135" t="s">
        <v>300</v>
      </c>
      <c r="C128" s="288">
        <v>107117</v>
      </c>
      <c r="D128" s="136"/>
      <c r="E128" s="186">
        <f t="shared" si="3"/>
        <v>107117</v>
      </c>
      <c r="F128" s="186">
        <f t="shared" si="4"/>
        <v>78121.58</v>
      </c>
      <c r="G128" s="186">
        <f t="shared" si="5"/>
        <v>28995.42</v>
      </c>
      <c r="H128" s="212"/>
      <c r="I128" s="213"/>
      <c r="J128" s="213"/>
      <c r="K128" s="213"/>
      <c r="L128" s="213"/>
      <c r="M128" s="213">
        <v>6779.06</v>
      </c>
      <c r="N128" s="213">
        <v>7985.96</v>
      </c>
      <c r="O128" s="213">
        <v>7985.97</v>
      </c>
      <c r="P128" s="213">
        <v>7985.97</v>
      </c>
      <c r="Q128" s="213">
        <v>7985.97</v>
      </c>
      <c r="R128" s="213">
        <v>7985.97</v>
      </c>
      <c r="S128" s="213">
        <v>7985.97</v>
      </c>
      <c r="T128" s="213"/>
      <c r="U128" s="213">
        <f>8156.72+7986.79</f>
        <v>16143.51</v>
      </c>
      <c r="V128" s="213">
        <v>7283.2</v>
      </c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4"/>
      <c r="AJ128" s="215"/>
      <c r="AK128" s="215"/>
      <c r="AL128" s="215"/>
      <c r="AM128" s="215"/>
    </row>
    <row r="129" spans="1:39" s="119" customFormat="1" ht="18" customHeight="1" thickBot="1" x14ac:dyDescent="0.35">
      <c r="A129" s="136" t="s">
        <v>123</v>
      </c>
      <c r="B129" s="135" t="s">
        <v>301</v>
      </c>
      <c r="C129" s="288">
        <v>5677</v>
      </c>
      <c r="D129" s="136" t="s">
        <v>371</v>
      </c>
      <c r="E129" s="278">
        <v>0</v>
      </c>
      <c r="F129" s="186">
        <f t="shared" si="4"/>
        <v>0</v>
      </c>
      <c r="G129" s="186">
        <f t="shared" si="5"/>
        <v>0</v>
      </c>
      <c r="H129" s="212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4"/>
      <c r="AJ129" s="215"/>
      <c r="AK129" s="215"/>
      <c r="AL129" s="215"/>
      <c r="AM129" s="215"/>
    </row>
    <row r="130" spans="1:39" s="119" customFormat="1" ht="18" customHeight="1" thickBot="1" x14ac:dyDescent="0.35">
      <c r="A130" s="136" t="s">
        <v>124</v>
      </c>
      <c r="B130" s="135" t="s">
        <v>302</v>
      </c>
      <c r="C130" s="288">
        <v>12040</v>
      </c>
      <c r="D130" s="136" t="s">
        <v>371</v>
      </c>
      <c r="E130" s="278">
        <v>0</v>
      </c>
      <c r="F130" s="186">
        <f t="shared" si="4"/>
        <v>0</v>
      </c>
      <c r="G130" s="186">
        <f t="shared" si="5"/>
        <v>0</v>
      </c>
      <c r="H130" s="212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4"/>
      <c r="AJ130" s="215"/>
      <c r="AK130" s="215"/>
      <c r="AL130" s="215"/>
      <c r="AM130" s="215"/>
    </row>
    <row r="131" spans="1:39" s="119" customFormat="1" ht="18" customHeight="1" thickBot="1" x14ac:dyDescent="0.35">
      <c r="A131" s="136" t="s">
        <v>125</v>
      </c>
      <c r="B131" s="135" t="s">
        <v>303</v>
      </c>
      <c r="C131" s="288">
        <v>107522</v>
      </c>
      <c r="D131" s="136"/>
      <c r="E131" s="186">
        <f t="shared" si="3"/>
        <v>107522</v>
      </c>
      <c r="F131" s="186">
        <f t="shared" si="4"/>
        <v>87401.8</v>
      </c>
      <c r="G131" s="186">
        <f t="shared" si="5"/>
        <v>20120.199999999997</v>
      </c>
      <c r="H131" s="212"/>
      <c r="I131" s="213"/>
      <c r="J131" s="213"/>
      <c r="K131" s="213"/>
      <c r="L131" s="213"/>
      <c r="M131" s="213"/>
      <c r="N131" s="213"/>
      <c r="O131" s="213"/>
      <c r="P131" s="213">
        <v>37233.300000000003</v>
      </c>
      <c r="Q131" s="213"/>
      <c r="R131" s="213"/>
      <c r="S131" s="213">
        <v>25084.25</v>
      </c>
      <c r="T131" s="213">
        <v>25084.25</v>
      </c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4"/>
      <c r="AJ131" s="215"/>
      <c r="AK131" s="215"/>
      <c r="AL131" s="215"/>
      <c r="AM131" s="215"/>
    </row>
    <row r="132" spans="1:39" s="119" customFormat="1" ht="18" customHeight="1" thickBot="1" x14ac:dyDescent="0.35">
      <c r="A132" s="136" t="s">
        <v>126</v>
      </c>
      <c r="B132" s="135" t="s">
        <v>304</v>
      </c>
      <c r="C132" s="288">
        <v>69132</v>
      </c>
      <c r="D132" s="136"/>
      <c r="E132" s="186">
        <f t="shared" si="3"/>
        <v>69132</v>
      </c>
      <c r="F132" s="186">
        <f t="shared" si="4"/>
        <v>24294.19</v>
      </c>
      <c r="G132" s="186">
        <f t="shared" si="5"/>
        <v>44837.81</v>
      </c>
      <c r="H132" s="212"/>
      <c r="I132" s="213"/>
      <c r="J132" s="213"/>
      <c r="K132" s="213"/>
      <c r="L132" s="213"/>
      <c r="M132" s="213"/>
      <c r="N132" s="213"/>
      <c r="O132" s="213"/>
      <c r="P132" s="213">
        <v>4294</v>
      </c>
      <c r="Q132" s="213"/>
      <c r="R132" s="213"/>
      <c r="S132" s="213">
        <v>20000.189999999999</v>
      </c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4"/>
      <c r="AJ132" s="215"/>
      <c r="AK132" s="215"/>
      <c r="AL132" s="215"/>
      <c r="AM132" s="215"/>
    </row>
    <row r="133" spans="1:39" s="119" customFormat="1" ht="18" customHeight="1" thickBot="1" x14ac:dyDescent="0.35">
      <c r="A133" s="136" t="s">
        <v>127</v>
      </c>
      <c r="B133" s="135" t="s">
        <v>305</v>
      </c>
      <c r="C133" s="288">
        <v>9077</v>
      </c>
      <c r="D133" s="136"/>
      <c r="E133" s="186">
        <f t="shared" si="3"/>
        <v>9077</v>
      </c>
      <c r="F133" s="186">
        <f t="shared" si="4"/>
        <v>9077</v>
      </c>
      <c r="G133" s="186">
        <f t="shared" si="5"/>
        <v>0</v>
      </c>
      <c r="H133" s="212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>
        <v>9077</v>
      </c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4"/>
      <c r="AJ133" s="215"/>
      <c r="AK133" s="215"/>
      <c r="AL133" s="215"/>
      <c r="AM133" s="215"/>
    </row>
    <row r="134" spans="1:39" s="119" customFormat="1" ht="18" customHeight="1" thickBot="1" x14ac:dyDescent="0.35">
      <c r="A134" s="258" t="s">
        <v>128</v>
      </c>
      <c r="B134" s="135" t="s">
        <v>306</v>
      </c>
      <c r="C134" s="288">
        <v>21164</v>
      </c>
      <c r="D134" s="136"/>
      <c r="E134" s="186">
        <f t="shared" si="3"/>
        <v>21164</v>
      </c>
      <c r="F134" s="186">
        <f t="shared" si="4"/>
        <v>21089</v>
      </c>
      <c r="G134" s="186">
        <f t="shared" si="5"/>
        <v>75</v>
      </c>
      <c r="H134" s="212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>
        <v>21089</v>
      </c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4"/>
      <c r="AJ134" s="215"/>
      <c r="AK134" s="215"/>
      <c r="AL134" s="215"/>
      <c r="AM134" s="215"/>
    </row>
    <row r="135" spans="1:39" s="119" customFormat="1" ht="18" customHeight="1" thickBot="1" x14ac:dyDescent="0.35">
      <c r="A135" s="136" t="s">
        <v>129</v>
      </c>
      <c r="B135" s="135" t="s">
        <v>307</v>
      </c>
      <c r="C135" s="288">
        <v>6330</v>
      </c>
      <c r="D135" s="136"/>
      <c r="E135" s="186">
        <f t="shared" si="3"/>
        <v>6330</v>
      </c>
      <c r="F135" s="186">
        <f t="shared" si="4"/>
        <v>6330</v>
      </c>
      <c r="G135" s="186">
        <f t="shared" si="5"/>
        <v>0</v>
      </c>
      <c r="H135" s="212"/>
      <c r="I135" s="213"/>
      <c r="J135" s="213"/>
      <c r="K135" s="213"/>
      <c r="L135" s="213"/>
      <c r="M135" s="213"/>
      <c r="O135" s="213"/>
      <c r="P135" s="213"/>
      <c r="Q135" s="213"/>
      <c r="R135" s="213"/>
      <c r="S135" s="213">
        <v>6330</v>
      </c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4"/>
      <c r="AJ135" s="215"/>
      <c r="AK135" s="215"/>
      <c r="AL135" s="215"/>
      <c r="AM135" s="215"/>
    </row>
    <row r="136" spans="1:39" s="119" customFormat="1" ht="18" customHeight="1" thickBot="1" x14ac:dyDescent="0.35">
      <c r="A136" s="136" t="s">
        <v>130</v>
      </c>
      <c r="B136" s="135" t="s">
        <v>308</v>
      </c>
      <c r="C136" s="288">
        <v>13119</v>
      </c>
      <c r="D136" s="136"/>
      <c r="E136" s="186">
        <f t="shared" si="3"/>
        <v>13119</v>
      </c>
      <c r="F136" s="186">
        <f t="shared" si="4"/>
        <v>13119</v>
      </c>
      <c r="G136" s="186">
        <f t="shared" si="5"/>
        <v>0</v>
      </c>
      <c r="H136" s="212"/>
      <c r="I136" s="213"/>
      <c r="J136" s="213"/>
      <c r="K136" s="213">
        <v>1309</v>
      </c>
      <c r="L136" s="213">
        <v>1309</v>
      </c>
      <c r="M136" s="213">
        <v>1309</v>
      </c>
      <c r="N136" s="213">
        <v>1309</v>
      </c>
      <c r="O136" s="213">
        <v>1309</v>
      </c>
      <c r="P136" s="213">
        <v>1314</v>
      </c>
      <c r="Q136" s="213">
        <v>1314</v>
      </c>
      <c r="R136" s="213">
        <v>1314</v>
      </c>
      <c r="S136" s="213">
        <f>1314+1318</f>
        <v>2632</v>
      </c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4"/>
      <c r="AJ136" s="215"/>
      <c r="AK136" s="215"/>
      <c r="AL136" s="215"/>
      <c r="AM136" s="215"/>
    </row>
    <row r="137" spans="1:39" s="119" customFormat="1" ht="18" customHeight="1" thickBot="1" x14ac:dyDescent="0.35">
      <c r="A137" s="136" t="s">
        <v>131</v>
      </c>
      <c r="B137" s="135" t="s">
        <v>309</v>
      </c>
      <c r="C137" s="288">
        <v>4739</v>
      </c>
      <c r="D137" s="136"/>
      <c r="E137" s="186">
        <f t="shared" si="3"/>
        <v>4739</v>
      </c>
      <c r="F137" s="186">
        <f t="shared" si="4"/>
        <v>666</v>
      </c>
      <c r="G137" s="186">
        <f t="shared" si="5"/>
        <v>4073</v>
      </c>
      <c r="H137" s="212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>
        <v>666</v>
      </c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4"/>
      <c r="AJ137" s="215"/>
      <c r="AK137" s="215"/>
      <c r="AL137" s="215"/>
      <c r="AM137" s="215"/>
    </row>
    <row r="138" spans="1:39" s="119" customFormat="1" ht="18" customHeight="1" thickBot="1" x14ac:dyDescent="0.35">
      <c r="A138" s="136" t="s">
        <v>132</v>
      </c>
      <c r="B138" s="135" t="s">
        <v>310</v>
      </c>
      <c r="C138" s="288">
        <v>7822</v>
      </c>
      <c r="D138" s="136"/>
      <c r="E138" s="186">
        <f t="shared" si="3"/>
        <v>7822</v>
      </c>
      <c r="F138" s="186">
        <f t="shared" si="4"/>
        <v>7584</v>
      </c>
      <c r="G138" s="186">
        <f t="shared" si="5"/>
        <v>238</v>
      </c>
      <c r="H138" s="212"/>
      <c r="I138" s="213"/>
      <c r="J138" s="213"/>
      <c r="K138" s="213"/>
      <c r="L138" s="213"/>
      <c r="M138" s="213"/>
      <c r="N138" s="213"/>
      <c r="O138" s="213"/>
      <c r="P138" s="213"/>
      <c r="Q138" s="213">
        <v>7584</v>
      </c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4"/>
      <c r="AJ138" s="215"/>
      <c r="AK138" s="215"/>
      <c r="AL138" s="215"/>
      <c r="AM138" s="215"/>
    </row>
    <row r="139" spans="1:39" s="119" customFormat="1" ht="18" customHeight="1" thickBot="1" x14ac:dyDescent="0.35">
      <c r="A139" s="136" t="s">
        <v>133</v>
      </c>
      <c r="B139" s="135" t="s">
        <v>311</v>
      </c>
      <c r="C139" s="288">
        <v>38327</v>
      </c>
      <c r="D139" s="136"/>
      <c r="E139" s="186">
        <f t="shared" si="3"/>
        <v>38327</v>
      </c>
      <c r="F139" s="186">
        <f t="shared" si="4"/>
        <v>38327</v>
      </c>
      <c r="G139" s="186">
        <f t="shared" si="5"/>
        <v>0</v>
      </c>
      <c r="H139" s="212"/>
      <c r="I139" s="213"/>
      <c r="J139" s="213"/>
      <c r="K139" s="213"/>
      <c r="L139" s="213">
        <f>5536.92+32340.08</f>
        <v>37877</v>
      </c>
      <c r="M139" s="213"/>
      <c r="N139" s="213"/>
      <c r="O139" s="213"/>
      <c r="P139" s="213"/>
      <c r="Q139" s="213"/>
      <c r="R139" s="213"/>
      <c r="S139" s="213"/>
      <c r="T139" s="213">
        <v>450</v>
      </c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4"/>
      <c r="AJ139" s="215"/>
      <c r="AK139" s="215"/>
      <c r="AL139" s="215"/>
      <c r="AM139" s="215"/>
    </row>
    <row r="140" spans="1:39" s="119" customFormat="1" ht="18" customHeight="1" thickBot="1" x14ac:dyDescent="0.35">
      <c r="A140" s="136" t="s">
        <v>134</v>
      </c>
      <c r="B140" s="135" t="s">
        <v>312</v>
      </c>
      <c r="C140" s="288">
        <v>20647</v>
      </c>
      <c r="D140" s="136"/>
      <c r="E140" s="186">
        <f t="shared" si="3"/>
        <v>20647</v>
      </c>
      <c r="F140" s="186">
        <f t="shared" si="4"/>
        <v>20647</v>
      </c>
      <c r="G140" s="186">
        <f t="shared" si="5"/>
        <v>0</v>
      </c>
      <c r="H140" s="212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>
        <v>20647</v>
      </c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4"/>
      <c r="AJ140" s="215"/>
      <c r="AK140" s="215"/>
      <c r="AL140" s="215"/>
      <c r="AM140" s="215"/>
    </row>
    <row r="141" spans="1:39" s="119" customFormat="1" ht="18" customHeight="1" thickBot="1" x14ac:dyDescent="0.35">
      <c r="A141" s="136" t="s">
        <v>135</v>
      </c>
      <c r="B141" s="135" t="s">
        <v>313</v>
      </c>
      <c r="C141" s="288">
        <v>17144</v>
      </c>
      <c r="D141" s="136"/>
      <c r="E141" s="186">
        <f t="shared" ref="E141:E191" si="6">C141</f>
        <v>17144</v>
      </c>
      <c r="F141" s="186">
        <f t="shared" ref="F141:F194" si="7">SUM(H141:AK141)</f>
        <v>16238</v>
      </c>
      <c r="G141" s="186">
        <f t="shared" ref="G141:G194" si="8">E141-(F141+AL141+AM141)</f>
        <v>906</v>
      </c>
      <c r="H141" s="212"/>
      <c r="I141" s="213"/>
      <c r="J141" s="213"/>
      <c r="K141" s="213"/>
      <c r="L141" s="213"/>
      <c r="M141" s="213"/>
      <c r="N141" s="213"/>
      <c r="O141" s="213">
        <v>16238</v>
      </c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4"/>
      <c r="AJ141" s="215"/>
      <c r="AK141" s="215"/>
      <c r="AL141" s="215"/>
      <c r="AM141" s="215"/>
    </row>
    <row r="142" spans="1:39" s="119" customFormat="1" ht="18" customHeight="1" thickBot="1" x14ac:dyDescent="0.35">
      <c r="A142" s="136" t="s">
        <v>136</v>
      </c>
      <c r="B142" s="135" t="s">
        <v>314</v>
      </c>
      <c r="C142" s="288">
        <v>9276</v>
      </c>
      <c r="D142" s="136" t="s">
        <v>372</v>
      </c>
      <c r="E142" s="278">
        <v>0</v>
      </c>
      <c r="F142" s="186">
        <f t="shared" si="7"/>
        <v>0</v>
      </c>
      <c r="G142" s="186">
        <f t="shared" si="8"/>
        <v>0</v>
      </c>
      <c r="H142" s="212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4"/>
      <c r="AJ142" s="215"/>
      <c r="AK142" s="215"/>
      <c r="AL142" s="215"/>
      <c r="AM142" s="215"/>
    </row>
    <row r="143" spans="1:39" s="119" customFormat="1" ht="18" customHeight="1" thickBot="1" x14ac:dyDescent="0.35">
      <c r="A143" s="136" t="s">
        <v>137</v>
      </c>
      <c r="B143" s="135" t="s">
        <v>315</v>
      </c>
      <c r="C143" s="288">
        <v>15289</v>
      </c>
      <c r="D143" s="136"/>
      <c r="E143" s="186">
        <f t="shared" si="6"/>
        <v>15289</v>
      </c>
      <c r="F143" s="186">
        <f t="shared" si="7"/>
        <v>0</v>
      </c>
      <c r="G143" s="186">
        <f t="shared" si="8"/>
        <v>15289</v>
      </c>
      <c r="H143" s="212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4"/>
      <c r="AJ143" s="215"/>
      <c r="AK143" s="215"/>
      <c r="AL143" s="215"/>
      <c r="AM143" s="215"/>
    </row>
    <row r="144" spans="1:39" s="119" customFormat="1" ht="18" customHeight="1" thickBot="1" x14ac:dyDescent="0.35">
      <c r="A144" s="136" t="s">
        <v>138</v>
      </c>
      <c r="B144" s="135" t="s">
        <v>316</v>
      </c>
      <c r="C144" s="288">
        <v>9909</v>
      </c>
      <c r="D144" s="136"/>
      <c r="E144" s="186">
        <f t="shared" si="6"/>
        <v>9909</v>
      </c>
      <c r="F144" s="186">
        <f t="shared" si="7"/>
        <v>4500</v>
      </c>
      <c r="G144" s="186">
        <f t="shared" si="8"/>
        <v>5409</v>
      </c>
      <c r="H144" s="212"/>
      <c r="I144" s="213"/>
      <c r="J144" s="213"/>
      <c r="K144" s="213"/>
      <c r="L144" s="213"/>
      <c r="M144" s="213"/>
      <c r="O144" s="213"/>
      <c r="P144" s="213"/>
      <c r="Q144" s="213">
        <v>4500</v>
      </c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4"/>
      <c r="AJ144" s="215"/>
      <c r="AK144" s="215"/>
      <c r="AL144" s="215"/>
      <c r="AM144" s="215"/>
    </row>
    <row r="145" spans="1:39" s="119" customFormat="1" ht="18" customHeight="1" thickBot="1" x14ac:dyDescent="0.35">
      <c r="A145" s="136" t="s">
        <v>139</v>
      </c>
      <c r="B145" s="135" t="s">
        <v>317</v>
      </c>
      <c r="C145" s="288">
        <v>86839</v>
      </c>
      <c r="D145" s="136"/>
      <c r="E145" s="186">
        <f t="shared" si="6"/>
        <v>86839</v>
      </c>
      <c r="F145" s="186">
        <f t="shared" si="7"/>
        <v>85414</v>
      </c>
      <c r="G145" s="186">
        <f t="shared" si="8"/>
        <v>1425</v>
      </c>
      <c r="H145" s="212"/>
      <c r="I145" s="213"/>
      <c r="J145" s="213"/>
      <c r="K145" s="213"/>
      <c r="L145" s="213">
        <v>10229</v>
      </c>
      <c r="M145" s="213">
        <v>7235</v>
      </c>
      <c r="N145" s="213">
        <v>7235</v>
      </c>
      <c r="O145" s="213">
        <v>6984</v>
      </c>
      <c r="P145" s="213">
        <f>7236*2-1</f>
        <v>14471</v>
      </c>
      <c r="Q145" s="213">
        <v>7235</v>
      </c>
      <c r="R145" s="213"/>
      <c r="S145" s="213">
        <f>7235+7236</f>
        <v>14471</v>
      </c>
      <c r="T145" s="213"/>
      <c r="U145" s="213">
        <v>17554</v>
      </c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4"/>
      <c r="AJ145" s="215"/>
      <c r="AK145" s="215"/>
      <c r="AL145" s="215"/>
      <c r="AM145" s="215"/>
    </row>
    <row r="146" spans="1:39" s="119" customFormat="1" ht="18" customHeight="1" thickBot="1" x14ac:dyDescent="0.35">
      <c r="A146" s="136" t="s">
        <v>140</v>
      </c>
      <c r="B146" s="135" t="s">
        <v>318</v>
      </c>
      <c r="C146" s="288">
        <v>12069</v>
      </c>
      <c r="D146" s="136"/>
      <c r="E146" s="186">
        <f t="shared" si="6"/>
        <v>12069</v>
      </c>
      <c r="F146" s="186">
        <f t="shared" si="7"/>
        <v>11968</v>
      </c>
      <c r="G146" s="186">
        <f t="shared" si="8"/>
        <v>101</v>
      </c>
      <c r="H146" s="212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>
        <v>11968</v>
      </c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4"/>
      <c r="AJ146" s="215"/>
      <c r="AK146" s="215"/>
      <c r="AL146" s="215"/>
      <c r="AM146" s="215"/>
    </row>
    <row r="147" spans="1:39" s="119" customFormat="1" ht="18" customHeight="1" thickBot="1" x14ac:dyDescent="0.35">
      <c r="A147" s="136" t="s">
        <v>141</v>
      </c>
      <c r="B147" s="135" t="s">
        <v>319</v>
      </c>
      <c r="C147" s="288">
        <v>8260</v>
      </c>
      <c r="D147" s="136"/>
      <c r="E147" s="186">
        <f t="shared" si="6"/>
        <v>8260</v>
      </c>
      <c r="F147" s="186">
        <f t="shared" si="7"/>
        <v>0</v>
      </c>
      <c r="G147" s="186">
        <f t="shared" si="8"/>
        <v>8260</v>
      </c>
      <c r="H147" s="212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4"/>
      <c r="AJ147" s="215"/>
      <c r="AK147" s="215"/>
      <c r="AL147" s="215"/>
      <c r="AM147" s="215"/>
    </row>
    <row r="148" spans="1:39" s="119" customFormat="1" ht="18" customHeight="1" thickBot="1" x14ac:dyDescent="0.35">
      <c r="A148" s="136" t="s">
        <v>142</v>
      </c>
      <c r="B148" s="135" t="s">
        <v>320</v>
      </c>
      <c r="C148" s="288">
        <v>1107139</v>
      </c>
      <c r="D148" s="136"/>
      <c r="E148" s="186">
        <f t="shared" si="6"/>
        <v>1107139</v>
      </c>
      <c r="F148" s="186">
        <f t="shared" si="7"/>
        <v>548536.29</v>
      </c>
      <c r="G148" s="186">
        <f t="shared" si="8"/>
        <v>558602.71</v>
      </c>
      <c r="H148" s="212"/>
      <c r="I148" s="213"/>
      <c r="J148" s="213"/>
      <c r="K148" s="213"/>
      <c r="L148" s="213">
        <v>11148.99</v>
      </c>
      <c r="M148" s="213">
        <v>46311.3</v>
      </c>
      <c r="N148" s="274"/>
      <c r="O148" s="274">
        <v>106216.59</v>
      </c>
      <c r="P148" s="213">
        <v>49361.84</v>
      </c>
      <c r="Q148" s="213">
        <v>44502.73</v>
      </c>
      <c r="R148" s="213">
        <v>44972.25</v>
      </c>
      <c r="S148" s="213">
        <v>142521.69</v>
      </c>
      <c r="T148" s="213"/>
      <c r="U148" s="213">
        <v>103500.9</v>
      </c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4"/>
      <c r="AJ148" s="215"/>
      <c r="AK148" s="215"/>
      <c r="AL148" s="215"/>
      <c r="AM148" s="215"/>
    </row>
    <row r="149" spans="1:39" s="119" customFormat="1" ht="18" customHeight="1" thickBot="1" x14ac:dyDescent="0.35">
      <c r="A149" s="136" t="s">
        <v>143</v>
      </c>
      <c r="B149" s="135" t="s">
        <v>321</v>
      </c>
      <c r="C149" s="288">
        <v>273430</v>
      </c>
      <c r="D149" s="136"/>
      <c r="E149" s="186">
        <f t="shared" si="6"/>
        <v>273430</v>
      </c>
      <c r="F149" s="186">
        <f t="shared" si="7"/>
        <v>184692.58</v>
      </c>
      <c r="G149" s="186">
        <f t="shared" si="8"/>
        <v>88737.420000000013</v>
      </c>
      <c r="H149" s="212"/>
      <c r="I149" s="213"/>
      <c r="J149" s="213"/>
      <c r="K149" s="213"/>
      <c r="L149" s="213"/>
      <c r="M149" s="213"/>
      <c r="N149" s="213">
        <v>47100.99</v>
      </c>
      <c r="O149" s="274"/>
      <c r="P149" s="213">
        <v>9240.1200000000008</v>
      </c>
      <c r="Q149" s="213">
        <v>9240.1200000000008</v>
      </c>
      <c r="R149" s="213">
        <v>9240.1200000000008</v>
      </c>
      <c r="S149" s="213">
        <f>9240.12+64240.12</f>
        <v>73480.240000000005</v>
      </c>
      <c r="T149" s="213"/>
      <c r="U149" s="213">
        <v>36390.99</v>
      </c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4"/>
      <c r="AJ149" s="215"/>
      <c r="AK149" s="215"/>
      <c r="AL149" s="215"/>
      <c r="AM149" s="215"/>
    </row>
    <row r="150" spans="1:39" s="119" customFormat="1" ht="18" customHeight="1" thickBot="1" x14ac:dyDescent="0.35">
      <c r="A150" s="136" t="s">
        <v>144</v>
      </c>
      <c r="B150" s="135" t="s">
        <v>322</v>
      </c>
      <c r="C150" s="288">
        <v>19458</v>
      </c>
      <c r="D150" s="136"/>
      <c r="E150" s="186">
        <f t="shared" si="6"/>
        <v>19458</v>
      </c>
      <c r="F150" s="186">
        <f t="shared" si="7"/>
        <v>19458</v>
      </c>
      <c r="G150" s="186">
        <f t="shared" si="8"/>
        <v>0</v>
      </c>
      <c r="H150" s="212"/>
      <c r="I150" s="213"/>
      <c r="J150" s="213"/>
      <c r="K150" s="213">
        <v>16229</v>
      </c>
      <c r="L150" s="213"/>
      <c r="M150" s="213"/>
      <c r="N150" s="213">
        <v>3229</v>
      </c>
      <c r="O150" s="274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4"/>
      <c r="AJ150" s="215"/>
      <c r="AK150" s="215"/>
      <c r="AL150" s="215"/>
      <c r="AM150" s="215"/>
    </row>
    <row r="151" spans="1:39" s="119" customFormat="1" ht="18" customHeight="1" thickBot="1" x14ac:dyDescent="0.35">
      <c r="A151" s="136" t="s">
        <v>145</v>
      </c>
      <c r="B151" s="135" t="s">
        <v>323</v>
      </c>
      <c r="C151" s="288">
        <v>11779</v>
      </c>
      <c r="D151" s="136"/>
      <c r="E151" s="186">
        <f t="shared" si="6"/>
        <v>11779</v>
      </c>
      <c r="F151" s="186">
        <f t="shared" si="7"/>
        <v>11779</v>
      </c>
      <c r="G151" s="186">
        <f t="shared" si="8"/>
        <v>0</v>
      </c>
      <c r="H151" s="212"/>
      <c r="I151" s="213"/>
      <c r="J151" s="213"/>
      <c r="K151" s="213"/>
      <c r="L151" s="213"/>
      <c r="M151" s="213"/>
      <c r="O151" s="274"/>
      <c r="P151" s="213"/>
      <c r="Q151" s="213"/>
      <c r="R151" s="213"/>
      <c r="S151" s="213">
        <v>11779</v>
      </c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4"/>
      <c r="AJ151" s="215"/>
      <c r="AK151" s="215"/>
      <c r="AL151" s="215"/>
      <c r="AM151" s="215"/>
    </row>
    <row r="152" spans="1:39" s="119" customFormat="1" ht="18" customHeight="1" thickBot="1" x14ac:dyDescent="0.35">
      <c r="A152" s="136" t="s">
        <v>146</v>
      </c>
      <c r="B152" s="135" t="s">
        <v>324</v>
      </c>
      <c r="C152" s="288">
        <v>19946</v>
      </c>
      <c r="D152" s="136"/>
      <c r="E152" s="186">
        <f t="shared" si="6"/>
        <v>19946</v>
      </c>
      <c r="F152" s="186">
        <f t="shared" si="7"/>
        <v>19946</v>
      </c>
      <c r="G152" s="186">
        <f t="shared" si="8"/>
        <v>0</v>
      </c>
      <c r="H152" s="212"/>
      <c r="I152" s="213"/>
      <c r="J152" s="213"/>
      <c r="K152" s="213"/>
      <c r="L152" s="213"/>
      <c r="M152" s="213"/>
      <c r="N152" s="213"/>
      <c r="O152" s="274"/>
      <c r="P152" s="213">
        <v>11073.06</v>
      </c>
      <c r="Q152" s="213"/>
      <c r="R152" s="213"/>
      <c r="S152" s="213">
        <v>8872.94</v>
      </c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4"/>
      <c r="AJ152" s="215"/>
      <c r="AK152" s="215"/>
      <c r="AL152" s="215"/>
      <c r="AM152" s="215"/>
    </row>
    <row r="153" spans="1:39" s="119" customFormat="1" ht="18" customHeight="1" thickBot="1" x14ac:dyDescent="0.35">
      <c r="A153" s="136" t="s">
        <v>147</v>
      </c>
      <c r="B153" s="135" t="s">
        <v>325</v>
      </c>
      <c r="C153" s="288">
        <v>54745</v>
      </c>
      <c r="D153" s="136"/>
      <c r="E153" s="186">
        <f t="shared" si="6"/>
        <v>54745</v>
      </c>
      <c r="F153" s="186">
        <f t="shared" si="7"/>
        <v>53858</v>
      </c>
      <c r="G153" s="186">
        <f t="shared" si="8"/>
        <v>887</v>
      </c>
      <c r="H153" s="212"/>
      <c r="I153" s="213"/>
      <c r="J153" s="213"/>
      <c r="K153" s="213">
        <v>3117</v>
      </c>
      <c r="L153" s="213">
        <v>3183</v>
      </c>
      <c r="M153" s="213"/>
      <c r="N153" s="213">
        <v>5945</v>
      </c>
      <c r="O153" s="213">
        <v>4136</v>
      </c>
      <c r="P153" s="213">
        <v>3561</v>
      </c>
      <c r="Q153" s="213">
        <v>3162</v>
      </c>
      <c r="R153" s="213">
        <v>3137</v>
      </c>
      <c r="S153" s="213">
        <v>12472</v>
      </c>
      <c r="T153" s="213">
        <v>4408</v>
      </c>
      <c r="U153" s="213">
        <f>3210+4318</f>
        <v>7528</v>
      </c>
      <c r="V153" s="213">
        <v>3209</v>
      </c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4"/>
      <c r="AJ153" s="215"/>
      <c r="AK153" s="215"/>
      <c r="AL153" s="215"/>
      <c r="AM153" s="215"/>
    </row>
    <row r="154" spans="1:39" s="119" customFormat="1" ht="18" customHeight="1" thickBot="1" x14ac:dyDescent="0.35">
      <c r="A154" s="136" t="s">
        <v>148</v>
      </c>
      <c r="B154" s="135" t="s">
        <v>326</v>
      </c>
      <c r="C154" s="288">
        <v>7770</v>
      </c>
      <c r="D154" s="136"/>
      <c r="E154" s="186">
        <f t="shared" si="6"/>
        <v>7770</v>
      </c>
      <c r="F154" s="186">
        <f t="shared" si="7"/>
        <v>1547</v>
      </c>
      <c r="G154" s="186">
        <f t="shared" si="8"/>
        <v>6223</v>
      </c>
      <c r="H154" s="212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>
        <v>1547</v>
      </c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4"/>
      <c r="AJ154" s="215"/>
      <c r="AK154" s="215"/>
      <c r="AL154" s="215"/>
      <c r="AM154" s="215"/>
    </row>
    <row r="155" spans="1:39" s="119" customFormat="1" ht="18" customHeight="1" thickBot="1" x14ac:dyDescent="0.35">
      <c r="A155" s="136" t="s">
        <v>149</v>
      </c>
      <c r="B155" s="135" t="s">
        <v>327</v>
      </c>
      <c r="C155" s="288">
        <v>3991</v>
      </c>
      <c r="D155" s="136"/>
      <c r="E155" s="186">
        <f t="shared" si="6"/>
        <v>3991</v>
      </c>
      <c r="F155" s="186">
        <f t="shared" si="7"/>
        <v>0</v>
      </c>
      <c r="G155" s="186">
        <f t="shared" si="8"/>
        <v>3991</v>
      </c>
      <c r="H155" s="212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4"/>
      <c r="AJ155" s="215"/>
      <c r="AK155" s="215"/>
      <c r="AL155" s="215"/>
      <c r="AM155" s="215"/>
    </row>
    <row r="156" spans="1:39" s="119" customFormat="1" ht="18" customHeight="1" thickBot="1" x14ac:dyDescent="0.35">
      <c r="A156" s="136" t="s">
        <v>150</v>
      </c>
      <c r="B156" s="135" t="s">
        <v>328</v>
      </c>
      <c r="C156" s="288">
        <v>50128</v>
      </c>
      <c r="D156" s="136"/>
      <c r="E156" s="186">
        <f t="shared" si="6"/>
        <v>50128</v>
      </c>
      <c r="F156" s="186">
        <f t="shared" si="7"/>
        <v>50128</v>
      </c>
      <c r="G156" s="186">
        <f t="shared" si="8"/>
        <v>0</v>
      </c>
      <c r="H156" s="212"/>
      <c r="I156" s="213"/>
      <c r="J156" s="213"/>
      <c r="K156" s="213"/>
      <c r="L156" s="213"/>
      <c r="M156" s="213"/>
      <c r="N156" s="213">
        <v>47205.07</v>
      </c>
      <c r="O156" s="213"/>
      <c r="P156" s="213"/>
      <c r="Q156" s="213"/>
      <c r="R156" s="213"/>
      <c r="S156" s="213">
        <v>2922.93</v>
      </c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4"/>
      <c r="AJ156" s="215"/>
      <c r="AK156" s="215"/>
      <c r="AL156" s="215"/>
      <c r="AM156" s="215"/>
    </row>
    <row r="157" spans="1:39" s="119" customFormat="1" ht="18" customHeight="1" thickBot="1" x14ac:dyDescent="0.35">
      <c r="A157" s="136" t="s">
        <v>151</v>
      </c>
      <c r="B157" s="135" t="s">
        <v>329</v>
      </c>
      <c r="C157" s="288">
        <v>4775</v>
      </c>
      <c r="D157" s="136"/>
      <c r="E157" s="186">
        <f t="shared" si="6"/>
        <v>4775</v>
      </c>
      <c r="F157" s="186">
        <f t="shared" si="7"/>
        <v>0</v>
      </c>
      <c r="G157" s="186">
        <f t="shared" si="8"/>
        <v>4775</v>
      </c>
      <c r="H157" s="212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4"/>
      <c r="AJ157" s="215"/>
      <c r="AK157" s="215"/>
      <c r="AL157" s="215"/>
      <c r="AM157" s="215"/>
    </row>
    <row r="158" spans="1:39" s="119" customFormat="1" ht="18" customHeight="1" thickBot="1" x14ac:dyDescent="0.35">
      <c r="A158" s="136" t="s">
        <v>152</v>
      </c>
      <c r="B158" s="135" t="s">
        <v>330</v>
      </c>
      <c r="C158" s="288">
        <v>10893</v>
      </c>
      <c r="D158" s="136"/>
      <c r="E158" s="186">
        <f t="shared" si="6"/>
        <v>10893</v>
      </c>
      <c r="F158" s="186">
        <f t="shared" si="7"/>
        <v>10893</v>
      </c>
      <c r="G158" s="186">
        <f>C158-F158</f>
        <v>0</v>
      </c>
      <c r="H158" s="212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>
        <v>10893</v>
      </c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4"/>
      <c r="AJ158" s="215"/>
      <c r="AK158" s="215"/>
      <c r="AL158" s="215"/>
      <c r="AM158" s="215"/>
    </row>
    <row r="159" spans="1:39" s="119" customFormat="1" ht="18" customHeight="1" thickBot="1" x14ac:dyDescent="0.35">
      <c r="A159" s="136" t="s">
        <v>153</v>
      </c>
      <c r="B159" s="135" t="s">
        <v>331</v>
      </c>
      <c r="C159" s="288">
        <v>18555</v>
      </c>
      <c r="D159" s="136"/>
      <c r="E159" s="186">
        <f t="shared" si="6"/>
        <v>18555</v>
      </c>
      <c r="F159" s="186">
        <f t="shared" si="7"/>
        <v>0</v>
      </c>
      <c r="G159" s="186">
        <f t="shared" si="8"/>
        <v>18555</v>
      </c>
      <c r="H159" s="212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4"/>
      <c r="AJ159" s="215"/>
      <c r="AK159" s="215"/>
      <c r="AL159" s="215"/>
      <c r="AM159" s="215"/>
    </row>
    <row r="160" spans="1:39" s="119" customFormat="1" ht="18" customHeight="1" thickBot="1" x14ac:dyDescent="0.35">
      <c r="A160" s="136" t="s">
        <v>154</v>
      </c>
      <c r="B160" s="135" t="s">
        <v>332</v>
      </c>
      <c r="C160" s="288">
        <v>43870</v>
      </c>
      <c r="D160" s="136"/>
      <c r="E160" s="186">
        <f t="shared" si="6"/>
        <v>43870</v>
      </c>
      <c r="F160" s="186">
        <f t="shared" si="7"/>
        <v>34157.230000000003</v>
      </c>
      <c r="G160" s="186">
        <f t="shared" si="8"/>
        <v>9712.7699999999968</v>
      </c>
      <c r="H160" s="212"/>
      <c r="I160" s="213"/>
      <c r="J160" s="213"/>
      <c r="K160" s="213"/>
      <c r="L160" s="213">
        <v>1656.73</v>
      </c>
      <c r="M160" s="213"/>
      <c r="N160" s="213"/>
      <c r="O160" s="213">
        <v>11072.59</v>
      </c>
      <c r="P160" s="213"/>
      <c r="Q160" s="213">
        <v>14334.7</v>
      </c>
      <c r="R160" s="213"/>
      <c r="S160" s="213"/>
      <c r="T160" s="213"/>
      <c r="U160" s="213">
        <v>7093.21</v>
      </c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4"/>
      <c r="AJ160" s="215"/>
      <c r="AK160" s="215"/>
      <c r="AL160" s="215"/>
      <c r="AM160" s="215"/>
    </row>
    <row r="161" spans="1:39" s="119" customFormat="1" ht="18" customHeight="1" thickBot="1" x14ac:dyDescent="0.35">
      <c r="A161" s="136" t="s">
        <v>155</v>
      </c>
      <c r="B161" s="135" t="s">
        <v>333</v>
      </c>
      <c r="C161" s="288">
        <v>2593</v>
      </c>
      <c r="D161" s="136"/>
      <c r="E161" s="186">
        <f t="shared" si="6"/>
        <v>2593</v>
      </c>
      <c r="F161" s="186">
        <f t="shared" si="7"/>
        <v>2593</v>
      </c>
      <c r="G161" s="186">
        <f t="shared" si="8"/>
        <v>0</v>
      </c>
      <c r="H161" s="212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>
        <v>2593</v>
      </c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4"/>
      <c r="AJ161" s="215"/>
      <c r="AK161" s="215"/>
      <c r="AL161" s="215"/>
      <c r="AM161" s="215"/>
    </row>
    <row r="162" spans="1:39" s="119" customFormat="1" ht="18" customHeight="1" thickBot="1" x14ac:dyDescent="0.35">
      <c r="A162" s="136" t="s">
        <v>156</v>
      </c>
      <c r="B162" s="135" t="s">
        <v>334</v>
      </c>
      <c r="C162" s="288">
        <v>19081</v>
      </c>
      <c r="D162" s="136"/>
      <c r="E162" s="186">
        <f t="shared" si="6"/>
        <v>19081</v>
      </c>
      <c r="F162" s="186">
        <f t="shared" si="7"/>
        <v>19081</v>
      </c>
      <c r="G162" s="186">
        <f t="shared" si="8"/>
        <v>0</v>
      </c>
      <c r="H162" s="212"/>
      <c r="I162" s="213"/>
      <c r="J162" s="213"/>
      <c r="K162" s="213"/>
      <c r="L162" s="213"/>
      <c r="M162" s="213"/>
      <c r="N162" s="213"/>
      <c r="O162" s="213"/>
      <c r="P162" s="213"/>
      <c r="Q162" s="213">
        <v>13093</v>
      </c>
      <c r="R162" s="213"/>
      <c r="S162" s="213">
        <v>5936</v>
      </c>
      <c r="T162" s="213">
        <v>52</v>
      </c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4"/>
      <c r="AJ162" s="215"/>
      <c r="AK162" s="215"/>
      <c r="AL162" s="215"/>
      <c r="AM162" s="215"/>
    </row>
    <row r="163" spans="1:39" s="119" customFormat="1" ht="18" customHeight="1" thickBot="1" x14ac:dyDescent="0.35">
      <c r="A163" s="136" t="s">
        <v>157</v>
      </c>
      <c r="B163" s="135" t="s">
        <v>335</v>
      </c>
      <c r="C163" s="288">
        <v>6281</v>
      </c>
      <c r="D163" s="136"/>
      <c r="E163" s="186">
        <f t="shared" si="6"/>
        <v>6281</v>
      </c>
      <c r="F163" s="186">
        <f t="shared" si="7"/>
        <v>0</v>
      </c>
      <c r="G163" s="186">
        <f t="shared" si="8"/>
        <v>6281</v>
      </c>
      <c r="H163" s="212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4"/>
      <c r="AJ163" s="215"/>
      <c r="AK163" s="215"/>
      <c r="AL163" s="215"/>
      <c r="AM163" s="215"/>
    </row>
    <row r="164" spans="1:39" s="119" customFormat="1" ht="18" customHeight="1" thickBot="1" x14ac:dyDescent="0.35">
      <c r="A164" s="136" t="s">
        <v>158</v>
      </c>
      <c r="B164" s="135" t="s">
        <v>336</v>
      </c>
      <c r="C164" s="288">
        <v>10557</v>
      </c>
      <c r="D164" s="136" t="s">
        <v>372</v>
      </c>
      <c r="E164" s="278">
        <v>0</v>
      </c>
      <c r="F164" s="186">
        <f t="shared" si="7"/>
        <v>0</v>
      </c>
      <c r="G164" s="186">
        <f t="shared" si="8"/>
        <v>0</v>
      </c>
      <c r="H164" s="212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4"/>
      <c r="AJ164" s="215"/>
      <c r="AK164" s="215"/>
      <c r="AL164" s="215"/>
      <c r="AM164" s="215"/>
    </row>
    <row r="165" spans="1:39" s="119" customFormat="1" ht="18" customHeight="1" thickBot="1" x14ac:dyDescent="0.35">
      <c r="A165" s="136" t="s">
        <v>159</v>
      </c>
      <c r="B165" s="135" t="s">
        <v>599</v>
      </c>
      <c r="C165" s="288">
        <v>5723</v>
      </c>
      <c r="D165" s="136" t="s">
        <v>372</v>
      </c>
      <c r="E165" s="278">
        <v>0</v>
      </c>
      <c r="F165" s="186">
        <f t="shared" si="7"/>
        <v>0</v>
      </c>
      <c r="G165" s="186">
        <f t="shared" si="8"/>
        <v>0</v>
      </c>
      <c r="H165" s="212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4"/>
      <c r="AJ165" s="215"/>
      <c r="AK165" s="215"/>
      <c r="AL165" s="215"/>
      <c r="AM165" s="215"/>
    </row>
    <row r="166" spans="1:39" s="119" customFormat="1" ht="18" customHeight="1" thickBot="1" x14ac:dyDescent="0.35">
      <c r="A166" s="136" t="s">
        <v>160</v>
      </c>
      <c r="B166" s="135" t="s">
        <v>337</v>
      </c>
      <c r="C166" s="288">
        <v>58555</v>
      </c>
      <c r="D166" s="136"/>
      <c r="E166" s="186">
        <f t="shared" si="6"/>
        <v>58555</v>
      </c>
      <c r="F166" s="186">
        <f t="shared" si="7"/>
        <v>58555</v>
      </c>
      <c r="G166" s="186">
        <f t="shared" si="8"/>
        <v>0</v>
      </c>
      <c r="H166" s="212"/>
      <c r="I166" s="213"/>
      <c r="J166" s="213"/>
      <c r="K166" s="213"/>
      <c r="L166" s="213">
        <v>4550.0600000000004</v>
      </c>
      <c r="M166" s="213">
        <v>2275</v>
      </c>
      <c r="N166" s="213">
        <v>2275</v>
      </c>
      <c r="O166" s="213">
        <v>2275</v>
      </c>
      <c r="P166" s="213">
        <v>2275</v>
      </c>
      <c r="Q166" s="213">
        <v>20062</v>
      </c>
      <c r="R166" s="213">
        <v>5265</v>
      </c>
      <c r="S166" s="213">
        <v>4814.9399999999996</v>
      </c>
      <c r="T166" s="213">
        <v>5140</v>
      </c>
      <c r="U166" s="213">
        <v>4835</v>
      </c>
      <c r="V166" s="213">
        <v>4788</v>
      </c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4"/>
      <c r="AJ166" s="215"/>
      <c r="AK166" s="215"/>
      <c r="AL166" s="215"/>
      <c r="AM166" s="215"/>
    </row>
    <row r="167" spans="1:39" s="119" customFormat="1" ht="18" customHeight="1" thickBot="1" x14ac:dyDescent="0.35">
      <c r="A167" s="136" t="s">
        <v>161</v>
      </c>
      <c r="B167" s="135" t="s">
        <v>338</v>
      </c>
      <c r="C167" s="288">
        <v>11811</v>
      </c>
      <c r="D167" s="136"/>
      <c r="E167" s="186">
        <f t="shared" si="6"/>
        <v>11811</v>
      </c>
      <c r="F167" s="186">
        <f t="shared" si="7"/>
        <v>9323.99</v>
      </c>
      <c r="G167" s="186">
        <f t="shared" si="8"/>
        <v>2487.0100000000002</v>
      </c>
      <c r="H167" s="212"/>
      <c r="I167" s="213"/>
      <c r="J167" s="213"/>
      <c r="K167" s="213"/>
      <c r="L167" s="213"/>
      <c r="M167" s="213"/>
      <c r="N167" s="213"/>
      <c r="O167" s="213"/>
      <c r="P167" s="213">
        <v>9323.99</v>
      </c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4"/>
      <c r="AJ167" s="215"/>
      <c r="AK167" s="215"/>
      <c r="AL167" s="215"/>
      <c r="AM167" s="215"/>
    </row>
    <row r="168" spans="1:39" s="119" customFormat="1" ht="18" customHeight="1" thickBot="1" x14ac:dyDescent="0.35">
      <c r="A168" s="136" t="s">
        <v>162</v>
      </c>
      <c r="B168" s="135" t="s">
        <v>339</v>
      </c>
      <c r="C168" s="288">
        <v>77756</v>
      </c>
      <c r="D168" s="136"/>
      <c r="E168" s="186">
        <f t="shared" si="6"/>
        <v>77756</v>
      </c>
      <c r="F168" s="186">
        <f t="shared" si="7"/>
        <v>48990.78</v>
      </c>
      <c r="G168" s="186">
        <f t="shared" si="8"/>
        <v>28765.22</v>
      </c>
      <c r="H168" s="212"/>
      <c r="I168" s="213"/>
      <c r="J168" s="213"/>
      <c r="K168" s="213"/>
      <c r="L168" s="213"/>
      <c r="M168" s="213">
        <v>11967.94</v>
      </c>
      <c r="N168" s="274"/>
      <c r="O168" s="213"/>
      <c r="P168" s="213"/>
      <c r="Q168" s="213">
        <v>18601.189999999999</v>
      </c>
      <c r="R168" s="213"/>
      <c r="S168" s="213">
        <v>18421.650000000001</v>
      </c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4"/>
      <c r="AJ168" s="215"/>
      <c r="AK168" s="215"/>
      <c r="AL168" s="215"/>
      <c r="AM168" s="215"/>
    </row>
    <row r="169" spans="1:39" s="119" customFormat="1" ht="18" customHeight="1" thickBot="1" x14ac:dyDescent="0.35">
      <c r="A169" s="136" t="s">
        <v>163</v>
      </c>
      <c r="B169" s="135" t="s">
        <v>340</v>
      </c>
      <c r="C169" s="288">
        <v>16729</v>
      </c>
      <c r="D169" s="136"/>
      <c r="E169" s="186">
        <f t="shared" si="6"/>
        <v>16729</v>
      </c>
      <c r="F169" s="186">
        <f t="shared" si="7"/>
        <v>15206.03</v>
      </c>
      <c r="G169" s="186">
        <f t="shared" si="8"/>
        <v>1522.9699999999993</v>
      </c>
      <c r="H169" s="212"/>
      <c r="I169" s="213"/>
      <c r="J169" s="213"/>
      <c r="K169" s="213"/>
      <c r="L169" s="213"/>
      <c r="M169" s="213"/>
      <c r="N169" s="213">
        <v>6594.21</v>
      </c>
      <c r="O169" s="213"/>
      <c r="P169" s="213"/>
      <c r="Q169" s="213"/>
      <c r="R169" s="213"/>
      <c r="S169" s="213">
        <v>7557.38</v>
      </c>
      <c r="T169" s="213">
        <v>1054.44</v>
      </c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4"/>
      <c r="AJ169" s="215"/>
      <c r="AK169" s="215"/>
      <c r="AL169" s="215"/>
      <c r="AM169" s="215"/>
    </row>
    <row r="170" spans="1:39" s="119" customFormat="1" ht="18" customHeight="1" thickBot="1" x14ac:dyDescent="0.35">
      <c r="A170" s="136" t="s">
        <v>164</v>
      </c>
      <c r="B170" s="135" t="s">
        <v>341</v>
      </c>
      <c r="C170" s="288">
        <v>3579</v>
      </c>
      <c r="D170" s="136" t="s">
        <v>370</v>
      </c>
      <c r="E170" s="278">
        <v>0</v>
      </c>
      <c r="F170" s="186">
        <f t="shared" si="7"/>
        <v>0</v>
      </c>
      <c r="G170" s="186">
        <f t="shared" si="8"/>
        <v>0</v>
      </c>
      <c r="H170" s="212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4"/>
      <c r="AJ170" s="215"/>
      <c r="AK170" s="215"/>
      <c r="AL170" s="215"/>
      <c r="AM170" s="215"/>
    </row>
    <row r="171" spans="1:39" s="119" customFormat="1" ht="18" customHeight="1" thickBot="1" x14ac:dyDescent="0.35">
      <c r="A171" s="136" t="s">
        <v>165</v>
      </c>
      <c r="B171" s="135" t="s">
        <v>342</v>
      </c>
      <c r="C171" s="288">
        <v>5442</v>
      </c>
      <c r="D171" s="136" t="s">
        <v>372</v>
      </c>
      <c r="E171" s="278">
        <v>0</v>
      </c>
      <c r="F171" s="186">
        <f t="shared" si="7"/>
        <v>0</v>
      </c>
      <c r="G171" s="186">
        <f t="shared" si="8"/>
        <v>0</v>
      </c>
      <c r="H171" s="212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4"/>
      <c r="AJ171" s="215"/>
      <c r="AK171" s="215"/>
      <c r="AL171" s="215"/>
      <c r="AM171" s="215"/>
    </row>
    <row r="172" spans="1:39" s="119" customFormat="1" ht="18" customHeight="1" thickBot="1" x14ac:dyDescent="0.35">
      <c r="A172" s="136" t="s">
        <v>166</v>
      </c>
      <c r="B172" s="135" t="s">
        <v>343</v>
      </c>
      <c r="C172" s="288">
        <v>1389</v>
      </c>
      <c r="D172" s="136" t="s">
        <v>372</v>
      </c>
      <c r="E172" s="278">
        <v>0</v>
      </c>
      <c r="F172" s="186">
        <f t="shared" si="7"/>
        <v>0</v>
      </c>
      <c r="G172" s="186">
        <f t="shared" si="8"/>
        <v>0</v>
      </c>
      <c r="H172" s="212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4"/>
      <c r="AJ172" s="215"/>
      <c r="AK172" s="215"/>
      <c r="AL172" s="215"/>
      <c r="AM172" s="215"/>
    </row>
    <row r="173" spans="1:39" s="119" customFormat="1" ht="18" customHeight="1" thickBot="1" x14ac:dyDescent="0.35">
      <c r="A173" s="136" t="s">
        <v>167</v>
      </c>
      <c r="B173" s="135" t="s">
        <v>344</v>
      </c>
      <c r="C173" s="288">
        <v>1767</v>
      </c>
      <c r="D173" s="136" t="s">
        <v>370</v>
      </c>
      <c r="E173" s="278">
        <v>0</v>
      </c>
      <c r="F173" s="186">
        <f t="shared" si="7"/>
        <v>0</v>
      </c>
      <c r="G173" s="186">
        <f t="shared" si="8"/>
        <v>0</v>
      </c>
      <c r="H173" s="212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4"/>
      <c r="AJ173" s="215"/>
      <c r="AK173" s="215"/>
      <c r="AL173" s="215"/>
      <c r="AM173" s="215"/>
    </row>
    <row r="174" spans="1:39" s="119" customFormat="1" ht="18" customHeight="1" thickBot="1" x14ac:dyDescent="0.35">
      <c r="A174" s="136" t="s">
        <v>168</v>
      </c>
      <c r="B174" s="135" t="s">
        <v>345</v>
      </c>
      <c r="C174" s="288">
        <v>47781</v>
      </c>
      <c r="D174" s="136" t="s">
        <v>371</v>
      </c>
      <c r="E174" s="278">
        <v>0</v>
      </c>
      <c r="F174" s="186">
        <f t="shared" si="7"/>
        <v>0</v>
      </c>
      <c r="G174" s="186">
        <f t="shared" si="8"/>
        <v>0</v>
      </c>
      <c r="H174" s="212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4"/>
      <c r="AJ174" s="215"/>
      <c r="AK174" s="215"/>
      <c r="AL174" s="215"/>
      <c r="AM174" s="215"/>
    </row>
    <row r="175" spans="1:39" s="119" customFormat="1" ht="18" customHeight="1" thickBot="1" x14ac:dyDescent="0.35">
      <c r="A175" s="136" t="s">
        <v>169</v>
      </c>
      <c r="B175" s="135" t="s">
        <v>346</v>
      </c>
      <c r="C175" s="288">
        <v>36608</v>
      </c>
      <c r="D175" s="136"/>
      <c r="E175" s="186">
        <f t="shared" si="6"/>
        <v>36608</v>
      </c>
      <c r="F175" s="186">
        <f t="shared" si="7"/>
        <v>36608</v>
      </c>
      <c r="G175" s="186">
        <f t="shared" si="8"/>
        <v>0</v>
      </c>
      <c r="H175" s="212"/>
      <c r="I175" s="213"/>
      <c r="J175" s="213"/>
      <c r="K175" s="213"/>
      <c r="L175" s="213"/>
      <c r="M175" s="213"/>
      <c r="N175" s="213"/>
      <c r="O175" s="213">
        <v>12177.44</v>
      </c>
      <c r="P175" s="213"/>
      <c r="Q175" s="213"/>
      <c r="R175" s="213"/>
      <c r="S175" s="213">
        <v>24430.560000000001</v>
      </c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4"/>
      <c r="AJ175" s="215"/>
      <c r="AK175" s="215"/>
      <c r="AL175" s="215"/>
      <c r="AM175" s="215"/>
    </row>
    <row r="176" spans="1:39" s="119" customFormat="1" ht="18" customHeight="1" thickBot="1" x14ac:dyDescent="0.35">
      <c r="A176" s="136" t="s">
        <v>170</v>
      </c>
      <c r="B176" s="135" t="s">
        <v>600</v>
      </c>
      <c r="C176" s="288">
        <v>72237</v>
      </c>
      <c r="D176" s="136"/>
      <c r="E176" s="186">
        <f t="shared" si="6"/>
        <v>72237</v>
      </c>
      <c r="F176" s="186">
        <f t="shared" si="7"/>
        <v>10828</v>
      </c>
      <c r="G176" s="186">
        <f t="shared" si="8"/>
        <v>61409</v>
      </c>
      <c r="H176" s="212"/>
      <c r="I176" s="213"/>
      <c r="J176" s="213"/>
      <c r="K176" s="213"/>
      <c r="L176" s="213"/>
      <c r="M176" s="213"/>
      <c r="N176" s="213"/>
      <c r="O176" s="213"/>
      <c r="P176" s="213"/>
      <c r="Q176" s="213">
        <v>10828</v>
      </c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4"/>
      <c r="AJ176" s="215"/>
      <c r="AK176" s="215"/>
      <c r="AL176" s="215"/>
      <c r="AM176" s="215"/>
    </row>
    <row r="177" spans="1:39" s="119" customFormat="1" ht="18" customHeight="1" thickBot="1" x14ac:dyDescent="0.35">
      <c r="A177" s="136" t="s">
        <v>171</v>
      </c>
      <c r="B177" s="135" t="s">
        <v>347</v>
      </c>
      <c r="C177" s="288">
        <v>77313</v>
      </c>
      <c r="D177" s="136"/>
      <c r="E177" s="186">
        <f t="shared" si="6"/>
        <v>77313</v>
      </c>
      <c r="F177" s="186">
        <f t="shared" si="7"/>
        <v>77313</v>
      </c>
      <c r="G177" s="186">
        <f t="shared" si="8"/>
        <v>0</v>
      </c>
      <c r="H177" s="212"/>
      <c r="I177" s="213"/>
      <c r="J177" s="213"/>
      <c r="K177" s="213">
        <v>8134.18</v>
      </c>
      <c r="L177" s="213"/>
      <c r="M177" s="213">
        <v>11577.86</v>
      </c>
      <c r="N177" s="213"/>
      <c r="O177" s="213">
        <v>12995.41</v>
      </c>
      <c r="P177" s="213"/>
      <c r="Q177" s="213">
        <v>16062.36</v>
      </c>
      <c r="R177" s="213">
        <v>8687.6200000000008</v>
      </c>
      <c r="S177" s="213">
        <v>19855.57</v>
      </c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4"/>
      <c r="AJ177" s="215"/>
      <c r="AK177" s="215"/>
      <c r="AL177" s="215"/>
      <c r="AM177" s="215"/>
    </row>
    <row r="178" spans="1:39" s="119" customFormat="1" ht="18" customHeight="1" thickBot="1" x14ac:dyDescent="0.35">
      <c r="A178" s="136" t="s">
        <v>172</v>
      </c>
      <c r="B178" s="135" t="s">
        <v>348</v>
      </c>
      <c r="C178" s="288">
        <v>66767</v>
      </c>
      <c r="D178" s="136"/>
      <c r="E178" s="186">
        <f t="shared" si="6"/>
        <v>66767</v>
      </c>
      <c r="F178" s="186">
        <f t="shared" si="7"/>
        <v>66767</v>
      </c>
      <c r="G178" s="186">
        <f t="shared" si="8"/>
        <v>0</v>
      </c>
      <c r="H178" s="212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>
        <f>41630.39+5736.35</f>
        <v>47366.74</v>
      </c>
      <c r="S178" s="213">
        <v>5239.1499999999996</v>
      </c>
      <c r="T178" s="213">
        <v>5779.15</v>
      </c>
      <c r="U178" s="213"/>
      <c r="V178" s="213">
        <v>8381.9599999999991</v>
      </c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4"/>
      <c r="AJ178" s="215"/>
      <c r="AK178" s="215"/>
      <c r="AL178" s="215"/>
      <c r="AM178" s="215"/>
    </row>
    <row r="179" spans="1:39" s="119" customFormat="1" ht="18" customHeight="1" thickBot="1" x14ac:dyDescent="0.35">
      <c r="A179" s="136" t="s">
        <v>173</v>
      </c>
      <c r="B179" s="135" t="s">
        <v>349</v>
      </c>
      <c r="C179" s="288">
        <v>851887</v>
      </c>
      <c r="D179" s="136"/>
      <c r="E179" s="186">
        <f t="shared" si="6"/>
        <v>851887</v>
      </c>
      <c r="F179" s="186">
        <f t="shared" si="7"/>
        <v>639884.27</v>
      </c>
      <c r="G179" s="186">
        <f t="shared" si="8"/>
        <v>212002.72999999998</v>
      </c>
      <c r="H179" s="212"/>
      <c r="I179" s="213"/>
      <c r="J179" s="213"/>
      <c r="K179" s="213"/>
      <c r="L179" s="213"/>
      <c r="M179" s="213">
        <v>61041.5</v>
      </c>
      <c r="N179" s="213"/>
      <c r="O179" s="213"/>
      <c r="P179" s="213"/>
      <c r="Q179" s="213">
        <v>269740.89</v>
      </c>
      <c r="R179" s="213">
        <v>55792.53</v>
      </c>
      <c r="S179" s="213">
        <v>94474.31</v>
      </c>
      <c r="T179" s="213">
        <v>158835.04</v>
      </c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4"/>
      <c r="AJ179" s="215"/>
      <c r="AK179" s="215"/>
      <c r="AL179" s="215"/>
      <c r="AM179" s="215"/>
    </row>
    <row r="180" spans="1:39" s="119" customFormat="1" ht="18" customHeight="1" thickBot="1" x14ac:dyDescent="0.35">
      <c r="A180" s="136" t="s">
        <v>174</v>
      </c>
      <c r="B180" s="135" t="s">
        <v>350</v>
      </c>
      <c r="C180" s="288">
        <v>34352</v>
      </c>
      <c r="D180" s="136" t="s">
        <v>371</v>
      </c>
      <c r="E180" s="278">
        <v>0</v>
      </c>
      <c r="F180" s="186">
        <f t="shared" si="7"/>
        <v>0</v>
      </c>
      <c r="G180" s="186">
        <f t="shared" si="8"/>
        <v>0</v>
      </c>
      <c r="H180" s="212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4"/>
      <c r="AJ180" s="215"/>
      <c r="AK180" s="215"/>
      <c r="AL180" s="215"/>
      <c r="AM180" s="215"/>
    </row>
    <row r="181" spans="1:39" s="119" customFormat="1" ht="18" customHeight="1" thickBot="1" x14ac:dyDescent="0.35">
      <c r="A181" s="136" t="s">
        <v>175</v>
      </c>
      <c r="B181" s="135" t="s">
        <v>351</v>
      </c>
      <c r="C181" s="288">
        <v>79881</v>
      </c>
      <c r="D181" s="136"/>
      <c r="E181" s="186">
        <f t="shared" si="6"/>
        <v>79881</v>
      </c>
      <c r="F181" s="186">
        <f t="shared" si="7"/>
        <v>79881</v>
      </c>
      <c r="G181" s="186">
        <f t="shared" si="8"/>
        <v>0</v>
      </c>
      <c r="H181" s="212"/>
      <c r="I181" s="213"/>
      <c r="J181" s="213"/>
      <c r="K181" s="213"/>
      <c r="L181" s="213">
        <v>12555.98</v>
      </c>
      <c r="M181" s="213">
        <v>6277.99</v>
      </c>
      <c r="N181" s="213"/>
      <c r="O181" s="213">
        <f>6277.99*2</f>
        <v>12555.98</v>
      </c>
      <c r="P181" s="213"/>
      <c r="Q181" s="213">
        <v>12555.98</v>
      </c>
      <c r="R181" s="213">
        <v>6277.99</v>
      </c>
      <c r="S181" s="213">
        <v>6277.99</v>
      </c>
      <c r="T181" s="213"/>
      <c r="U181" s="213">
        <v>23379.09</v>
      </c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4"/>
      <c r="AJ181" s="215"/>
      <c r="AK181" s="215"/>
      <c r="AL181" s="215"/>
      <c r="AM181" s="215"/>
    </row>
    <row r="182" spans="1:39" s="119" customFormat="1" ht="18" customHeight="1" thickBot="1" x14ac:dyDescent="0.35">
      <c r="A182" s="136" t="s">
        <v>176</v>
      </c>
      <c r="B182" s="135" t="s">
        <v>352</v>
      </c>
      <c r="C182" s="288">
        <v>22434</v>
      </c>
      <c r="D182" s="136"/>
      <c r="E182" s="186">
        <f t="shared" si="6"/>
        <v>22434</v>
      </c>
      <c r="F182" s="186">
        <f t="shared" si="7"/>
        <v>17001.23</v>
      </c>
      <c r="G182" s="186">
        <f t="shared" si="8"/>
        <v>5432.77</v>
      </c>
      <c r="H182" s="212"/>
      <c r="I182" s="213"/>
      <c r="J182" s="213"/>
      <c r="K182" s="213"/>
      <c r="L182" s="213"/>
      <c r="M182" s="213"/>
      <c r="N182" s="213"/>
      <c r="O182" s="213"/>
      <c r="P182" s="213">
        <v>8989.08</v>
      </c>
      <c r="Q182" s="213"/>
      <c r="R182" s="213">
        <v>2473</v>
      </c>
      <c r="S182" s="213">
        <v>1236.5</v>
      </c>
      <c r="T182" s="213">
        <v>1236.5</v>
      </c>
      <c r="U182" s="213"/>
      <c r="V182" s="213">
        <v>3066.15</v>
      </c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4"/>
      <c r="AJ182" s="215"/>
      <c r="AK182" s="215"/>
      <c r="AL182" s="215"/>
      <c r="AM182" s="215"/>
    </row>
    <row r="183" spans="1:39" s="119" customFormat="1" ht="18" customHeight="1" thickBot="1" x14ac:dyDescent="0.35">
      <c r="A183" s="136" t="s">
        <v>177</v>
      </c>
      <c r="B183" s="135" t="s">
        <v>353</v>
      </c>
      <c r="C183" s="288">
        <v>2620</v>
      </c>
      <c r="D183" s="136" t="s">
        <v>371</v>
      </c>
      <c r="E183" s="278">
        <v>0</v>
      </c>
      <c r="F183" s="186">
        <f t="shared" si="7"/>
        <v>0</v>
      </c>
      <c r="G183" s="186">
        <f t="shared" si="8"/>
        <v>0</v>
      </c>
      <c r="H183" s="212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4"/>
      <c r="AJ183" s="215"/>
      <c r="AK183" s="215"/>
      <c r="AL183" s="215"/>
      <c r="AM183" s="215"/>
    </row>
    <row r="184" spans="1:39" s="119" customFormat="1" ht="18" customHeight="1" thickBot="1" x14ac:dyDescent="0.35">
      <c r="A184" s="136" t="s">
        <v>178</v>
      </c>
      <c r="B184" s="135" t="s">
        <v>354</v>
      </c>
      <c r="C184" s="288">
        <v>1986</v>
      </c>
      <c r="D184" s="136" t="s">
        <v>371</v>
      </c>
      <c r="E184" s="278">
        <v>0</v>
      </c>
      <c r="F184" s="186">
        <f t="shared" si="7"/>
        <v>0</v>
      </c>
      <c r="G184" s="186">
        <f t="shared" si="8"/>
        <v>0</v>
      </c>
      <c r="H184" s="212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4"/>
      <c r="AJ184" s="215"/>
      <c r="AK184" s="215"/>
      <c r="AL184" s="215"/>
      <c r="AM184" s="215"/>
    </row>
    <row r="185" spans="1:39" s="119" customFormat="1" ht="18" customHeight="1" thickBot="1" x14ac:dyDescent="0.35">
      <c r="A185" s="136" t="s">
        <v>179</v>
      </c>
      <c r="B185" s="135" t="s">
        <v>355</v>
      </c>
      <c r="C185" s="288">
        <v>3324</v>
      </c>
      <c r="D185" s="136" t="s">
        <v>371</v>
      </c>
      <c r="E185" s="278">
        <v>0</v>
      </c>
      <c r="F185" s="186">
        <f t="shared" si="7"/>
        <v>0</v>
      </c>
      <c r="G185" s="186">
        <f t="shared" si="8"/>
        <v>0</v>
      </c>
      <c r="H185" s="212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4"/>
      <c r="AJ185" s="215"/>
      <c r="AK185" s="215"/>
      <c r="AL185" s="215"/>
      <c r="AM185" s="215"/>
    </row>
    <row r="186" spans="1:39" s="119" customFormat="1" ht="18" customHeight="1" thickBot="1" x14ac:dyDescent="0.35">
      <c r="A186" s="136" t="s">
        <v>180</v>
      </c>
      <c r="B186" s="135" t="s">
        <v>356</v>
      </c>
      <c r="C186" s="288">
        <v>34385</v>
      </c>
      <c r="D186" s="136"/>
      <c r="E186" s="186">
        <f t="shared" si="6"/>
        <v>34385</v>
      </c>
      <c r="F186" s="186">
        <f t="shared" si="7"/>
        <v>34385</v>
      </c>
      <c r="G186" s="186">
        <f t="shared" si="8"/>
        <v>0</v>
      </c>
      <c r="H186" s="212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>
        <v>26311.96</v>
      </c>
      <c r="S186" s="213">
        <v>8073.04</v>
      </c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4"/>
      <c r="AJ186" s="215"/>
      <c r="AK186" s="215"/>
      <c r="AL186" s="215"/>
      <c r="AM186" s="215"/>
    </row>
    <row r="187" spans="1:39" s="119" customFormat="1" ht="18" customHeight="1" thickBot="1" x14ac:dyDescent="0.35">
      <c r="A187" s="136" t="s">
        <v>181</v>
      </c>
      <c r="B187" s="135" t="s">
        <v>357</v>
      </c>
      <c r="C187" s="288">
        <v>25471</v>
      </c>
      <c r="D187" s="136"/>
      <c r="E187" s="186">
        <f t="shared" si="6"/>
        <v>25471</v>
      </c>
      <c r="F187" s="186">
        <f t="shared" si="7"/>
        <v>25471</v>
      </c>
      <c r="G187" s="186">
        <f t="shared" si="8"/>
        <v>0</v>
      </c>
      <c r="H187" s="212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>
        <v>25471</v>
      </c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4"/>
      <c r="AJ187" s="215"/>
      <c r="AK187" s="215"/>
      <c r="AL187" s="215"/>
      <c r="AM187" s="215"/>
    </row>
    <row r="188" spans="1:39" s="119" customFormat="1" ht="18" customHeight="1" thickBot="1" x14ac:dyDescent="0.35">
      <c r="A188" s="136" t="s">
        <v>182</v>
      </c>
      <c r="B188" s="135" t="s">
        <v>358</v>
      </c>
      <c r="C188" s="288">
        <v>3145</v>
      </c>
      <c r="D188" s="136" t="s">
        <v>370</v>
      </c>
      <c r="E188" s="278">
        <v>0</v>
      </c>
      <c r="F188" s="186">
        <f t="shared" si="7"/>
        <v>0</v>
      </c>
      <c r="G188" s="186">
        <f t="shared" si="8"/>
        <v>0</v>
      </c>
      <c r="H188" s="212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4"/>
      <c r="AJ188" s="215"/>
      <c r="AK188" s="215"/>
      <c r="AL188" s="215"/>
      <c r="AM188" s="215"/>
    </row>
    <row r="189" spans="1:39" s="119" customFormat="1" ht="18" customHeight="1" thickBot="1" x14ac:dyDescent="0.35">
      <c r="A189" s="136" t="s">
        <v>183</v>
      </c>
      <c r="B189" s="135" t="s">
        <v>359</v>
      </c>
      <c r="C189" s="288">
        <v>2471</v>
      </c>
      <c r="D189" s="136" t="s">
        <v>370</v>
      </c>
      <c r="E189" s="278">
        <v>0</v>
      </c>
      <c r="F189" s="186">
        <f t="shared" si="7"/>
        <v>0</v>
      </c>
      <c r="G189" s="186">
        <f t="shared" si="8"/>
        <v>0</v>
      </c>
      <c r="H189" s="212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4"/>
      <c r="AJ189" s="215"/>
      <c r="AK189" s="215"/>
      <c r="AL189" s="215"/>
      <c r="AM189" s="215"/>
    </row>
    <row r="190" spans="1:39" s="119" customFormat="1" ht="18" customHeight="1" thickBot="1" x14ac:dyDescent="0.35">
      <c r="A190" s="136" t="s">
        <v>402</v>
      </c>
      <c r="B190" s="135" t="s">
        <v>571</v>
      </c>
      <c r="C190" s="272">
        <v>396309</v>
      </c>
      <c r="D190" s="136"/>
      <c r="E190" s="186">
        <f t="shared" si="6"/>
        <v>396309</v>
      </c>
      <c r="F190" s="186">
        <f t="shared" si="7"/>
        <v>140364.53</v>
      </c>
      <c r="G190" s="186">
        <f t="shared" si="8"/>
        <v>255944.47</v>
      </c>
      <c r="H190" s="212"/>
      <c r="I190" s="213"/>
      <c r="J190" s="213"/>
      <c r="K190" s="213"/>
      <c r="L190" s="213"/>
      <c r="M190" s="213"/>
      <c r="N190" s="213"/>
      <c r="O190" s="213"/>
      <c r="P190" s="189"/>
      <c r="Q190" s="189">
        <v>35047.14</v>
      </c>
      <c r="R190" s="189">
        <v>36603.81</v>
      </c>
      <c r="S190" s="189">
        <v>30099.97</v>
      </c>
      <c r="T190" s="189"/>
      <c r="U190" s="213">
        <v>38613.61</v>
      </c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4"/>
      <c r="AJ190" s="215"/>
      <c r="AK190" s="215"/>
      <c r="AL190" s="215"/>
      <c r="AM190" s="215"/>
    </row>
    <row r="191" spans="1:39" s="119" customFormat="1" ht="18" customHeight="1" thickBot="1" x14ac:dyDescent="0.35">
      <c r="A191" s="136" t="s">
        <v>362</v>
      </c>
      <c r="B191" s="135" t="s">
        <v>592</v>
      </c>
      <c r="C191" s="272">
        <v>3924</v>
      </c>
      <c r="D191" s="136"/>
      <c r="E191" s="186">
        <f t="shared" si="6"/>
        <v>3924</v>
      </c>
      <c r="F191" s="186">
        <f t="shared" si="7"/>
        <v>0</v>
      </c>
      <c r="G191" s="186">
        <f t="shared" si="8"/>
        <v>3924</v>
      </c>
      <c r="H191" s="212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4"/>
      <c r="AJ191" s="215"/>
      <c r="AK191" s="215"/>
      <c r="AL191" s="215"/>
      <c r="AM191" s="215"/>
    </row>
    <row r="192" spans="1:39" s="119" customFormat="1" ht="18" customHeight="1" thickBot="1" x14ac:dyDescent="0.35">
      <c r="A192" s="136" t="s">
        <v>370</v>
      </c>
      <c r="B192" s="135" t="s">
        <v>374</v>
      </c>
      <c r="C192" s="297">
        <v>0</v>
      </c>
      <c r="D192" s="136"/>
      <c r="E192" s="186">
        <f>C16+C17+C25+C27+C40+C41+C56+C59+C92+C93+C94+C95+C96+C110+C111+C112+C170+C173+C188+C189</f>
        <v>184986</v>
      </c>
      <c r="F192" s="186">
        <f t="shared" si="7"/>
        <v>6941.68</v>
      </c>
      <c r="G192" s="186">
        <f t="shared" si="8"/>
        <v>178044.32</v>
      </c>
      <c r="H192" s="212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>
        <v>6941.68</v>
      </c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4"/>
      <c r="AJ192" s="215"/>
      <c r="AK192" s="215"/>
      <c r="AL192" s="215"/>
      <c r="AM192" s="215"/>
    </row>
    <row r="193" spans="1:39" s="119" customFormat="1" ht="18" customHeight="1" thickBot="1" x14ac:dyDescent="0.35">
      <c r="A193" s="136" t="s">
        <v>371</v>
      </c>
      <c r="B193" s="135" t="s">
        <v>593</v>
      </c>
      <c r="C193" s="297">
        <v>0</v>
      </c>
      <c r="D193" s="136"/>
      <c r="E193" s="186">
        <f>C113+C127+C129+C130+C174+C180+C183+C184+C185</f>
        <v>256653</v>
      </c>
      <c r="F193" s="186">
        <f t="shared" si="7"/>
        <v>142824</v>
      </c>
      <c r="G193" s="186">
        <f t="shared" si="8"/>
        <v>113829</v>
      </c>
      <c r="H193" s="212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>
        <v>142824</v>
      </c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4"/>
      <c r="AJ193" s="215"/>
      <c r="AK193" s="215"/>
      <c r="AL193" s="215"/>
      <c r="AM193" s="215"/>
    </row>
    <row r="194" spans="1:39" s="119" customFormat="1" ht="18" customHeight="1" thickBot="1" x14ac:dyDescent="0.35">
      <c r="A194" s="136" t="s">
        <v>372</v>
      </c>
      <c r="B194" s="135" t="s">
        <v>376</v>
      </c>
      <c r="C194" s="297">
        <v>0</v>
      </c>
      <c r="D194" s="136"/>
      <c r="E194" s="186">
        <f>C114+C116+C142+C164+C165+C171+C172</f>
        <v>43230</v>
      </c>
      <c r="F194" s="186">
        <f t="shared" si="7"/>
        <v>41000</v>
      </c>
      <c r="G194" s="186">
        <f t="shared" si="8"/>
        <v>2230</v>
      </c>
      <c r="H194" s="212"/>
      <c r="I194" s="213"/>
      <c r="J194" s="213"/>
      <c r="K194" s="213"/>
      <c r="L194" s="213"/>
      <c r="M194" s="213"/>
      <c r="N194" s="213"/>
      <c r="O194" s="213"/>
      <c r="P194" s="213"/>
      <c r="Q194" s="213">
        <v>1819.48</v>
      </c>
      <c r="R194" s="213">
        <v>6041</v>
      </c>
      <c r="S194" s="213">
        <v>10046.459999999999</v>
      </c>
      <c r="T194" s="213">
        <v>23093.06</v>
      </c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4"/>
      <c r="AJ194" s="215"/>
      <c r="AK194" s="215"/>
      <c r="AL194" s="215"/>
      <c r="AM194" s="215"/>
    </row>
    <row r="195" spans="1:39" s="3" customFormat="1" ht="18" customHeight="1" thickBot="1" x14ac:dyDescent="0.35">
      <c r="A195" s="156"/>
      <c r="B195" s="157"/>
      <c r="C195" s="210"/>
      <c r="D195" s="133"/>
      <c r="E195" s="187"/>
      <c r="F195" s="187"/>
      <c r="G195" s="187"/>
      <c r="H195" s="216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90"/>
      <c r="AJ195" s="191"/>
      <c r="AK195" s="191"/>
      <c r="AL195" s="191"/>
      <c r="AM195" s="191"/>
    </row>
    <row r="196" spans="1:39" s="48" customFormat="1" ht="18" customHeight="1" thickBot="1" x14ac:dyDescent="0.3">
      <c r="A196" s="113" t="s">
        <v>575</v>
      </c>
      <c r="B196" s="113"/>
      <c r="C196" s="211">
        <f>SUM(C12:C194)</f>
        <v>23700527</v>
      </c>
      <c r="D196" s="135"/>
      <c r="E196" s="188">
        <f t="shared" ref="E196" si="9">SUM(E12:E194)</f>
        <v>23700527</v>
      </c>
      <c r="F196" s="188">
        <f t="shared" ref="F196:AM196" si="10">SUM(F12:F194)</f>
        <v>13072880.439999996</v>
      </c>
      <c r="G196" s="188">
        <f t="shared" si="10"/>
        <v>10627646.560000004</v>
      </c>
      <c r="H196" s="217">
        <f t="shared" si="10"/>
        <v>0</v>
      </c>
      <c r="I196" s="217">
        <f t="shared" si="10"/>
        <v>0</v>
      </c>
      <c r="J196" s="217">
        <f t="shared" si="10"/>
        <v>0</v>
      </c>
      <c r="K196" s="217">
        <f t="shared" si="10"/>
        <v>58056.54</v>
      </c>
      <c r="L196" s="217">
        <f t="shared" si="10"/>
        <v>368178.67</v>
      </c>
      <c r="M196" s="217">
        <f t="shared" si="10"/>
        <v>479990.62</v>
      </c>
      <c r="N196" s="217">
        <f t="shared" si="10"/>
        <v>668351.34999999986</v>
      </c>
      <c r="O196" s="217">
        <f t="shared" si="10"/>
        <v>1203655.03</v>
      </c>
      <c r="P196" s="217">
        <f t="shared" si="10"/>
        <v>875757.78000000026</v>
      </c>
      <c r="Q196" s="217">
        <f>SUM(Q12:Q194)</f>
        <v>2403043.1800000002</v>
      </c>
      <c r="R196" s="217">
        <f t="shared" si="10"/>
        <v>1147671.74</v>
      </c>
      <c r="S196" s="217">
        <f t="shared" si="10"/>
        <v>3155310.1200000006</v>
      </c>
      <c r="T196" s="217">
        <f t="shared" si="10"/>
        <v>735140.47000000009</v>
      </c>
      <c r="U196" s="217">
        <f t="shared" si="10"/>
        <v>588536.52</v>
      </c>
      <c r="V196" s="217">
        <f t="shared" si="10"/>
        <v>1389188.42</v>
      </c>
      <c r="W196" s="217">
        <f t="shared" si="10"/>
        <v>0</v>
      </c>
      <c r="X196" s="217">
        <f t="shared" si="10"/>
        <v>0</v>
      </c>
      <c r="Y196" s="217">
        <f t="shared" si="10"/>
        <v>0</v>
      </c>
      <c r="Z196" s="217">
        <f t="shared" si="10"/>
        <v>0</v>
      </c>
      <c r="AA196" s="217">
        <f t="shared" si="10"/>
        <v>0</v>
      </c>
      <c r="AB196" s="217">
        <f t="shared" si="10"/>
        <v>0</v>
      </c>
      <c r="AC196" s="217">
        <f t="shared" si="10"/>
        <v>0</v>
      </c>
      <c r="AD196" s="217">
        <f t="shared" si="10"/>
        <v>0</v>
      </c>
      <c r="AE196" s="217">
        <f t="shared" si="10"/>
        <v>0</v>
      </c>
      <c r="AF196" s="217">
        <f t="shared" si="10"/>
        <v>0</v>
      </c>
      <c r="AG196" s="217">
        <f t="shared" si="10"/>
        <v>0</v>
      </c>
      <c r="AH196" s="217">
        <f t="shared" si="10"/>
        <v>0</v>
      </c>
      <c r="AI196" s="217">
        <f t="shared" si="10"/>
        <v>0</v>
      </c>
      <c r="AJ196" s="217">
        <f t="shared" si="10"/>
        <v>0</v>
      </c>
      <c r="AK196" s="217">
        <f t="shared" si="10"/>
        <v>0</v>
      </c>
      <c r="AL196" s="217">
        <f t="shared" si="10"/>
        <v>0</v>
      </c>
      <c r="AM196" s="217">
        <f t="shared" si="10"/>
        <v>0</v>
      </c>
    </row>
    <row r="197" spans="1:39" s="8" customFormat="1" x14ac:dyDescent="0.25">
      <c r="A197" s="112"/>
      <c r="B197" s="112"/>
      <c r="C197" s="126"/>
      <c r="D197" s="133"/>
      <c r="M197" s="74"/>
    </row>
    <row r="198" spans="1:39" s="8" customFormat="1" x14ac:dyDescent="0.25">
      <c r="A198" s="112"/>
      <c r="B198" s="112"/>
      <c r="D198" s="133"/>
      <c r="K198" s="74"/>
      <c r="L198" s="74"/>
      <c r="M198" s="126"/>
      <c r="N198" s="74"/>
      <c r="O198" s="74"/>
      <c r="P198" s="74"/>
      <c r="Q198" s="74"/>
      <c r="R198" s="74"/>
      <c r="S198" s="74"/>
      <c r="T198" s="259"/>
      <c r="V198" s="74"/>
    </row>
    <row r="199" spans="1:39" s="8" customFormat="1" x14ac:dyDescent="0.25">
      <c r="A199" s="112"/>
      <c r="B199" s="112"/>
      <c r="D199" s="170"/>
      <c r="F199" s="237"/>
      <c r="J199" s="74"/>
      <c r="L199" s="74"/>
      <c r="N199" s="126"/>
      <c r="Q199" s="74"/>
      <c r="R199" s="74"/>
      <c r="S199" s="74"/>
      <c r="T199" s="74"/>
      <c r="U199" s="74"/>
    </row>
    <row r="200" spans="1:39" s="8" customFormat="1" x14ac:dyDescent="0.25">
      <c r="A200" s="112"/>
      <c r="B200" s="112"/>
      <c r="D200" s="4"/>
      <c r="F200" s="237"/>
      <c r="O200" s="237"/>
      <c r="P200" s="237"/>
    </row>
    <row r="201" spans="1:39" s="8" customFormat="1" x14ac:dyDescent="0.25">
      <c r="A201" s="112"/>
      <c r="B201" s="112"/>
      <c r="D201" s="4"/>
      <c r="R201" s="237"/>
      <c r="T201" s="237"/>
    </row>
    <row r="202" spans="1:39" s="8" customFormat="1" x14ac:dyDescent="0.25">
      <c r="A202" s="112"/>
      <c r="B202" s="112"/>
      <c r="D202" s="4"/>
    </row>
    <row r="203" spans="1:39" s="8" customFormat="1" x14ac:dyDescent="0.25">
      <c r="A203" s="112"/>
      <c r="B203" s="112"/>
      <c r="D203" s="4"/>
      <c r="F203" s="237"/>
    </row>
    <row r="204" spans="1:39" s="8" customFormat="1" x14ac:dyDescent="0.25">
      <c r="A204" s="112"/>
      <c r="B204" s="112"/>
      <c r="D204" s="4"/>
    </row>
    <row r="205" spans="1:39" s="8" customFormat="1" x14ac:dyDescent="0.25">
      <c r="A205" s="112"/>
      <c r="B205" s="112"/>
      <c r="D205" s="4"/>
    </row>
    <row r="206" spans="1:39" s="8" customFormat="1" x14ac:dyDescent="0.25">
      <c r="A206" s="112"/>
      <c r="B206" s="112"/>
      <c r="D206" s="4"/>
    </row>
    <row r="207" spans="1:39" s="8" customFormat="1" x14ac:dyDescent="0.25">
      <c r="A207" s="112"/>
      <c r="B207" s="112"/>
      <c r="D207" s="4"/>
    </row>
    <row r="208" spans="1:39" s="8" customFormat="1" x14ac:dyDescent="0.25">
      <c r="A208" s="112"/>
      <c r="B208" s="112"/>
      <c r="D208" s="4"/>
    </row>
    <row r="209" spans="1:4" s="8" customFormat="1" x14ac:dyDescent="0.25">
      <c r="A209" s="112"/>
      <c r="B209" s="112"/>
      <c r="D209" s="4"/>
    </row>
    <row r="210" spans="1:4" s="8" customFormat="1" x14ac:dyDescent="0.25">
      <c r="A210" s="112"/>
      <c r="B210" s="112"/>
      <c r="D210" s="4"/>
    </row>
    <row r="211" spans="1:4" s="8" customFormat="1" x14ac:dyDescent="0.25">
      <c r="A211" s="112"/>
      <c r="B211" s="112"/>
      <c r="D211" s="4"/>
    </row>
    <row r="212" spans="1:4" s="8" customFormat="1" x14ac:dyDescent="0.25">
      <c r="A212" s="112"/>
      <c r="B212" s="112"/>
      <c r="D212" s="4"/>
    </row>
    <row r="213" spans="1:4" s="8" customFormat="1" x14ac:dyDescent="0.25">
      <c r="A213" s="112"/>
      <c r="B213" s="112"/>
      <c r="D213" s="4"/>
    </row>
    <row r="214" spans="1:4" s="8" customFormat="1" x14ac:dyDescent="0.25">
      <c r="A214" s="112"/>
      <c r="B214" s="112"/>
      <c r="D214" s="4"/>
    </row>
    <row r="215" spans="1:4" s="8" customFormat="1" x14ac:dyDescent="0.25">
      <c r="A215" s="112"/>
      <c r="B215" s="112"/>
      <c r="D215" s="4"/>
    </row>
    <row r="216" spans="1:4" s="8" customFormat="1" x14ac:dyDescent="0.25">
      <c r="A216" s="112"/>
      <c r="B216" s="112"/>
      <c r="D216" s="4"/>
    </row>
    <row r="217" spans="1:4" s="8" customFormat="1" x14ac:dyDescent="0.25">
      <c r="A217" s="112"/>
      <c r="B217" s="112"/>
      <c r="D217" s="4"/>
    </row>
    <row r="218" spans="1:4" s="8" customFormat="1" x14ac:dyDescent="0.25">
      <c r="A218" s="112"/>
      <c r="B218" s="112"/>
      <c r="D218" s="4"/>
    </row>
    <row r="219" spans="1:4" s="8" customFormat="1" x14ac:dyDescent="0.25">
      <c r="A219" s="112"/>
      <c r="B219" s="112"/>
      <c r="D219" s="4"/>
    </row>
    <row r="220" spans="1:4" s="8" customFormat="1" x14ac:dyDescent="0.25">
      <c r="A220" s="112"/>
      <c r="B220" s="112"/>
      <c r="D220" s="4"/>
    </row>
    <row r="221" spans="1:4" s="8" customFormat="1" x14ac:dyDescent="0.25">
      <c r="A221" s="112"/>
      <c r="B221" s="112"/>
      <c r="D221" s="4"/>
    </row>
    <row r="222" spans="1:4" s="8" customFormat="1" x14ac:dyDescent="0.25">
      <c r="A222" s="112"/>
      <c r="B222" s="112"/>
      <c r="D222" s="4"/>
    </row>
    <row r="223" spans="1:4" s="8" customFormat="1" x14ac:dyDescent="0.25">
      <c r="A223" s="112"/>
      <c r="B223" s="112"/>
      <c r="D223" s="4"/>
    </row>
    <row r="224" spans="1:4" x14ac:dyDescent="0.25">
      <c r="D224" s="5"/>
    </row>
    <row r="225" spans="4:4" x14ac:dyDescent="0.25">
      <c r="D225" s="5"/>
    </row>
  </sheetData>
  <sheetProtection algorithmName="SHA-512" hashValue="G7N7umtu4brubBgN7I+BDMVo74N8TGSQ2puudcMEanUT2/rhaqIYhN8MxuZhN1LnE/ojgc0veOPb7Nlhdi8i7w==" saltValue="n+HuAiFqWEar3pvRTiIETg==" spinCount="100000" sheet="1" objects="1" scenarios="1"/>
  <autoFilter ref="A11:AR194" xr:uid="{00000000-0009-0000-0000-000004000000}"/>
  <pageMargins left="0.7" right="0.7" top="0.75" bottom="0.75" header="0.3" footer="0.3"/>
  <pageSetup scale="1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66CCFF"/>
    <pageSetUpPr fitToPage="1"/>
  </sheetPr>
  <dimension ref="A1:BC211"/>
  <sheetViews>
    <sheetView zoomScaleNormal="100" workbookViewId="0">
      <pane xSplit="7" ySplit="11" topLeftCell="U21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V22" sqref="V22"/>
    </sheetView>
  </sheetViews>
  <sheetFormatPr defaultColWidth="9.140625" defaultRowHeight="15" x14ac:dyDescent="0.25"/>
  <cols>
    <col min="1" max="1" width="9.140625" style="1"/>
    <col min="2" max="2" width="33.85546875" style="127" bestFit="1" customWidth="1"/>
    <col min="3" max="3" width="16.42578125" style="9" customWidth="1"/>
    <col min="4" max="4" width="20" style="5" customWidth="1"/>
    <col min="5" max="5" width="19.140625" style="9" customWidth="1"/>
    <col min="6" max="6" width="15.7109375" style="9" customWidth="1"/>
    <col min="7" max="7" width="17" style="9" customWidth="1"/>
    <col min="8" max="34" width="15.7109375" style="1" customWidth="1"/>
    <col min="35" max="39" width="16.28515625" style="1" customWidth="1"/>
    <col min="40" max="16384" width="9.140625" style="1"/>
  </cols>
  <sheetData>
    <row r="1" spans="1:39" ht="21" x14ac:dyDescent="0.35">
      <c r="A1" s="76" t="s">
        <v>0</v>
      </c>
      <c r="B1" s="125"/>
      <c r="C1" s="120" t="s">
        <v>659</v>
      </c>
      <c r="D1" s="124"/>
      <c r="E1" s="120"/>
      <c r="F1" s="27"/>
      <c r="G1" s="28"/>
      <c r="H1" s="23"/>
      <c r="I1" s="23"/>
      <c r="J1" s="120" t="str">
        <f>C1</f>
        <v>Title III-A Formula (Revised Final 11/18/21)</v>
      </c>
      <c r="K1" s="120"/>
      <c r="L1" s="76"/>
      <c r="M1" s="76"/>
      <c r="N1" s="79"/>
      <c r="O1" s="79"/>
      <c r="P1" s="120" t="str">
        <f>C1</f>
        <v>Title III-A Formula (Revised Final 11/18/21)</v>
      </c>
      <c r="Q1" s="23"/>
      <c r="R1" s="120"/>
      <c r="S1" s="120"/>
      <c r="T1" s="76"/>
      <c r="U1" s="76"/>
      <c r="V1" s="120" t="str">
        <f>C1</f>
        <v>Title III-A Formula (Revised Final 11/18/21)</v>
      </c>
      <c r="W1" s="79"/>
      <c r="X1" s="23"/>
      <c r="Y1" s="23"/>
      <c r="Z1" s="120"/>
      <c r="AA1" s="120"/>
      <c r="AB1" s="120" t="str">
        <f>C1</f>
        <v>Title III-A Formula (Revised Final 11/18/21)</v>
      </c>
      <c r="AC1" s="76"/>
      <c r="AD1" s="79"/>
      <c r="AE1" s="79"/>
      <c r="AF1" s="23"/>
      <c r="AG1" s="120" t="str">
        <f>C1</f>
        <v>Title III-A Formula (Revised Final 11/18/21)</v>
      </c>
      <c r="AH1" s="120"/>
      <c r="AI1" s="120"/>
      <c r="AJ1" s="120"/>
      <c r="AK1" s="120"/>
      <c r="AL1" s="120"/>
      <c r="AM1" s="120"/>
    </row>
    <row r="2" spans="1:39" ht="15.75" x14ac:dyDescent="0.25">
      <c r="A2" s="81" t="s">
        <v>1</v>
      </c>
      <c r="B2" s="125"/>
      <c r="C2" s="82" t="s">
        <v>383</v>
      </c>
      <c r="D2" s="161"/>
      <c r="E2" s="82"/>
      <c r="F2" s="21"/>
      <c r="G2" s="22"/>
      <c r="H2" s="23"/>
      <c r="I2" s="23"/>
      <c r="J2" s="81" t="str">
        <f>"FY"&amp;C4</f>
        <v>FY2021-2022</v>
      </c>
      <c r="K2" s="81"/>
      <c r="L2" s="121"/>
      <c r="M2" s="121"/>
      <c r="N2" s="83"/>
      <c r="O2" s="83"/>
      <c r="P2" s="81" t="str">
        <f>"FY"&amp;C4</f>
        <v>FY2021-2022</v>
      </c>
      <c r="Q2" s="83"/>
      <c r="R2" s="81"/>
      <c r="S2" s="81"/>
      <c r="T2" s="121"/>
      <c r="U2" s="121"/>
      <c r="V2" s="81" t="str">
        <f>"FY"&amp;C4</f>
        <v>FY2021-2022</v>
      </c>
      <c r="W2" s="83"/>
      <c r="X2" s="83"/>
      <c r="Y2" s="83"/>
      <c r="Z2" s="81"/>
      <c r="AA2" s="81"/>
      <c r="AB2" s="81" t="str">
        <f>"FY"&amp;C4</f>
        <v>FY2021-2022</v>
      </c>
      <c r="AC2" s="121"/>
      <c r="AD2" s="83"/>
      <c r="AE2" s="83"/>
      <c r="AF2" s="83"/>
      <c r="AG2" s="81" t="str">
        <f>"FY"&amp;C4</f>
        <v>FY2021-2022</v>
      </c>
      <c r="AH2" s="81"/>
      <c r="AI2" s="81"/>
      <c r="AJ2" s="81"/>
      <c r="AK2" s="81"/>
      <c r="AL2" s="81"/>
      <c r="AM2" s="81"/>
    </row>
    <row r="3" spans="1:39" ht="15.75" x14ac:dyDescent="0.25">
      <c r="A3" s="81" t="s">
        <v>3</v>
      </c>
      <c r="B3" s="125"/>
      <c r="C3" s="121">
        <v>4365</v>
      </c>
      <c r="D3" s="124"/>
      <c r="E3" s="121"/>
      <c r="F3" s="21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80"/>
      <c r="AJ3" s="80"/>
      <c r="AK3" s="80"/>
      <c r="AL3" s="80"/>
      <c r="AM3" s="80"/>
    </row>
    <row r="4" spans="1:39" ht="21" x14ac:dyDescent="0.35">
      <c r="A4" s="81" t="s">
        <v>2</v>
      </c>
      <c r="B4" s="125"/>
      <c r="C4" s="120" t="s">
        <v>640</v>
      </c>
      <c r="D4" s="124"/>
      <c r="E4" s="120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80"/>
      <c r="AJ4" s="80"/>
      <c r="AK4" s="80"/>
      <c r="AL4" s="80"/>
      <c r="AM4" s="80"/>
    </row>
    <row r="5" spans="1:39" ht="15.75" x14ac:dyDescent="0.25">
      <c r="A5" s="81" t="s">
        <v>392</v>
      </c>
      <c r="B5" s="125"/>
      <c r="C5" s="67" t="s">
        <v>613</v>
      </c>
      <c r="D5" s="124"/>
      <c r="E5" s="67"/>
      <c r="F5" s="21"/>
      <c r="G5" s="24"/>
      <c r="H5" s="85"/>
      <c r="I5" s="85"/>
      <c r="J5" s="85"/>
      <c r="K5" s="8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86"/>
      <c r="AJ5" s="86"/>
      <c r="AK5" s="86"/>
      <c r="AL5" s="86"/>
      <c r="AM5" s="86"/>
    </row>
    <row r="6" spans="1:39" ht="15.75" x14ac:dyDescent="0.25">
      <c r="A6" s="81" t="s">
        <v>4</v>
      </c>
      <c r="B6" s="125"/>
      <c r="C6" s="67" t="s">
        <v>364</v>
      </c>
      <c r="D6" s="124"/>
      <c r="E6" s="67"/>
      <c r="F6" s="21"/>
      <c r="G6" s="24"/>
      <c r="H6" s="85"/>
      <c r="I6" s="85"/>
      <c r="J6" s="85"/>
      <c r="K6" s="8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86"/>
      <c r="AJ6" s="86"/>
      <c r="AK6" s="86"/>
      <c r="AL6" s="86"/>
      <c r="AM6" s="86"/>
    </row>
    <row r="7" spans="1:39" ht="15.75" x14ac:dyDescent="0.25">
      <c r="A7" s="81"/>
      <c r="B7" s="125"/>
      <c r="C7" s="121" t="s">
        <v>617</v>
      </c>
      <c r="D7" s="124"/>
      <c r="E7" s="121"/>
      <c r="F7" s="21"/>
      <c r="G7" s="24"/>
      <c r="H7" s="85"/>
      <c r="I7" s="85"/>
      <c r="J7" s="85"/>
      <c r="K7" s="8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86"/>
      <c r="AJ7" s="86"/>
      <c r="AK7" s="86"/>
      <c r="AL7" s="86"/>
      <c r="AM7" s="86"/>
    </row>
    <row r="8" spans="1:39" ht="15.75" x14ac:dyDescent="0.25">
      <c r="A8" s="81" t="s">
        <v>378</v>
      </c>
      <c r="B8" s="125"/>
      <c r="C8" s="121" t="s">
        <v>583</v>
      </c>
      <c r="D8" s="124"/>
      <c r="E8" s="121"/>
      <c r="F8" s="22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86"/>
      <c r="AJ8" s="86"/>
      <c r="AK8" s="86"/>
      <c r="AL8" s="86"/>
      <c r="AM8" s="86"/>
    </row>
    <row r="9" spans="1:39" ht="15.75" x14ac:dyDescent="0.25">
      <c r="A9" s="81" t="s">
        <v>379</v>
      </c>
      <c r="B9" s="125"/>
      <c r="C9" s="121" t="s">
        <v>380</v>
      </c>
      <c r="D9" s="124"/>
      <c r="E9" s="121"/>
      <c r="F9" s="22"/>
      <c r="G9" s="26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86"/>
      <c r="AJ9" s="86"/>
      <c r="AK9" s="86"/>
      <c r="AL9" s="86"/>
      <c r="AM9" s="86"/>
    </row>
    <row r="10" spans="1:39" ht="16.5" thickBot="1" x14ac:dyDescent="0.3">
      <c r="A10" s="81" t="s">
        <v>393</v>
      </c>
      <c r="B10" s="117"/>
      <c r="C10" s="81" t="s">
        <v>642</v>
      </c>
      <c r="D10" s="124"/>
      <c r="E10" s="81"/>
      <c r="F10" s="22"/>
      <c r="G10" s="2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86"/>
      <c r="AJ10" s="86"/>
      <c r="AK10" s="86"/>
      <c r="AL10" s="86"/>
      <c r="AM10" s="86"/>
    </row>
    <row r="11" spans="1:39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612</v>
      </c>
      <c r="E11" s="41" t="s">
        <v>607</v>
      </c>
      <c r="F11" s="42" t="s">
        <v>368</v>
      </c>
      <c r="G11" s="49" t="s">
        <v>369</v>
      </c>
      <c r="H11" s="100" t="s">
        <v>645</v>
      </c>
      <c r="I11" s="100" t="s">
        <v>614</v>
      </c>
      <c r="J11" s="100" t="s">
        <v>615</v>
      </c>
      <c r="K11" s="100" t="s">
        <v>616</v>
      </c>
      <c r="L11" s="100" t="s">
        <v>646</v>
      </c>
      <c r="M11" s="100" t="s">
        <v>618</v>
      </c>
      <c r="N11" s="100" t="s">
        <v>625</v>
      </c>
      <c r="O11" s="100" t="s">
        <v>626</v>
      </c>
      <c r="P11" s="100" t="s">
        <v>627</v>
      </c>
      <c r="Q11" s="101" t="s">
        <v>628</v>
      </c>
      <c r="R11" s="100" t="s">
        <v>629</v>
      </c>
      <c r="S11" s="100" t="s">
        <v>630</v>
      </c>
      <c r="T11" s="100" t="s">
        <v>631</v>
      </c>
      <c r="U11" s="100" t="s">
        <v>632</v>
      </c>
      <c r="V11" s="100" t="s">
        <v>633</v>
      </c>
      <c r="W11" s="100" t="s">
        <v>634</v>
      </c>
      <c r="X11" s="100" t="s">
        <v>635</v>
      </c>
      <c r="Y11" s="100" t="s">
        <v>636</v>
      </c>
      <c r="Z11" s="100" t="s">
        <v>647</v>
      </c>
      <c r="AA11" s="100" t="s">
        <v>648</v>
      </c>
      <c r="AB11" s="100" t="s">
        <v>649</v>
      </c>
      <c r="AC11" s="100" t="s">
        <v>650</v>
      </c>
      <c r="AD11" s="100" t="s">
        <v>651</v>
      </c>
      <c r="AE11" s="100" t="s">
        <v>652</v>
      </c>
      <c r="AF11" s="100" t="s">
        <v>653</v>
      </c>
      <c r="AG11" s="100" t="s">
        <v>654</v>
      </c>
      <c r="AH11" s="100" t="s">
        <v>655</v>
      </c>
      <c r="AI11" s="100" t="s">
        <v>656</v>
      </c>
      <c r="AJ11" s="100" t="s">
        <v>657</v>
      </c>
      <c r="AK11" s="100" t="s">
        <v>658</v>
      </c>
      <c r="AL11" s="100" t="s">
        <v>610</v>
      </c>
      <c r="AM11" s="100" t="s">
        <v>611</v>
      </c>
    </row>
    <row r="12" spans="1:39" s="119" customFormat="1" ht="18" customHeight="1" thickBot="1" x14ac:dyDescent="0.35">
      <c r="A12" s="136" t="s">
        <v>6</v>
      </c>
      <c r="B12" s="130" t="s">
        <v>184</v>
      </c>
      <c r="C12" s="288">
        <v>196781</v>
      </c>
      <c r="D12" s="136"/>
      <c r="E12" s="270">
        <f>C12</f>
        <v>196781</v>
      </c>
      <c r="F12" s="220">
        <f>SUM(H12:AK12)</f>
        <v>177103.00000000003</v>
      </c>
      <c r="G12" s="220">
        <f>E12-(F12+AL12+AM12)</f>
        <v>19677.999999999971</v>
      </c>
      <c r="H12" s="212"/>
      <c r="I12" s="213"/>
      <c r="J12" s="213"/>
      <c r="K12" s="213">
        <v>27254.14</v>
      </c>
      <c r="L12" s="213">
        <v>13741.9</v>
      </c>
      <c r="M12" s="222">
        <v>16398.419999999998</v>
      </c>
      <c r="N12" s="213"/>
      <c r="O12" s="213">
        <f>16398.42+16398.41</f>
        <v>32796.83</v>
      </c>
      <c r="P12" s="299">
        <v>16398.41</v>
      </c>
      <c r="Q12" s="213">
        <v>16398.41</v>
      </c>
      <c r="R12" s="213">
        <v>16398.509999999998</v>
      </c>
      <c r="S12" s="213">
        <v>37716.379999999997</v>
      </c>
      <c r="T12" s="213"/>
      <c r="U12" s="213"/>
      <c r="V12" s="213"/>
      <c r="W12" s="213"/>
      <c r="X12" s="212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5"/>
      <c r="AJ12" s="215"/>
      <c r="AK12" s="215"/>
      <c r="AL12" s="215"/>
      <c r="AM12" s="215"/>
    </row>
    <row r="13" spans="1:39" s="119" customFormat="1" ht="18" customHeight="1" thickBot="1" x14ac:dyDescent="0.35">
      <c r="A13" s="136" t="s">
        <v>7</v>
      </c>
      <c r="B13" s="130" t="s">
        <v>185</v>
      </c>
      <c r="C13" s="288">
        <v>507534</v>
      </c>
      <c r="D13" s="136"/>
      <c r="E13" s="270">
        <f t="shared" ref="E13:E15" si="0">C13</f>
        <v>507534</v>
      </c>
      <c r="F13" s="220">
        <f t="shared" ref="F13:F76" si="1">SUM(H13:AK13)</f>
        <v>418425.71</v>
      </c>
      <c r="G13" s="220">
        <f t="shared" ref="G13:G76" si="2">E13-(F13+AL13+AM13)</f>
        <v>89108.289999999979</v>
      </c>
      <c r="H13" s="212"/>
      <c r="I13" s="213"/>
      <c r="J13" s="213"/>
      <c r="K13" s="213"/>
      <c r="L13" s="213"/>
      <c r="M13" s="213">
        <v>29434.47</v>
      </c>
      <c r="N13" s="213">
        <v>45560.99</v>
      </c>
      <c r="O13" s="213">
        <v>45625.38</v>
      </c>
      <c r="P13" s="213">
        <v>45587.76</v>
      </c>
      <c r="Q13" s="213">
        <v>45600.81</v>
      </c>
      <c r="R13" s="213">
        <v>49392.84</v>
      </c>
      <c r="S13" s="213">
        <f>45720.27+48268.93</f>
        <v>93989.2</v>
      </c>
      <c r="T13" s="213"/>
      <c r="U13" s="213">
        <v>63234.26</v>
      </c>
      <c r="V13" s="213"/>
      <c r="W13" s="213"/>
      <c r="X13" s="212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5"/>
      <c r="AJ13" s="215"/>
      <c r="AK13" s="215"/>
      <c r="AL13" s="215"/>
      <c r="AM13" s="215"/>
    </row>
    <row r="14" spans="1:39" s="119" customFormat="1" ht="18" customHeight="1" thickBot="1" x14ac:dyDescent="0.35">
      <c r="A14" s="136" t="s">
        <v>8</v>
      </c>
      <c r="B14" s="130" t="s">
        <v>186</v>
      </c>
      <c r="C14" s="288">
        <v>223948</v>
      </c>
      <c r="D14" s="136"/>
      <c r="E14" s="270">
        <f t="shared" si="0"/>
        <v>223948</v>
      </c>
      <c r="F14" s="220">
        <f t="shared" si="1"/>
        <v>160003.96</v>
      </c>
      <c r="G14" s="220">
        <f t="shared" si="2"/>
        <v>63944.040000000008</v>
      </c>
      <c r="H14" s="212"/>
      <c r="I14" s="213"/>
      <c r="J14" s="213"/>
      <c r="K14" s="213"/>
      <c r="L14" s="213"/>
      <c r="M14" s="213">
        <v>21074.53</v>
      </c>
      <c r="N14" s="213"/>
      <c r="O14" s="213">
        <v>31175.65</v>
      </c>
      <c r="P14" s="213">
        <v>17386.41</v>
      </c>
      <c r="Q14" s="213">
        <v>15276.34</v>
      </c>
      <c r="R14" s="213">
        <v>19341.13</v>
      </c>
      <c r="S14" s="213">
        <v>15035.89</v>
      </c>
      <c r="T14" s="213"/>
      <c r="U14" s="213">
        <v>40714.01</v>
      </c>
      <c r="V14" s="213"/>
      <c r="W14" s="213"/>
      <c r="X14" s="212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5"/>
      <c r="AJ14" s="215"/>
      <c r="AK14" s="215"/>
      <c r="AL14" s="215"/>
      <c r="AM14" s="215"/>
    </row>
    <row r="15" spans="1:39" s="119" customFormat="1" ht="18" customHeight="1" thickBot="1" x14ac:dyDescent="0.35">
      <c r="A15" s="136" t="s">
        <v>9</v>
      </c>
      <c r="B15" s="130" t="s">
        <v>187</v>
      </c>
      <c r="C15" s="288">
        <v>219624</v>
      </c>
      <c r="D15" s="136"/>
      <c r="E15" s="270">
        <f t="shared" si="0"/>
        <v>219624</v>
      </c>
      <c r="F15" s="220">
        <f t="shared" si="1"/>
        <v>0</v>
      </c>
      <c r="G15" s="220">
        <f t="shared" si="2"/>
        <v>219624</v>
      </c>
      <c r="H15" s="212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5"/>
      <c r="AJ15" s="215"/>
      <c r="AK15" s="215"/>
      <c r="AL15" s="215"/>
      <c r="AM15" s="215"/>
    </row>
    <row r="16" spans="1:39" s="119" customFormat="1" ht="18" customHeight="1" thickBot="1" x14ac:dyDescent="0.35">
      <c r="A16" s="136" t="s">
        <v>10</v>
      </c>
      <c r="B16" s="130" t="s">
        <v>188</v>
      </c>
      <c r="C16" s="288">
        <v>15909</v>
      </c>
      <c r="D16" s="280">
        <v>9025</v>
      </c>
      <c r="E16" s="270">
        <v>0</v>
      </c>
      <c r="F16" s="220">
        <f t="shared" si="1"/>
        <v>0</v>
      </c>
      <c r="G16" s="220">
        <f t="shared" si="2"/>
        <v>0</v>
      </c>
      <c r="H16" s="212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2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5"/>
      <c r="AJ16" s="215"/>
      <c r="AK16" s="215"/>
      <c r="AL16" s="215"/>
      <c r="AM16" s="215"/>
    </row>
    <row r="17" spans="1:39" s="119" customFormat="1" ht="18" customHeight="1" thickBot="1" x14ac:dyDescent="0.35">
      <c r="A17" s="136" t="s">
        <v>11</v>
      </c>
      <c r="B17" s="130" t="s">
        <v>189</v>
      </c>
      <c r="C17" s="288">
        <v>10443</v>
      </c>
      <c r="D17" s="280">
        <v>9025</v>
      </c>
      <c r="E17" s="270">
        <v>0</v>
      </c>
      <c r="F17" s="220">
        <f t="shared" si="1"/>
        <v>0</v>
      </c>
      <c r="G17" s="220">
        <f t="shared" si="2"/>
        <v>0</v>
      </c>
      <c r="H17" s="212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2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5"/>
      <c r="AJ17" s="215"/>
      <c r="AK17" s="215"/>
      <c r="AL17" s="215"/>
      <c r="AM17" s="215"/>
    </row>
    <row r="18" spans="1:39" s="119" customFormat="1" ht="18" customHeight="1" thickBot="1" x14ac:dyDescent="0.35">
      <c r="A18" s="136" t="s">
        <v>12</v>
      </c>
      <c r="B18" s="130" t="s">
        <v>190</v>
      </c>
      <c r="C18" s="288">
        <v>196128</v>
      </c>
      <c r="D18" s="136"/>
      <c r="E18" s="270">
        <f>C18</f>
        <v>196128</v>
      </c>
      <c r="F18" s="220">
        <f t="shared" si="1"/>
        <v>99555.01999999999</v>
      </c>
      <c r="G18" s="220">
        <f t="shared" si="2"/>
        <v>96572.98000000001</v>
      </c>
      <c r="H18" s="212"/>
      <c r="I18" s="213"/>
      <c r="J18" s="213"/>
      <c r="K18" s="213"/>
      <c r="L18" s="213"/>
      <c r="M18" s="213"/>
      <c r="N18" s="213"/>
      <c r="O18" s="213">
        <v>5584.55</v>
      </c>
      <c r="P18" s="213">
        <v>11912.97</v>
      </c>
      <c r="Q18" s="213">
        <v>11888.87</v>
      </c>
      <c r="R18" s="213">
        <v>15226.99</v>
      </c>
      <c r="S18" s="213">
        <v>39009.14</v>
      </c>
      <c r="T18" s="213"/>
      <c r="U18" s="213"/>
      <c r="V18" s="213">
        <v>15932.5</v>
      </c>
      <c r="W18" s="213"/>
      <c r="X18" s="212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5"/>
      <c r="AJ18" s="215"/>
      <c r="AK18" s="215"/>
      <c r="AL18" s="215"/>
      <c r="AM18" s="215"/>
    </row>
    <row r="19" spans="1:39" s="119" customFormat="1" ht="18" customHeight="1" thickBot="1" x14ac:dyDescent="0.35">
      <c r="A19" s="136" t="s">
        <v>13</v>
      </c>
      <c r="B19" s="130" t="s">
        <v>191</v>
      </c>
      <c r="C19" s="288">
        <v>25291</v>
      </c>
      <c r="D19" s="136"/>
      <c r="E19" s="270">
        <f>C19</f>
        <v>25291</v>
      </c>
      <c r="F19" s="220">
        <f t="shared" si="1"/>
        <v>0</v>
      </c>
      <c r="G19" s="220">
        <f t="shared" si="2"/>
        <v>25291</v>
      </c>
      <c r="H19" s="212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2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5"/>
      <c r="AJ19" s="215"/>
      <c r="AK19" s="215"/>
      <c r="AL19" s="215"/>
      <c r="AM19" s="215"/>
    </row>
    <row r="20" spans="1:39" s="119" customFormat="1" ht="18" customHeight="1" thickBot="1" x14ac:dyDescent="0.35">
      <c r="A20" s="136" t="s">
        <v>14</v>
      </c>
      <c r="B20" s="130" t="s">
        <v>192</v>
      </c>
      <c r="C20" s="288">
        <v>1142</v>
      </c>
      <c r="D20" s="280">
        <v>9055</v>
      </c>
      <c r="E20" s="270">
        <v>0</v>
      </c>
      <c r="F20" s="220">
        <f t="shared" si="1"/>
        <v>0</v>
      </c>
      <c r="G20" s="220">
        <f t="shared" si="2"/>
        <v>0</v>
      </c>
      <c r="H20" s="212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2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5"/>
      <c r="AJ20" s="215"/>
      <c r="AK20" s="215"/>
      <c r="AL20" s="215"/>
      <c r="AM20" s="215"/>
    </row>
    <row r="21" spans="1:39" s="119" customFormat="1" ht="18" customHeight="1" thickBot="1" x14ac:dyDescent="0.35">
      <c r="A21" s="136" t="s">
        <v>15</v>
      </c>
      <c r="B21" s="130" t="s">
        <v>193</v>
      </c>
      <c r="C21" s="288">
        <v>17867</v>
      </c>
      <c r="D21" s="136"/>
      <c r="E21" s="270">
        <f>C21</f>
        <v>17867</v>
      </c>
      <c r="F21" s="220">
        <f t="shared" si="1"/>
        <v>12087.300000000001</v>
      </c>
      <c r="G21" s="220">
        <f t="shared" si="2"/>
        <v>5779.6999999999989</v>
      </c>
      <c r="H21" s="212"/>
      <c r="I21" s="213"/>
      <c r="J21" s="213"/>
      <c r="K21" s="213"/>
      <c r="L21" s="213"/>
      <c r="M21" s="213"/>
      <c r="N21" s="213"/>
      <c r="O21" s="213">
        <v>721.45</v>
      </c>
      <c r="P21" s="213">
        <v>1116.24</v>
      </c>
      <c r="Q21" s="213">
        <v>1116.23</v>
      </c>
      <c r="R21" s="213">
        <v>1273.0999999999999</v>
      </c>
      <c r="S21" s="213">
        <v>3874.34</v>
      </c>
      <c r="T21" s="213">
        <v>2740.42</v>
      </c>
      <c r="U21" s="213">
        <v>1245.52</v>
      </c>
      <c r="V21" s="213"/>
      <c r="W21" s="213"/>
      <c r="X21" s="212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5"/>
      <c r="AJ21" s="215"/>
      <c r="AK21" s="215"/>
      <c r="AL21" s="215"/>
      <c r="AM21" s="215"/>
    </row>
    <row r="22" spans="1:39" s="119" customFormat="1" ht="18" customHeight="1" thickBot="1" x14ac:dyDescent="0.35">
      <c r="A22" s="136" t="s">
        <v>16</v>
      </c>
      <c r="B22" s="130" t="s">
        <v>194</v>
      </c>
      <c r="C22" s="288">
        <v>30186</v>
      </c>
      <c r="D22" s="136"/>
      <c r="E22" s="270">
        <f t="shared" ref="E22:E24" si="3">C22</f>
        <v>30186</v>
      </c>
      <c r="F22" s="220">
        <f t="shared" si="1"/>
        <v>22382.410000000003</v>
      </c>
      <c r="G22" s="220">
        <f t="shared" si="2"/>
        <v>7803.5899999999965</v>
      </c>
      <c r="H22" s="212"/>
      <c r="I22" s="213"/>
      <c r="J22" s="213"/>
      <c r="K22" s="213"/>
      <c r="L22" s="213">
        <v>5826</v>
      </c>
      <c r="M22" s="213">
        <v>2413</v>
      </c>
      <c r="N22" s="213"/>
      <c r="O22" s="213">
        <v>4826.01</v>
      </c>
      <c r="P22" s="213"/>
      <c r="Q22" s="213">
        <v>2413</v>
      </c>
      <c r="R22" s="213">
        <v>2413</v>
      </c>
      <c r="S22" s="213">
        <v>2413</v>
      </c>
      <c r="T22" s="213"/>
      <c r="U22" s="213"/>
      <c r="V22" s="213">
        <v>2078.4</v>
      </c>
      <c r="W22" s="213"/>
      <c r="X22" s="212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5"/>
      <c r="AJ22" s="215"/>
      <c r="AK22" s="215"/>
      <c r="AL22" s="215"/>
      <c r="AM22" s="215"/>
    </row>
    <row r="23" spans="1:39" s="119" customFormat="1" ht="18" customHeight="1" thickBot="1" x14ac:dyDescent="0.35">
      <c r="A23" s="136" t="s">
        <v>17</v>
      </c>
      <c r="B23" s="130" t="s">
        <v>195</v>
      </c>
      <c r="C23" s="288">
        <v>528175</v>
      </c>
      <c r="D23" s="136"/>
      <c r="E23" s="270">
        <f t="shared" si="3"/>
        <v>528175</v>
      </c>
      <c r="F23" s="220">
        <f t="shared" si="1"/>
        <v>175735.21000000002</v>
      </c>
      <c r="G23" s="220">
        <f t="shared" si="2"/>
        <v>352439.79</v>
      </c>
      <c r="H23" s="212"/>
      <c r="I23" s="213"/>
      <c r="J23" s="213"/>
      <c r="K23" s="213"/>
      <c r="L23" s="213"/>
      <c r="M23" s="215"/>
      <c r="N23" s="213"/>
      <c r="O23" s="213"/>
      <c r="P23" s="213"/>
      <c r="Q23" s="213"/>
      <c r="R23" s="213"/>
      <c r="S23" s="213"/>
      <c r="T23" s="213">
        <v>104699.07</v>
      </c>
      <c r="U23" s="213"/>
      <c r="V23" s="213">
        <v>71036.14</v>
      </c>
      <c r="W23" s="213"/>
      <c r="X23" s="212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5"/>
      <c r="AJ23" s="215"/>
      <c r="AK23" s="215"/>
      <c r="AL23" s="215"/>
      <c r="AM23" s="215"/>
    </row>
    <row r="24" spans="1:39" s="119" customFormat="1" ht="18" customHeight="1" thickBot="1" x14ac:dyDescent="0.35">
      <c r="A24" s="136" t="s">
        <v>18</v>
      </c>
      <c r="B24" s="130" t="s">
        <v>196</v>
      </c>
      <c r="C24" s="288">
        <v>49277</v>
      </c>
      <c r="D24" s="136"/>
      <c r="E24" s="270">
        <f t="shared" si="3"/>
        <v>49277</v>
      </c>
      <c r="F24" s="220">
        <f t="shared" si="1"/>
        <v>47113.229999999996</v>
      </c>
      <c r="G24" s="220">
        <f t="shared" si="2"/>
        <v>2163.7700000000041</v>
      </c>
      <c r="H24" s="212"/>
      <c r="I24" s="213"/>
      <c r="J24" s="213"/>
      <c r="K24" s="213"/>
      <c r="L24" s="213">
        <v>4200.7700000000004</v>
      </c>
      <c r="M24" s="213">
        <f>4200.77+2990.73</f>
        <v>7191.5</v>
      </c>
      <c r="N24" s="213">
        <v>3140.73</v>
      </c>
      <c r="O24" s="213">
        <v>3140.73</v>
      </c>
      <c r="P24" s="213">
        <v>6289.96</v>
      </c>
      <c r="Q24" s="213">
        <v>2840.73</v>
      </c>
      <c r="R24" s="213">
        <v>4240.7299999999996</v>
      </c>
      <c r="S24" s="213">
        <v>3323.39</v>
      </c>
      <c r="T24" s="213">
        <v>12631.91</v>
      </c>
      <c r="U24" s="213"/>
      <c r="V24" s="213">
        <v>112.78</v>
      </c>
      <c r="W24" s="213"/>
      <c r="X24" s="212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5"/>
      <c r="AJ24" s="215"/>
      <c r="AK24" s="215"/>
      <c r="AL24" s="215"/>
      <c r="AM24" s="215"/>
    </row>
    <row r="25" spans="1:39" s="119" customFormat="1" ht="18" customHeight="1" thickBot="1" x14ac:dyDescent="0.35">
      <c r="A25" s="136" t="s">
        <v>19</v>
      </c>
      <c r="B25" s="130" t="s">
        <v>197</v>
      </c>
      <c r="C25" s="288">
        <v>4324</v>
      </c>
      <c r="D25" s="280">
        <v>9025</v>
      </c>
      <c r="E25" s="270">
        <v>0</v>
      </c>
      <c r="F25" s="220">
        <f t="shared" si="1"/>
        <v>0</v>
      </c>
      <c r="G25" s="220">
        <f t="shared" si="2"/>
        <v>0</v>
      </c>
      <c r="H25" s="212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2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5"/>
      <c r="AJ25" s="215"/>
      <c r="AK25" s="215"/>
      <c r="AL25" s="215"/>
      <c r="AM25" s="215"/>
    </row>
    <row r="26" spans="1:39" s="119" customFormat="1" ht="18" customHeight="1" thickBot="1" x14ac:dyDescent="0.35">
      <c r="A26" s="136" t="s">
        <v>20</v>
      </c>
      <c r="B26" s="130" t="s">
        <v>198</v>
      </c>
      <c r="C26" s="288">
        <v>1203446</v>
      </c>
      <c r="D26" s="136"/>
      <c r="E26" s="270">
        <f>C26</f>
        <v>1203446</v>
      </c>
      <c r="F26" s="220">
        <f t="shared" si="1"/>
        <v>1020898.03</v>
      </c>
      <c r="G26" s="220">
        <f t="shared" si="2"/>
        <v>182547.96999999997</v>
      </c>
      <c r="H26" s="212"/>
      <c r="I26" s="213"/>
      <c r="J26" s="213"/>
      <c r="K26" s="213"/>
      <c r="L26" s="213"/>
      <c r="M26" s="213"/>
      <c r="N26" s="213">
        <f>311944.93+103039.09</f>
        <v>414984.02</v>
      </c>
      <c r="O26" s="213">
        <v>105024.55</v>
      </c>
      <c r="P26" s="213"/>
      <c r="Q26" s="213">
        <v>62026.69</v>
      </c>
      <c r="R26" s="213"/>
      <c r="S26" s="213">
        <v>214259.58</v>
      </c>
      <c r="T26" s="213"/>
      <c r="U26" s="213"/>
      <c r="V26" s="213">
        <v>224603.19</v>
      </c>
      <c r="W26" s="213"/>
      <c r="X26" s="212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5"/>
      <c r="AJ26" s="215"/>
      <c r="AK26" s="215"/>
      <c r="AL26" s="215"/>
      <c r="AM26" s="215"/>
    </row>
    <row r="27" spans="1:39" s="119" customFormat="1" ht="18" customHeight="1" thickBot="1" x14ac:dyDescent="0.35">
      <c r="A27" s="258" t="s">
        <v>21</v>
      </c>
      <c r="B27" s="130" t="s">
        <v>199</v>
      </c>
      <c r="C27" s="288">
        <v>20396</v>
      </c>
      <c r="D27" s="280"/>
      <c r="E27" s="270">
        <f>C27</f>
        <v>20396</v>
      </c>
      <c r="F27" s="220">
        <f t="shared" si="1"/>
        <v>20396</v>
      </c>
      <c r="G27" s="220">
        <f t="shared" si="2"/>
        <v>0</v>
      </c>
      <c r="H27" s="212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>
        <v>20396</v>
      </c>
      <c r="T27" s="213"/>
      <c r="U27" s="213"/>
      <c r="V27" s="213"/>
      <c r="W27" s="213"/>
      <c r="X27" s="212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5"/>
      <c r="AJ27" s="215"/>
      <c r="AK27" s="215"/>
      <c r="AL27" s="215"/>
      <c r="AM27" s="215"/>
    </row>
    <row r="28" spans="1:39" s="119" customFormat="1" ht="18" customHeight="1" thickBot="1" x14ac:dyDescent="0.35">
      <c r="A28" s="136" t="s">
        <v>22</v>
      </c>
      <c r="B28" s="130" t="s">
        <v>200</v>
      </c>
      <c r="C28" s="288">
        <v>5711</v>
      </c>
      <c r="D28" s="136" t="s">
        <v>156</v>
      </c>
      <c r="E28" s="270">
        <v>0</v>
      </c>
      <c r="F28" s="220">
        <f t="shared" si="1"/>
        <v>0</v>
      </c>
      <c r="G28" s="220">
        <f t="shared" si="2"/>
        <v>0</v>
      </c>
      <c r="H28" s="212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2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5"/>
      <c r="AJ28" s="215"/>
      <c r="AK28" s="215"/>
      <c r="AL28" s="215"/>
      <c r="AM28" s="215"/>
    </row>
    <row r="29" spans="1:39" s="119" customFormat="1" ht="18" customHeight="1" thickBot="1" x14ac:dyDescent="0.35">
      <c r="A29" s="136" t="s">
        <v>23</v>
      </c>
      <c r="B29" s="130" t="s">
        <v>201</v>
      </c>
      <c r="C29" s="288">
        <v>82</v>
      </c>
      <c r="D29" s="271" t="s">
        <v>606</v>
      </c>
      <c r="E29" s="270">
        <v>0</v>
      </c>
      <c r="F29" s="220">
        <f t="shared" si="1"/>
        <v>0</v>
      </c>
      <c r="G29" s="220">
        <f t="shared" si="2"/>
        <v>0</v>
      </c>
      <c r="H29" s="212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2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5"/>
      <c r="AJ29" s="215"/>
      <c r="AK29" s="215"/>
      <c r="AL29" s="215"/>
      <c r="AM29" s="215"/>
    </row>
    <row r="30" spans="1:39" s="119" customFormat="1" ht="18" customHeight="1" thickBot="1" x14ac:dyDescent="0.35">
      <c r="A30" s="136" t="s">
        <v>24</v>
      </c>
      <c r="B30" s="130" t="s">
        <v>202</v>
      </c>
      <c r="C30" s="288">
        <v>0</v>
      </c>
      <c r="D30" s="271"/>
      <c r="E30" s="270">
        <v>0</v>
      </c>
      <c r="F30" s="220">
        <f t="shared" si="1"/>
        <v>0</v>
      </c>
      <c r="G30" s="220">
        <f t="shared" si="2"/>
        <v>0</v>
      </c>
      <c r="H30" s="212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2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5"/>
      <c r="AJ30" s="215"/>
      <c r="AK30" s="215"/>
      <c r="AL30" s="215"/>
      <c r="AM30" s="215"/>
    </row>
    <row r="31" spans="1:39" s="119" customFormat="1" ht="18" customHeight="1" thickBot="1" x14ac:dyDescent="0.35">
      <c r="A31" s="136" t="s">
        <v>25</v>
      </c>
      <c r="B31" s="130" t="s">
        <v>203</v>
      </c>
      <c r="C31" s="288">
        <v>0</v>
      </c>
      <c r="D31" s="271"/>
      <c r="E31" s="270">
        <v>0</v>
      </c>
      <c r="F31" s="220">
        <f t="shared" si="1"/>
        <v>0</v>
      </c>
      <c r="G31" s="220">
        <f t="shared" si="2"/>
        <v>0</v>
      </c>
      <c r="H31" s="212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2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5"/>
      <c r="AJ31" s="215"/>
      <c r="AK31" s="215"/>
      <c r="AL31" s="215"/>
      <c r="AM31" s="215"/>
    </row>
    <row r="32" spans="1:39" s="119" customFormat="1" ht="18" customHeight="1" thickBot="1" x14ac:dyDescent="0.35">
      <c r="A32" s="136" t="s">
        <v>26</v>
      </c>
      <c r="B32" s="130" t="s">
        <v>204</v>
      </c>
      <c r="C32" s="288">
        <v>245</v>
      </c>
      <c r="D32" s="271" t="s">
        <v>606</v>
      </c>
      <c r="E32" s="270">
        <v>0</v>
      </c>
      <c r="F32" s="220">
        <f t="shared" si="1"/>
        <v>0</v>
      </c>
      <c r="G32" s="220">
        <f t="shared" si="2"/>
        <v>0</v>
      </c>
      <c r="H32" s="212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2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5"/>
      <c r="AJ32" s="215"/>
      <c r="AK32" s="215"/>
      <c r="AL32" s="215"/>
      <c r="AM32" s="215"/>
    </row>
    <row r="33" spans="1:39" s="119" customFormat="1" ht="18" customHeight="1" thickBot="1" x14ac:dyDescent="0.35">
      <c r="A33" s="136" t="s">
        <v>27</v>
      </c>
      <c r="B33" s="130" t="s">
        <v>205</v>
      </c>
      <c r="C33" s="288">
        <v>0</v>
      </c>
      <c r="D33" s="136"/>
      <c r="E33" s="270">
        <v>0</v>
      </c>
      <c r="F33" s="220">
        <f t="shared" si="1"/>
        <v>0</v>
      </c>
      <c r="G33" s="220">
        <f t="shared" si="2"/>
        <v>0</v>
      </c>
      <c r="H33" s="212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2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5"/>
      <c r="AJ33" s="215"/>
      <c r="AK33" s="215"/>
      <c r="AL33" s="215"/>
      <c r="AM33" s="215"/>
    </row>
    <row r="34" spans="1:39" s="119" customFormat="1" ht="18" customHeight="1" thickBot="1" x14ac:dyDescent="0.35">
      <c r="A34" s="136" t="s">
        <v>28</v>
      </c>
      <c r="B34" s="130" t="s">
        <v>206</v>
      </c>
      <c r="C34" s="288">
        <v>816</v>
      </c>
      <c r="D34" s="280" t="s">
        <v>401</v>
      </c>
      <c r="E34" s="270">
        <v>0</v>
      </c>
      <c r="F34" s="220">
        <f t="shared" si="1"/>
        <v>0</v>
      </c>
      <c r="G34" s="220">
        <f t="shared" si="2"/>
        <v>0</v>
      </c>
      <c r="H34" s="212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2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5"/>
      <c r="AJ34" s="215"/>
      <c r="AK34" s="215"/>
      <c r="AL34" s="215"/>
      <c r="AM34" s="215"/>
    </row>
    <row r="35" spans="1:39" s="119" customFormat="1" ht="18" customHeight="1" thickBot="1" x14ac:dyDescent="0.35">
      <c r="A35" s="136" t="s">
        <v>29</v>
      </c>
      <c r="B35" s="130" t="s">
        <v>207</v>
      </c>
      <c r="C35" s="288">
        <v>1224</v>
      </c>
      <c r="D35" s="280" t="s">
        <v>401</v>
      </c>
      <c r="E35" s="270">
        <v>0</v>
      </c>
      <c r="F35" s="220">
        <f t="shared" si="1"/>
        <v>0</v>
      </c>
      <c r="G35" s="220">
        <f t="shared" si="2"/>
        <v>0</v>
      </c>
      <c r="H35" s="212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2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5"/>
      <c r="AJ35" s="215"/>
      <c r="AK35" s="215"/>
      <c r="AL35" s="215"/>
      <c r="AM35" s="215"/>
    </row>
    <row r="36" spans="1:39" s="119" customFormat="1" ht="18" customHeight="1" thickBot="1" x14ac:dyDescent="0.35">
      <c r="A36" s="136" t="s">
        <v>30</v>
      </c>
      <c r="B36" s="130" t="s">
        <v>208</v>
      </c>
      <c r="C36" s="288">
        <v>303982</v>
      </c>
      <c r="D36" s="136"/>
      <c r="E36" s="270">
        <f>C36</f>
        <v>303982</v>
      </c>
      <c r="F36" s="220">
        <f t="shared" si="1"/>
        <v>219961.46</v>
      </c>
      <c r="G36" s="220">
        <f t="shared" si="2"/>
        <v>84020.540000000008</v>
      </c>
      <c r="H36" s="212"/>
      <c r="I36" s="213"/>
      <c r="J36" s="213"/>
      <c r="K36" s="213"/>
      <c r="L36" s="213"/>
      <c r="M36" s="213">
        <v>75549.929999999993</v>
      </c>
      <c r="N36" s="213"/>
      <c r="O36" s="213"/>
      <c r="P36" s="213"/>
      <c r="Q36" s="213">
        <v>94117.74</v>
      </c>
      <c r="R36" s="213"/>
      <c r="S36" s="213">
        <v>50293.79</v>
      </c>
      <c r="T36" s="213"/>
      <c r="U36" s="213"/>
      <c r="V36" s="213"/>
      <c r="W36" s="213"/>
      <c r="X36" s="212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5"/>
      <c r="AJ36" s="215"/>
      <c r="AK36" s="215"/>
      <c r="AL36" s="215"/>
      <c r="AM36" s="215"/>
    </row>
    <row r="37" spans="1:39" s="119" customFormat="1" ht="18" customHeight="1" thickBot="1" x14ac:dyDescent="0.35">
      <c r="A37" s="136" t="s">
        <v>31</v>
      </c>
      <c r="B37" s="130" t="s">
        <v>209</v>
      </c>
      <c r="C37" s="288">
        <v>189193</v>
      </c>
      <c r="D37" s="136"/>
      <c r="E37" s="270">
        <f>C37</f>
        <v>189193</v>
      </c>
      <c r="F37" s="220">
        <f t="shared" si="1"/>
        <v>134022.32</v>
      </c>
      <c r="G37" s="220">
        <f t="shared" si="2"/>
        <v>55170.679999999993</v>
      </c>
      <c r="H37" s="212"/>
      <c r="I37" s="213"/>
      <c r="J37" s="213"/>
      <c r="K37" s="213">
        <v>6661</v>
      </c>
      <c r="L37" s="213">
        <v>14467.73</v>
      </c>
      <c r="M37" s="213">
        <v>15364.25</v>
      </c>
      <c r="N37" s="213">
        <v>11810.97</v>
      </c>
      <c r="O37" s="213">
        <v>18215</v>
      </c>
      <c r="P37" s="213"/>
      <c r="Q37" s="213">
        <f>18221.15+17184.22</f>
        <v>35405.370000000003</v>
      </c>
      <c r="R37" s="213"/>
      <c r="S37" s="213">
        <f>17052+15046</f>
        <v>32098</v>
      </c>
      <c r="T37" s="213"/>
      <c r="U37" s="213"/>
      <c r="V37" s="213"/>
      <c r="W37" s="213"/>
      <c r="X37" s="212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5"/>
      <c r="AJ37" s="215"/>
      <c r="AK37" s="215"/>
      <c r="AL37" s="215"/>
      <c r="AM37" s="215"/>
    </row>
    <row r="38" spans="1:39" s="119" customFormat="1" ht="18" customHeight="1" thickBot="1" x14ac:dyDescent="0.35">
      <c r="A38" s="136" t="s">
        <v>32</v>
      </c>
      <c r="B38" s="130" t="s">
        <v>210</v>
      </c>
      <c r="C38" s="288">
        <v>1795</v>
      </c>
      <c r="D38" s="271" t="s">
        <v>606</v>
      </c>
      <c r="E38" s="270">
        <v>0</v>
      </c>
      <c r="F38" s="220">
        <f t="shared" si="1"/>
        <v>0</v>
      </c>
      <c r="G38" s="220">
        <f t="shared" si="2"/>
        <v>0</v>
      </c>
      <c r="H38" s="212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2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5"/>
      <c r="AJ38" s="215"/>
      <c r="AK38" s="215"/>
      <c r="AL38" s="215"/>
      <c r="AM38" s="215"/>
    </row>
    <row r="39" spans="1:39" s="119" customFormat="1" ht="18" customHeight="1" thickBot="1" x14ac:dyDescent="0.35">
      <c r="A39" s="136" t="s">
        <v>33</v>
      </c>
      <c r="B39" s="130" t="s">
        <v>211</v>
      </c>
      <c r="C39" s="288">
        <v>2284</v>
      </c>
      <c r="D39" s="280">
        <v>9055</v>
      </c>
      <c r="E39" s="270">
        <v>0</v>
      </c>
      <c r="F39" s="220">
        <f t="shared" si="1"/>
        <v>0</v>
      </c>
      <c r="G39" s="220">
        <f t="shared" si="2"/>
        <v>0</v>
      </c>
      <c r="H39" s="212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2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5"/>
      <c r="AJ39" s="215"/>
      <c r="AK39" s="215"/>
      <c r="AL39" s="215"/>
      <c r="AM39" s="215"/>
    </row>
    <row r="40" spans="1:39" s="119" customFormat="1" ht="18" customHeight="1" thickBot="1" x14ac:dyDescent="0.35">
      <c r="A40" s="136" t="s">
        <v>34</v>
      </c>
      <c r="B40" s="130" t="s">
        <v>212</v>
      </c>
      <c r="C40" s="288">
        <v>408</v>
      </c>
      <c r="D40" s="280" t="s">
        <v>370</v>
      </c>
      <c r="E40" s="270">
        <v>0</v>
      </c>
      <c r="F40" s="220">
        <f t="shared" si="1"/>
        <v>0</v>
      </c>
      <c r="G40" s="220">
        <f t="shared" si="2"/>
        <v>0</v>
      </c>
      <c r="H40" s="212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2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5"/>
      <c r="AJ40" s="215"/>
      <c r="AK40" s="215"/>
      <c r="AL40" s="215"/>
      <c r="AM40" s="215"/>
    </row>
    <row r="41" spans="1:39" s="119" customFormat="1" ht="18" customHeight="1" thickBot="1" x14ac:dyDescent="0.35">
      <c r="A41" s="136" t="s">
        <v>35</v>
      </c>
      <c r="B41" s="130" t="s">
        <v>213</v>
      </c>
      <c r="C41" s="288">
        <v>163</v>
      </c>
      <c r="D41" s="280" t="s">
        <v>370</v>
      </c>
      <c r="E41" s="270">
        <v>0</v>
      </c>
      <c r="F41" s="220">
        <f t="shared" si="1"/>
        <v>0</v>
      </c>
      <c r="G41" s="220">
        <f t="shared" si="2"/>
        <v>0</v>
      </c>
      <c r="H41" s="212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2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5"/>
      <c r="AJ41" s="215"/>
      <c r="AK41" s="215"/>
      <c r="AL41" s="215"/>
      <c r="AM41" s="215"/>
    </row>
    <row r="42" spans="1:39" s="119" customFormat="1" ht="18" customHeight="1" thickBot="1" x14ac:dyDescent="0.35">
      <c r="A42" s="136" t="s">
        <v>36</v>
      </c>
      <c r="B42" s="130" t="s">
        <v>214</v>
      </c>
      <c r="C42" s="288">
        <v>408</v>
      </c>
      <c r="D42" s="271" t="s">
        <v>606</v>
      </c>
      <c r="E42" s="270">
        <v>0</v>
      </c>
      <c r="F42" s="220">
        <f t="shared" si="1"/>
        <v>0</v>
      </c>
      <c r="G42" s="220">
        <f t="shared" si="2"/>
        <v>0</v>
      </c>
      <c r="H42" s="212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2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5"/>
      <c r="AJ42" s="215"/>
      <c r="AK42" s="215"/>
      <c r="AL42" s="215"/>
      <c r="AM42" s="215"/>
    </row>
    <row r="43" spans="1:39" s="119" customFormat="1" ht="18" customHeight="1" thickBot="1" x14ac:dyDescent="0.35">
      <c r="A43" s="136" t="s">
        <v>37</v>
      </c>
      <c r="B43" s="130" t="s">
        <v>215</v>
      </c>
      <c r="C43" s="288">
        <v>82</v>
      </c>
      <c r="D43" s="280" t="s">
        <v>400</v>
      </c>
      <c r="E43" s="270">
        <v>0</v>
      </c>
      <c r="F43" s="220">
        <f t="shared" si="1"/>
        <v>0</v>
      </c>
      <c r="G43" s="220">
        <f t="shared" si="2"/>
        <v>0</v>
      </c>
      <c r="H43" s="212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2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5"/>
      <c r="AJ43" s="215"/>
      <c r="AK43" s="215"/>
      <c r="AL43" s="215"/>
      <c r="AM43" s="215"/>
    </row>
    <row r="44" spans="1:39" s="119" customFormat="1" ht="18" customHeight="1" thickBot="1" x14ac:dyDescent="0.35">
      <c r="A44" s="136" t="s">
        <v>38</v>
      </c>
      <c r="B44" s="130" t="s">
        <v>216</v>
      </c>
      <c r="C44" s="288">
        <v>245</v>
      </c>
      <c r="D44" s="280" t="s">
        <v>400</v>
      </c>
      <c r="E44" s="270">
        <v>0</v>
      </c>
      <c r="F44" s="220">
        <f t="shared" si="1"/>
        <v>0</v>
      </c>
      <c r="G44" s="220">
        <f t="shared" si="2"/>
        <v>0</v>
      </c>
      <c r="H44" s="212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2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5"/>
      <c r="AJ44" s="215"/>
      <c r="AK44" s="215"/>
      <c r="AL44" s="215"/>
      <c r="AM44" s="215"/>
    </row>
    <row r="45" spans="1:39" s="119" customFormat="1" ht="18" customHeight="1" thickBot="1" x14ac:dyDescent="0.35">
      <c r="A45" s="136" t="s">
        <v>39</v>
      </c>
      <c r="B45" s="130" t="s">
        <v>217</v>
      </c>
      <c r="C45" s="288">
        <v>979</v>
      </c>
      <c r="D45" s="280" t="s">
        <v>400</v>
      </c>
      <c r="E45" s="270">
        <v>0</v>
      </c>
      <c r="F45" s="220">
        <f t="shared" si="1"/>
        <v>0</v>
      </c>
      <c r="G45" s="220">
        <f t="shared" si="2"/>
        <v>0</v>
      </c>
      <c r="H45" s="212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2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5"/>
      <c r="AJ45" s="215"/>
      <c r="AK45" s="215"/>
      <c r="AL45" s="215"/>
      <c r="AM45" s="215"/>
    </row>
    <row r="46" spans="1:39" s="119" customFormat="1" ht="18" customHeight="1" thickBot="1" x14ac:dyDescent="0.35">
      <c r="A46" s="136" t="s">
        <v>40</v>
      </c>
      <c r="B46" s="130" t="s">
        <v>218</v>
      </c>
      <c r="C46" s="288">
        <v>0</v>
      </c>
      <c r="D46" s="136"/>
      <c r="E46" s="270">
        <v>0</v>
      </c>
      <c r="F46" s="220">
        <f t="shared" si="1"/>
        <v>0</v>
      </c>
      <c r="G46" s="220">
        <f t="shared" si="2"/>
        <v>0</v>
      </c>
      <c r="H46" s="212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2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5"/>
      <c r="AJ46" s="215"/>
      <c r="AK46" s="215"/>
      <c r="AL46" s="215"/>
      <c r="AM46" s="215"/>
    </row>
    <row r="47" spans="1:39" s="119" customFormat="1" ht="18" customHeight="1" thickBot="1" x14ac:dyDescent="0.35">
      <c r="A47" s="136" t="s">
        <v>41</v>
      </c>
      <c r="B47" s="130" t="s">
        <v>219</v>
      </c>
      <c r="C47" s="288">
        <v>1632</v>
      </c>
      <c r="D47" s="280" t="s">
        <v>400</v>
      </c>
      <c r="E47" s="270">
        <v>0</v>
      </c>
      <c r="F47" s="220">
        <f t="shared" si="1"/>
        <v>0</v>
      </c>
      <c r="G47" s="220">
        <f t="shared" si="2"/>
        <v>0</v>
      </c>
      <c r="H47" s="212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2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5"/>
      <c r="AJ47" s="215"/>
      <c r="AK47" s="215"/>
      <c r="AL47" s="215"/>
      <c r="AM47" s="215"/>
    </row>
    <row r="48" spans="1:39" s="119" customFormat="1" ht="18" customHeight="1" thickBot="1" x14ac:dyDescent="0.35">
      <c r="A48" s="136" t="s">
        <v>42</v>
      </c>
      <c r="B48" s="130" t="s">
        <v>220</v>
      </c>
      <c r="C48" s="288">
        <v>82</v>
      </c>
      <c r="D48" s="301" t="s">
        <v>401</v>
      </c>
      <c r="E48" s="270">
        <v>0</v>
      </c>
      <c r="F48" s="220">
        <f t="shared" si="1"/>
        <v>0</v>
      </c>
      <c r="G48" s="220">
        <f t="shared" si="2"/>
        <v>0</v>
      </c>
      <c r="H48" s="212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2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5"/>
      <c r="AJ48" s="215"/>
      <c r="AK48" s="215"/>
      <c r="AL48" s="215"/>
      <c r="AM48" s="215"/>
    </row>
    <row r="49" spans="1:39" s="119" customFormat="1" ht="18" customHeight="1" thickBot="1" x14ac:dyDescent="0.35">
      <c r="A49" s="136" t="s">
        <v>43</v>
      </c>
      <c r="B49" s="130" t="s">
        <v>443</v>
      </c>
      <c r="C49" s="288">
        <v>0</v>
      </c>
      <c r="D49" s="136"/>
      <c r="E49" s="270">
        <v>0</v>
      </c>
      <c r="F49" s="220">
        <f t="shared" si="1"/>
        <v>0</v>
      </c>
      <c r="G49" s="220">
        <f t="shared" si="2"/>
        <v>0</v>
      </c>
      <c r="H49" s="212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2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5"/>
      <c r="AJ49" s="215"/>
      <c r="AK49" s="215"/>
      <c r="AL49" s="215"/>
      <c r="AM49" s="215"/>
    </row>
    <row r="50" spans="1:39" s="119" customFormat="1" ht="18" customHeight="1" thickBot="1" x14ac:dyDescent="0.35">
      <c r="A50" s="136" t="s">
        <v>44</v>
      </c>
      <c r="B50" s="130" t="s">
        <v>222</v>
      </c>
      <c r="C50" s="288">
        <v>21049</v>
      </c>
      <c r="D50" s="136"/>
      <c r="E50" s="270">
        <f>C50</f>
        <v>21049</v>
      </c>
      <c r="F50" s="220">
        <f t="shared" si="1"/>
        <v>17507.419999999998</v>
      </c>
      <c r="G50" s="220">
        <f t="shared" si="2"/>
        <v>3541.5800000000017</v>
      </c>
      <c r="H50" s="212"/>
      <c r="I50" s="213"/>
      <c r="J50" s="213"/>
      <c r="K50" s="213"/>
      <c r="L50" s="213"/>
      <c r="M50" s="213">
        <v>5019.51</v>
      </c>
      <c r="N50" s="213"/>
      <c r="O50" s="213">
        <v>3104.25</v>
      </c>
      <c r="P50" s="213">
        <v>1552.1</v>
      </c>
      <c r="Q50" s="213">
        <v>1552.12</v>
      </c>
      <c r="R50" s="213"/>
      <c r="S50" s="213">
        <v>1553.83</v>
      </c>
      <c r="T50" s="213"/>
      <c r="U50" s="213"/>
      <c r="V50" s="213">
        <v>4725.6099999999997</v>
      </c>
      <c r="W50" s="213"/>
      <c r="X50" s="212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5"/>
      <c r="AJ50" s="215"/>
      <c r="AK50" s="215"/>
      <c r="AL50" s="215"/>
      <c r="AM50" s="215"/>
    </row>
    <row r="51" spans="1:39" s="119" customFormat="1" ht="18" customHeight="1" thickBot="1" x14ac:dyDescent="0.35">
      <c r="A51" s="136" t="s">
        <v>45</v>
      </c>
      <c r="B51" s="130" t="s">
        <v>223</v>
      </c>
      <c r="C51" s="288">
        <v>2240052</v>
      </c>
      <c r="D51" s="136"/>
      <c r="E51" s="270">
        <f>C51</f>
        <v>2240052</v>
      </c>
      <c r="F51" s="220">
        <f t="shared" si="1"/>
        <v>1750870.1099999999</v>
      </c>
      <c r="G51" s="220">
        <f t="shared" si="2"/>
        <v>489181.89000000013</v>
      </c>
      <c r="H51" s="212"/>
      <c r="I51" s="213"/>
      <c r="J51" s="213"/>
      <c r="K51" s="213"/>
      <c r="L51" s="213"/>
      <c r="M51" s="213"/>
      <c r="N51" s="213"/>
      <c r="O51" s="213"/>
      <c r="P51" s="213">
        <v>218902.73</v>
      </c>
      <c r="Q51" s="213">
        <f>133234.11+394316.15</f>
        <v>527550.26</v>
      </c>
      <c r="R51" s="213"/>
      <c r="S51" s="213">
        <f>153388.5+134553.3+364117.91</f>
        <v>652059.71</v>
      </c>
      <c r="T51" s="213"/>
      <c r="U51" s="213"/>
      <c r="V51" s="213">
        <v>352357.41</v>
      </c>
      <c r="W51" s="213"/>
      <c r="X51" s="212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5"/>
      <c r="AJ51" s="215"/>
      <c r="AK51" s="215"/>
      <c r="AL51" s="215"/>
      <c r="AM51" s="215"/>
    </row>
    <row r="52" spans="1:39" s="119" customFormat="1" ht="18" customHeight="1" thickBot="1" x14ac:dyDescent="0.35">
      <c r="A52" s="136" t="s">
        <v>46</v>
      </c>
      <c r="B52" s="130" t="s">
        <v>224</v>
      </c>
      <c r="C52" s="288">
        <v>0</v>
      </c>
      <c r="D52" s="136"/>
      <c r="E52" s="270">
        <v>0</v>
      </c>
      <c r="F52" s="220">
        <f t="shared" si="1"/>
        <v>0</v>
      </c>
      <c r="G52" s="220">
        <f t="shared" si="2"/>
        <v>0</v>
      </c>
      <c r="H52" s="212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2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5"/>
      <c r="AJ52" s="215"/>
      <c r="AK52" s="215"/>
      <c r="AL52" s="215"/>
      <c r="AM52" s="215"/>
    </row>
    <row r="53" spans="1:39" s="119" customFormat="1" ht="18" customHeight="1" thickBot="1" x14ac:dyDescent="0.35">
      <c r="A53" s="136" t="s">
        <v>47</v>
      </c>
      <c r="B53" s="130" t="s">
        <v>225</v>
      </c>
      <c r="C53" s="288">
        <v>246139</v>
      </c>
      <c r="D53" s="136"/>
      <c r="E53" s="270">
        <f>C53+C55</f>
        <v>248260</v>
      </c>
      <c r="F53" s="220">
        <f t="shared" si="1"/>
        <v>149061.97999999998</v>
      </c>
      <c r="G53" s="220">
        <f t="shared" si="2"/>
        <v>99198.020000000019</v>
      </c>
      <c r="H53" s="212"/>
      <c r="I53" s="213"/>
      <c r="J53" s="213"/>
      <c r="K53" s="213"/>
      <c r="L53" s="213"/>
      <c r="M53" s="213"/>
      <c r="N53" s="213">
        <v>19890.98</v>
      </c>
      <c r="O53" s="213"/>
      <c r="P53" s="213">
        <v>47595.28</v>
      </c>
      <c r="Q53" s="213">
        <v>17439.63</v>
      </c>
      <c r="R53" s="213"/>
      <c r="S53" s="213">
        <v>32867.199999999997</v>
      </c>
      <c r="T53" s="213">
        <v>31268.89</v>
      </c>
      <c r="U53" s="213"/>
      <c r="V53" s="213"/>
      <c r="W53" s="213"/>
      <c r="X53" s="212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5"/>
      <c r="AJ53" s="215"/>
      <c r="AK53" s="215"/>
      <c r="AL53" s="215"/>
      <c r="AM53" s="215"/>
    </row>
    <row r="54" spans="1:39" s="119" customFormat="1" ht="18" customHeight="1" thickBot="1" x14ac:dyDescent="0.35">
      <c r="A54" s="136" t="s">
        <v>48</v>
      </c>
      <c r="B54" s="130" t="s">
        <v>226</v>
      </c>
      <c r="C54" s="288">
        <v>163984</v>
      </c>
      <c r="D54" s="136"/>
      <c r="E54" s="270">
        <f>C54</f>
        <v>163984</v>
      </c>
      <c r="F54" s="220">
        <f t="shared" si="1"/>
        <v>123580.42</v>
      </c>
      <c r="G54" s="220">
        <f t="shared" si="2"/>
        <v>40403.58</v>
      </c>
      <c r="H54" s="212"/>
      <c r="I54" s="213"/>
      <c r="J54" s="213"/>
      <c r="K54" s="213"/>
      <c r="L54" s="213"/>
      <c r="M54" s="213"/>
      <c r="N54" s="213"/>
      <c r="O54" s="213">
        <v>57989.9</v>
      </c>
      <c r="P54" s="213"/>
      <c r="Q54" s="213">
        <v>25151.66</v>
      </c>
      <c r="R54" s="213"/>
      <c r="S54" s="213">
        <v>20682.169999999998</v>
      </c>
      <c r="T54" s="213">
        <v>19756.689999999999</v>
      </c>
      <c r="U54" s="213"/>
      <c r="V54" s="213"/>
      <c r="W54" s="213"/>
      <c r="X54" s="212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5"/>
      <c r="AJ54" s="215"/>
      <c r="AK54" s="215"/>
      <c r="AL54" s="215"/>
      <c r="AM54" s="215"/>
    </row>
    <row r="55" spans="1:39" s="119" customFormat="1" ht="18" customHeight="1" thickBot="1" x14ac:dyDescent="0.35">
      <c r="A55" s="136" t="s">
        <v>49</v>
      </c>
      <c r="B55" s="130" t="s">
        <v>227</v>
      </c>
      <c r="C55" s="288">
        <v>2121</v>
      </c>
      <c r="D55" s="280" t="s">
        <v>47</v>
      </c>
      <c r="E55" s="270">
        <v>0</v>
      </c>
      <c r="F55" s="220">
        <f t="shared" si="1"/>
        <v>0</v>
      </c>
      <c r="G55" s="220">
        <f t="shared" si="2"/>
        <v>0</v>
      </c>
      <c r="H55" s="212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2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5"/>
      <c r="AJ55" s="215"/>
      <c r="AK55" s="215"/>
      <c r="AL55" s="215"/>
      <c r="AM55" s="215"/>
    </row>
    <row r="56" spans="1:39" s="119" customFormat="1" ht="18" customHeight="1" thickBot="1" x14ac:dyDescent="0.35">
      <c r="A56" s="136" t="s">
        <v>50</v>
      </c>
      <c r="B56" s="130" t="s">
        <v>228</v>
      </c>
      <c r="C56" s="288">
        <v>408</v>
      </c>
      <c r="D56" s="280" t="s">
        <v>370</v>
      </c>
      <c r="E56" s="270">
        <v>0</v>
      </c>
      <c r="F56" s="220">
        <f t="shared" si="1"/>
        <v>0</v>
      </c>
      <c r="G56" s="220">
        <f t="shared" si="2"/>
        <v>0</v>
      </c>
      <c r="H56" s="212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2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5"/>
      <c r="AJ56" s="215"/>
      <c r="AK56" s="215"/>
      <c r="AL56" s="215"/>
      <c r="AM56" s="215"/>
    </row>
    <row r="57" spans="1:39" s="119" customFormat="1" ht="18" customHeight="1" thickBot="1" x14ac:dyDescent="0.35">
      <c r="A57" s="136" t="s">
        <v>51</v>
      </c>
      <c r="B57" s="130" t="s">
        <v>229</v>
      </c>
      <c r="C57" s="288">
        <v>734</v>
      </c>
      <c r="D57" s="136" t="s">
        <v>370</v>
      </c>
      <c r="E57" s="270">
        <v>0</v>
      </c>
      <c r="F57" s="220">
        <f t="shared" si="1"/>
        <v>0</v>
      </c>
      <c r="G57" s="220">
        <f t="shared" si="2"/>
        <v>0</v>
      </c>
      <c r="H57" s="212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2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5"/>
      <c r="AJ57" s="215"/>
      <c r="AK57" s="215"/>
      <c r="AL57" s="215"/>
      <c r="AM57" s="215"/>
    </row>
    <row r="58" spans="1:39" s="119" customFormat="1" ht="18" customHeight="1" thickBot="1" x14ac:dyDescent="0.35">
      <c r="A58" s="136" t="s">
        <v>52</v>
      </c>
      <c r="B58" s="130" t="s">
        <v>230</v>
      </c>
      <c r="C58" s="288">
        <v>82</v>
      </c>
      <c r="D58" s="271" t="s">
        <v>606</v>
      </c>
      <c r="E58" s="270">
        <v>0</v>
      </c>
      <c r="F58" s="220">
        <f t="shared" si="1"/>
        <v>0</v>
      </c>
      <c r="G58" s="220">
        <f t="shared" si="2"/>
        <v>0</v>
      </c>
      <c r="H58" s="212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2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5"/>
      <c r="AJ58" s="215"/>
      <c r="AK58" s="215"/>
      <c r="AL58" s="215"/>
      <c r="AM58" s="215"/>
    </row>
    <row r="59" spans="1:39" s="119" customFormat="1" ht="18" customHeight="1" thickBot="1" x14ac:dyDescent="0.35">
      <c r="A59" s="136" t="s">
        <v>53</v>
      </c>
      <c r="B59" s="130" t="s">
        <v>231</v>
      </c>
      <c r="C59" s="288">
        <v>408</v>
      </c>
      <c r="D59" s="280" t="s">
        <v>370</v>
      </c>
      <c r="E59" s="270">
        <v>0</v>
      </c>
      <c r="F59" s="220">
        <f t="shared" si="1"/>
        <v>0</v>
      </c>
      <c r="G59" s="220">
        <f t="shared" si="2"/>
        <v>0</v>
      </c>
      <c r="H59" s="212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2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5"/>
      <c r="AJ59" s="215"/>
      <c r="AK59" s="215"/>
      <c r="AL59" s="215"/>
      <c r="AM59" s="215"/>
    </row>
    <row r="60" spans="1:39" s="119" customFormat="1" ht="18" customHeight="1" thickBot="1" x14ac:dyDescent="0.35">
      <c r="A60" s="136" t="s">
        <v>54</v>
      </c>
      <c r="B60" s="130" t="s">
        <v>232</v>
      </c>
      <c r="C60" s="288">
        <v>1061</v>
      </c>
      <c r="D60" s="271" t="s">
        <v>606</v>
      </c>
      <c r="E60" s="270">
        <v>0</v>
      </c>
      <c r="F60" s="220">
        <f t="shared" si="1"/>
        <v>0</v>
      </c>
      <c r="G60" s="220">
        <f t="shared" si="2"/>
        <v>0</v>
      </c>
      <c r="H60" s="212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2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5"/>
      <c r="AJ60" s="215"/>
      <c r="AK60" s="215"/>
      <c r="AL60" s="215"/>
      <c r="AM60" s="215"/>
    </row>
    <row r="61" spans="1:39" s="119" customFormat="1" ht="18" customHeight="1" thickBot="1" x14ac:dyDescent="0.35">
      <c r="A61" s="136" t="s">
        <v>55</v>
      </c>
      <c r="B61" s="130" t="s">
        <v>233</v>
      </c>
      <c r="C61" s="288">
        <v>130942</v>
      </c>
      <c r="D61" s="136"/>
      <c r="E61" s="270">
        <f>C61</f>
        <v>130942</v>
      </c>
      <c r="F61" s="220">
        <f t="shared" si="1"/>
        <v>57932.14</v>
      </c>
      <c r="G61" s="220">
        <f t="shared" si="2"/>
        <v>73009.86</v>
      </c>
      <c r="H61" s="212"/>
      <c r="I61" s="213"/>
      <c r="J61" s="213"/>
      <c r="K61" s="213"/>
      <c r="L61" s="213"/>
      <c r="M61" s="213"/>
      <c r="N61" s="213"/>
      <c r="O61" s="213"/>
      <c r="P61" s="213"/>
      <c r="Q61" s="213">
        <v>45891.49</v>
      </c>
      <c r="R61" s="213"/>
      <c r="S61" s="213">
        <v>12040.65</v>
      </c>
      <c r="T61" s="213"/>
      <c r="U61" s="213"/>
      <c r="V61" s="213"/>
      <c r="W61" s="213"/>
      <c r="X61" s="212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5"/>
      <c r="AJ61" s="215"/>
      <c r="AK61" s="215"/>
      <c r="AL61" s="215"/>
      <c r="AM61" s="215"/>
    </row>
    <row r="62" spans="1:39" s="119" customFormat="1" ht="18" customHeight="1" thickBot="1" x14ac:dyDescent="0.35">
      <c r="A62" s="136" t="s">
        <v>56</v>
      </c>
      <c r="B62" s="130" t="s">
        <v>234</v>
      </c>
      <c r="C62" s="288">
        <v>16317</v>
      </c>
      <c r="D62" s="136"/>
      <c r="E62" s="270">
        <f t="shared" ref="E62:E64" si="4">C62</f>
        <v>16317</v>
      </c>
      <c r="F62" s="220">
        <f t="shared" si="1"/>
        <v>0</v>
      </c>
      <c r="G62" s="220">
        <f t="shared" si="2"/>
        <v>16317</v>
      </c>
      <c r="H62" s="212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2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5"/>
      <c r="AJ62" s="215"/>
      <c r="AK62" s="215"/>
      <c r="AL62" s="215"/>
      <c r="AM62" s="215"/>
    </row>
    <row r="63" spans="1:39" s="119" customFormat="1" ht="18" customHeight="1" thickBot="1" x14ac:dyDescent="0.35">
      <c r="A63" s="136" t="s">
        <v>57</v>
      </c>
      <c r="B63" s="130" t="s">
        <v>235</v>
      </c>
      <c r="C63" s="288">
        <v>29370</v>
      </c>
      <c r="D63" s="136"/>
      <c r="E63" s="270">
        <f t="shared" si="4"/>
        <v>29370</v>
      </c>
      <c r="F63" s="220">
        <f t="shared" si="1"/>
        <v>18829.04</v>
      </c>
      <c r="G63" s="220">
        <f t="shared" si="2"/>
        <v>10540.96</v>
      </c>
      <c r="H63" s="212"/>
      <c r="I63" s="213"/>
      <c r="J63" s="213"/>
      <c r="K63" s="213"/>
      <c r="L63" s="213"/>
      <c r="M63" s="213"/>
      <c r="N63" s="213"/>
      <c r="O63" s="213"/>
      <c r="P63" s="213">
        <v>3261.04</v>
      </c>
      <c r="Q63" s="213">
        <v>3971</v>
      </c>
      <c r="R63" s="213">
        <v>961</v>
      </c>
      <c r="S63" s="213">
        <v>10636</v>
      </c>
      <c r="T63" s="213"/>
      <c r="U63" s="213"/>
      <c r="V63" s="213"/>
      <c r="W63" s="213"/>
      <c r="X63" s="212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5"/>
      <c r="AJ63" s="215"/>
      <c r="AK63" s="215"/>
      <c r="AL63" s="215"/>
      <c r="AM63" s="215"/>
    </row>
    <row r="64" spans="1:39" s="119" customFormat="1" ht="18" customHeight="1" thickBot="1" x14ac:dyDescent="0.35">
      <c r="A64" s="136" t="s">
        <v>58</v>
      </c>
      <c r="B64" s="130" t="s">
        <v>236</v>
      </c>
      <c r="C64" s="288">
        <v>140896</v>
      </c>
      <c r="D64" s="136"/>
      <c r="E64" s="270">
        <f t="shared" si="4"/>
        <v>140896</v>
      </c>
      <c r="F64" s="220">
        <f t="shared" si="1"/>
        <v>52013.96</v>
      </c>
      <c r="G64" s="220">
        <f t="shared" si="2"/>
        <v>88882.040000000008</v>
      </c>
      <c r="H64" s="212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>
        <v>52013.96</v>
      </c>
      <c r="W64" s="213"/>
      <c r="X64" s="212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5"/>
      <c r="AJ64" s="215"/>
      <c r="AK64" s="215"/>
      <c r="AL64" s="215"/>
      <c r="AM64" s="215"/>
    </row>
    <row r="65" spans="1:39" s="119" customFormat="1" ht="18" customHeight="1" thickBot="1" x14ac:dyDescent="0.35">
      <c r="A65" s="136" t="s">
        <v>59</v>
      </c>
      <c r="B65" s="130" t="s">
        <v>237</v>
      </c>
      <c r="C65" s="288">
        <v>11340</v>
      </c>
      <c r="D65" s="136"/>
      <c r="E65" s="270">
        <f>C65+C168</f>
        <v>15338</v>
      </c>
      <c r="F65" s="220">
        <f t="shared" si="1"/>
        <v>15338</v>
      </c>
      <c r="G65" s="220">
        <f t="shared" si="2"/>
        <v>0</v>
      </c>
      <c r="H65" s="212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>
        <v>15338</v>
      </c>
      <c r="T65" s="213"/>
      <c r="U65" s="213"/>
      <c r="V65" s="213"/>
      <c r="W65" s="213"/>
      <c r="X65" s="212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5"/>
      <c r="AJ65" s="215"/>
      <c r="AK65" s="215"/>
      <c r="AL65" s="215"/>
      <c r="AM65" s="215"/>
    </row>
    <row r="66" spans="1:39" s="119" customFormat="1" ht="18" customHeight="1" thickBot="1" x14ac:dyDescent="0.35">
      <c r="A66" s="136" t="s">
        <v>60</v>
      </c>
      <c r="B66" s="130" t="s">
        <v>238</v>
      </c>
      <c r="C66" s="288">
        <v>326</v>
      </c>
      <c r="D66" s="271" t="s">
        <v>606</v>
      </c>
      <c r="E66" s="270">
        <v>0</v>
      </c>
      <c r="F66" s="220">
        <f t="shared" si="1"/>
        <v>0</v>
      </c>
      <c r="G66" s="220">
        <f t="shared" si="2"/>
        <v>0</v>
      </c>
      <c r="H66" s="212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2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5"/>
      <c r="AJ66" s="215"/>
      <c r="AK66" s="215"/>
      <c r="AL66" s="215"/>
      <c r="AM66" s="215"/>
    </row>
    <row r="67" spans="1:39" s="119" customFormat="1" ht="18" customHeight="1" thickBot="1" x14ac:dyDescent="0.35">
      <c r="A67" s="136" t="s">
        <v>61</v>
      </c>
      <c r="B67" s="130" t="s">
        <v>239</v>
      </c>
      <c r="C67" s="288">
        <v>46992</v>
      </c>
      <c r="D67" s="136"/>
      <c r="E67" s="270">
        <f>C67</f>
        <v>46992</v>
      </c>
      <c r="F67" s="220">
        <f t="shared" si="1"/>
        <v>0</v>
      </c>
      <c r="G67" s="220">
        <f t="shared" si="2"/>
        <v>46992</v>
      </c>
      <c r="H67" s="212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2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5"/>
      <c r="AJ67" s="215"/>
      <c r="AK67" s="215"/>
      <c r="AL67" s="215"/>
      <c r="AM67" s="215"/>
    </row>
    <row r="68" spans="1:39" s="119" customFormat="1" ht="18" customHeight="1" thickBot="1" x14ac:dyDescent="0.35">
      <c r="A68" s="136" t="s">
        <v>62</v>
      </c>
      <c r="B68" s="130" t="s">
        <v>240</v>
      </c>
      <c r="C68" s="288">
        <v>10280</v>
      </c>
      <c r="D68" s="280" t="s">
        <v>370</v>
      </c>
      <c r="E68" s="270">
        <v>0</v>
      </c>
      <c r="F68" s="220">
        <f t="shared" si="1"/>
        <v>0</v>
      </c>
      <c r="G68" s="220">
        <f t="shared" si="2"/>
        <v>0</v>
      </c>
      <c r="H68" s="212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2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5"/>
      <c r="AJ68" s="215"/>
      <c r="AK68" s="215"/>
      <c r="AL68" s="215"/>
      <c r="AM68" s="215"/>
    </row>
    <row r="69" spans="1:39" s="119" customFormat="1" ht="18" customHeight="1" thickBot="1" x14ac:dyDescent="0.35">
      <c r="A69" s="136" t="s">
        <v>63</v>
      </c>
      <c r="B69" s="130" t="s">
        <v>241</v>
      </c>
      <c r="C69" s="288">
        <v>1632</v>
      </c>
      <c r="D69" s="271" t="s">
        <v>606</v>
      </c>
      <c r="E69" s="270">
        <v>0</v>
      </c>
      <c r="F69" s="220">
        <f t="shared" si="1"/>
        <v>0</v>
      </c>
      <c r="G69" s="220">
        <f t="shared" si="2"/>
        <v>0</v>
      </c>
      <c r="H69" s="212"/>
      <c r="I69" s="213"/>
      <c r="J69" s="213"/>
      <c r="K69" s="213"/>
      <c r="L69" s="213"/>
      <c r="M69" s="197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2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5"/>
      <c r="AJ69" s="215"/>
      <c r="AK69" s="215"/>
      <c r="AL69" s="215"/>
      <c r="AM69" s="215"/>
    </row>
    <row r="70" spans="1:39" s="119" customFormat="1" ht="18" customHeight="1" thickBot="1" x14ac:dyDescent="0.35">
      <c r="A70" s="136" t="s">
        <v>64</v>
      </c>
      <c r="B70" s="130" t="s">
        <v>242</v>
      </c>
      <c r="C70" s="288">
        <v>1876</v>
      </c>
      <c r="D70" s="271" t="s">
        <v>606</v>
      </c>
      <c r="E70" s="270">
        <v>0</v>
      </c>
      <c r="F70" s="220">
        <f t="shared" si="1"/>
        <v>0</v>
      </c>
      <c r="G70" s="220">
        <f t="shared" si="2"/>
        <v>0</v>
      </c>
      <c r="H70" s="212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2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5"/>
      <c r="AJ70" s="215"/>
      <c r="AK70" s="215"/>
      <c r="AL70" s="215"/>
      <c r="AM70" s="215"/>
    </row>
    <row r="71" spans="1:39" s="119" customFormat="1" ht="18" customHeight="1" thickBot="1" x14ac:dyDescent="0.35">
      <c r="A71" s="136" t="s">
        <v>65</v>
      </c>
      <c r="B71" s="130" t="s">
        <v>243</v>
      </c>
      <c r="C71" s="288">
        <v>14930</v>
      </c>
      <c r="D71" s="136"/>
      <c r="E71" s="270">
        <f>C71</f>
        <v>14930</v>
      </c>
      <c r="F71" s="220">
        <f t="shared" si="1"/>
        <v>11318.27</v>
      </c>
      <c r="G71" s="220">
        <f t="shared" si="2"/>
        <v>3611.7299999999996</v>
      </c>
      <c r="H71" s="212"/>
      <c r="I71" s="213"/>
      <c r="J71" s="213"/>
      <c r="K71" s="213"/>
      <c r="L71" s="213"/>
      <c r="M71" s="213"/>
      <c r="N71" s="213"/>
      <c r="O71" s="213"/>
      <c r="P71" s="213"/>
      <c r="Q71" s="213">
        <v>1515.17</v>
      </c>
      <c r="R71" s="213">
        <v>1711.83</v>
      </c>
      <c r="S71" s="213">
        <v>1468.39</v>
      </c>
      <c r="T71" s="213"/>
      <c r="U71" s="213">
        <v>6622.88</v>
      </c>
      <c r="V71" s="213"/>
      <c r="W71" s="213"/>
      <c r="X71" s="212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5"/>
      <c r="AJ71" s="215"/>
      <c r="AK71" s="215"/>
      <c r="AL71" s="215"/>
      <c r="AM71" s="215"/>
    </row>
    <row r="72" spans="1:39" s="119" customFormat="1" ht="18" customHeight="1" thickBot="1" x14ac:dyDescent="0.35">
      <c r="A72" s="136" t="s">
        <v>66</v>
      </c>
      <c r="B72" s="130" t="s">
        <v>244</v>
      </c>
      <c r="C72" s="288">
        <v>93169</v>
      </c>
      <c r="D72" s="136"/>
      <c r="E72" s="270">
        <f>C72</f>
        <v>93169</v>
      </c>
      <c r="F72" s="220">
        <f t="shared" si="1"/>
        <v>0</v>
      </c>
      <c r="G72" s="220">
        <f t="shared" si="2"/>
        <v>93169</v>
      </c>
      <c r="H72" s="212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2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5"/>
      <c r="AJ72" s="215"/>
      <c r="AK72" s="215"/>
      <c r="AL72" s="215"/>
      <c r="AM72" s="215"/>
    </row>
    <row r="73" spans="1:39" s="119" customFormat="1" ht="18" customHeight="1" thickBot="1" x14ac:dyDescent="0.35">
      <c r="A73" s="136" t="s">
        <v>67</v>
      </c>
      <c r="B73" s="130" t="s">
        <v>245</v>
      </c>
      <c r="C73" s="288">
        <v>571</v>
      </c>
      <c r="D73" s="271" t="s">
        <v>606</v>
      </c>
      <c r="E73" s="270">
        <v>0</v>
      </c>
      <c r="F73" s="220">
        <f t="shared" si="1"/>
        <v>0</v>
      </c>
      <c r="G73" s="220">
        <f t="shared" si="2"/>
        <v>0</v>
      </c>
      <c r="H73" s="212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2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5"/>
      <c r="AJ73" s="215"/>
      <c r="AK73" s="215"/>
      <c r="AL73" s="215"/>
      <c r="AM73" s="215"/>
    </row>
    <row r="74" spans="1:39" s="119" customFormat="1" ht="18" customHeight="1" thickBot="1" x14ac:dyDescent="0.35">
      <c r="A74" s="136" t="s">
        <v>68</v>
      </c>
      <c r="B74" s="130" t="s">
        <v>246</v>
      </c>
      <c r="C74" s="288">
        <v>490</v>
      </c>
      <c r="D74" s="271" t="s">
        <v>606</v>
      </c>
      <c r="E74" s="270">
        <v>0</v>
      </c>
      <c r="F74" s="220">
        <f t="shared" si="1"/>
        <v>0</v>
      </c>
      <c r="G74" s="220">
        <f t="shared" si="2"/>
        <v>0</v>
      </c>
      <c r="H74" s="212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2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5"/>
      <c r="AJ74" s="215"/>
      <c r="AK74" s="215"/>
      <c r="AL74" s="215"/>
      <c r="AM74" s="215"/>
    </row>
    <row r="75" spans="1:39" s="119" customFormat="1" ht="18" customHeight="1" thickBot="1" x14ac:dyDescent="0.35">
      <c r="A75" s="136" t="s">
        <v>69</v>
      </c>
      <c r="B75" s="130" t="s">
        <v>247</v>
      </c>
      <c r="C75" s="288">
        <v>4242</v>
      </c>
      <c r="D75" s="271" t="s">
        <v>606</v>
      </c>
      <c r="E75" s="270">
        <v>0</v>
      </c>
      <c r="F75" s="220">
        <f t="shared" si="1"/>
        <v>0</v>
      </c>
      <c r="G75" s="220">
        <f t="shared" si="2"/>
        <v>0</v>
      </c>
      <c r="H75" s="212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2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5"/>
      <c r="AJ75" s="215"/>
      <c r="AK75" s="215"/>
      <c r="AL75" s="215"/>
      <c r="AM75" s="215"/>
    </row>
    <row r="76" spans="1:39" s="119" customFormat="1" ht="18" customHeight="1" thickBot="1" x14ac:dyDescent="0.35">
      <c r="A76" s="136" t="s">
        <v>70</v>
      </c>
      <c r="B76" s="130" t="s">
        <v>248</v>
      </c>
      <c r="C76" s="288">
        <v>1713</v>
      </c>
      <c r="D76" s="271" t="s">
        <v>606</v>
      </c>
      <c r="E76" s="270">
        <v>0</v>
      </c>
      <c r="F76" s="220">
        <f t="shared" si="1"/>
        <v>0</v>
      </c>
      <c r="G76" s="220">
        <f t="shared" si="2"/>
        <v>0</v>
      </c>
      <c r="H76" s="212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2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5"/>
      <c r="AJ76" s="215"/>
      <c r="AK76" s="215"/>
      <c r="AL76" s="215"/>
      <c r="AM76" s="215"/>
    </row>
    <row r="77" spans="1:39" s="119" customFormat="1" ht="18" customHeight="1" thickBot="1" x14ac:dyDescent="0.35">
      <c r="A77" s="136" t="s">
        <v>71</v>
      </c>
      <c r="B77" s="130" t="s">
        <v>249</v>
      </c>
      <c r="C77" s="288">
        <v>163</v>
      </c>
      <c r="D77" s="271" t="s">
        <v>606</v>
      </c>
      <c r="E77" s="270">
        <v>0</v>
      </c>
      <c r="F77" s="220">
        <f t="shared" ref="F77:F140" si="5">SUM(H77:AK77)</f>
        <v>0</v>
      </c>
      <c r="G77" s="220">
        <f t="shared" ref="G77:G140" si="6">E77-(F77+AL77+AM77)</f>
        <v>0</v>
      </c>
      <c r="H77" s="212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2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5"/>
      <c r="AJ77" s="215"/>
      <c r="AK77" s="215"/>
      <c r="AL77" s="215"/>
      <c r="AM77" s="215"/>
    </row>
    <row r="78" spans="1:39" s="119" customFormat="1" ht="18" customHeight="1" thickBot="1" x14ac:dyDescent="0.35">
      <c r="A78" s="136" t="s">
        <v>72</v>
      </c>
      <c r="B78" s="130" t="s">
        <v>250</v>
      </c>
      <c r="C78" s="288">
        <v>127271</v>
      </c>
      <c r="D78" s="136"/>
      <c r="E78" s="270">
        <f>C78</f>
        <v>127271</v>
      </c>
      <c r="F78" s="220">
        <f t="shared" si="5"/>
        <v>115248</v>
      </c>
      <c r="G78" s="220">
        <f t="shared" si="6"/>
        <v>12023</v>
      </c>
      <c r="H78" s="212"/>
      <c r="I78" s="213"/>
      <c r="J78" s="213"/>
      <c r="K78" s="213"/>
      <c r="L78" s="213"/>
      <c r="M78" s="213"/>
      <c r="N78" s="213"/>
      <c r="O78" s="213">
        <v>35463.96</v>
      </c>
      <c r="P78" s="213"/>
      <c r="Q78" s="213"/>
      <c r="R78" s="213">
        <v>37439.040000000001</v>
      </c>
      <c r="S78" s="213"/>
      <c r="T78" s="213"/>
      <c r="U78" s="213">
        <v>42345</v>
      </c>
      <c r="V78" s="213"/>
      <c r="W78" s="213"/>
      <c r="X78" s="212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5"/>
      <c r="AJ78" s="215"/>
      <c r="AK78" s="215"/>
      <c r="AL78" s="215"/>
      <c r="AM78" s="215"/>
    </row>
    <row r="79" spans="1:39" s="119" customFormat="1" ht="18" customHeight="1" thickBot="1" x14ac:dyDescent="0.35">
      <c r="A79" s="136" t="s">
        <v>73</v>
      </c>
      <c r="B79" s="130" t="s">
        <v>251</v>
      </c>
      <c r="C79" s="288">
        <v>96595</v>
      </c>
      <c r="D79" s="136"/>
      <c r="E79" s="270">
        <f t="shared" ref="E79:E80" si="7">C79</f>
        <v>96595</v>
      </c>
      <c r="F79" s="220">
        <f t="shared" si="5"/>
        <v>52816.55</v>
      </c>
      <c r="G79" s="220">
        <f t="shared" si="6"/>
        <v>43778.45</v>
      </c>
      <c r="H79" s="212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>
        <v>52816.55</v>
      </c>
      <c r="W79" s="213"/>
      <c r="X79" s="212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5"/>
      <c r="AJ79" s="215"/>
      <c r="AK79" s="215"/>
      <c r="AL79" s="215"/>
      <c r="AM79" s="215"/>
    </row>
    <row r="80" spans="1:39" s="119" customFormat="1" ht="18" customHeight="1" thickBot="1" x14ac:dyDescent="0.35">
      <c r="A80" s="136" t="s">
        <v>74</v>
      </c>
      <c r="B80" s="130" t="s">
        <v>252</v>
      </c>
      <c r="C80" s="288">
        <v>18438</v>
      </c>
      <c r="D80" s="136"/>
      <c r="E80" s="270">
        <f t="shared" si="7"/>
        <v>18438</v>
      </c>
      <c r="F80" s="220">
        <f t="shared" si="5"/>
        <v>18438</v>
      </c>
      <c r="G80" s="220">
        <f t="shared" si="6"/>
        <v>0</v>
      </c>
      <c r="H80" s="212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>
        <v>18438</v>
      </c>
      <c r="T80" s="213"/>
      <c r="U80" s="213"/>
      <c r="V80" s="213"/>
      <c r="W80" s="213"/>
      <c r="X80" s="212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5"/>
      <c r="AJ80" s="215"/>
      <c r="AK80" s="215"/>
      <c r="AL80" s="215"/>
      <c r="AM80" s="215"/>
    </row>
    <row r="81" spans="1:39" s="119" customFormat="1" ht="18" customHeight="1" thickBot="1" x14ac:dyDescent="0.35">
      <c r="A81" s="136" t="s">
        <v>75</v>
      </c>
      <c r="B81" s="130" t="s">
        <v>253</v>
      </c>
      <c r="C81" s="288">
        <v>82</v>
      </c>
      <c r="D81" s="271" t="s">
        <v>606</v>
      </c>
      <c r="E81" s="270">
        <v>0</v>
      </c>
      <c r="F81" s="220">
        <f t="shared" si="5"/>
        <v>0</v>
      </c>
      <c r="G81" s="220">
        <f t="shared" si="6"/>
        <v>0</v>
      </c>
      <c r="H81" s="212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2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5"/>
      <c r="AJ81" s="215"/>
      <c r="AK81" s="215"/>
      <c r="AL81" s="215"/>
      <c r="AM81" s="215"/>
    </row>
    <row r="82" spans="1:39" s="119" customFormat="1" ht="18" customHeight="1" thickBot="1" x14ac:dyDescent="0.35">
      <c r="A82" s="136" t="s">
        <v>76</v>
      </c>
      <c r="B82" s="130" t="s">
        <v>254</v>
      </c>
      <c r="C82" s="288">
        <v>4079</v>
      </c>
      <c r="D82" s="280" t="s">
        <v>373</v>
      </c>
      <c r="E82" s="270">
        <v>0</v>
      </c>
      <c r="F82" s="220">
        <f t="shared" si="5"/>
        <v>0</v>
      </c>
      <c r="G82" s="220">
        <f t="shared" si="6"/>
        <v>0</v>
      </c>
      <c r="H82" s="212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2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5"/>
      <c r="AJ82" s="215"/>
      <c r="AK82" s="215"/>
      <c r="AL82" s="215"/>
      <c r="AM82" s="215"/>
    </row>
    <row r="83" spans="1:39" s="119" customFormat="1" ht="18" customHeight="1" thickBot="1" x14ac:dyDescent="0.35">
      <c r="A83" s="136" t="s">
        <v>77</v>
      </c>
      <c r="B83" s="130" t="s">
        <v>255</v>
      </c>
      <c r="C83" s="288">
        <v>7261</v>
      </c>
      <c r="D83" s="280" t="s">
        <v>373</v>
      </c>
      <c r="E83" s="270">
        <v>0</v>
      </c>
      <c r="F83" s="220">
        <f t="shared" si="5"/>
        <v>0</v>
      </c>
      <c r="G83" s="220">
        <f t="shared" si="6"/>
        <v>0</v>
      </c>
      <c r="H83" s="212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2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5"/>
      <c r="AJ83" s="215"/>
      <c r="AK83" s="215"/>
      <c r="AL83" s="215"/>
      <c r="AM83" s="215"/>
    </row>
    <row r="84" spans="1:39" s="119" customFormat="1" ht="18" customHeight="1" thickBot="1" x14ac:dyDescent="0.35">
      <c r="A84" s="136" t="s">
        <v>78</v>
      </c>
      <c r="B84" s="130" t="s">
        <v>256</v>
      </c>
      <c r="C84" s="288">
        <v>13298</v>
      </c>
      <c r="D84" s="136"/>
      <c r="E84" s="270">
        <f>C84</f>
        <v>13298</v>
      </c>
      <c r="F84" s="220">
        <f t="shared" si="5"/>
        <v>13298</v>
      </c>
      <c r="G84" s="220">
        <f t="shared" si="6"/>
        <v>0</v>
      </c>
      <c r="H84" s="216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>
        <v>13298</v>
      </c>
      <c r="V84" s="213"/>
      <c r="W84" s="213"/>
      <c r="X84" s="212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5"/>
      <c r="AJ84" s="215"/>
      <c r="AK84" s="215"/>
      <c r="AL84" s="215"/>
      <c r="AM84" s="215"/>
    </row>
    <row r="85" spans="1:39" s="119" customFormat="1" ht="18" customHeight="1" thickBot="1" x14ac:dyDescent="0.35">
      <c r="A85" s="136" t="s">
        <v>79</v>
      </c>
      <c r="B85" s="130" t="s">
        <v>257</v>
      </c>
      <c r="C85" s="288">
        <v>0</v>
      </c>
      <c r="D85" s="271"/>
      <c r="E85" s="270">
        <v>0</v>
      </c>
      <c r="F85" s="220">
        <f t="shared" si="5"/>
        <v>0</v>
      </c>
      <c r="G85" s="220">
        <f t="shared" si="6"/>
        <v>0</v>
      </c>
      <c r="H85" s="212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2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5"/>
      <c r="AJ85" s="215"/>
      <c r="AK85" s="215"/>
      <c r="AL85" s="215"/>
      <c r="AM85" s="215"/>
    </row>
    <row r="86" spans="1:39" s="119" customFormat="1" ht="18" customHeight="1" thickBot="1" x14ac:dyDescent="0.35">
      <c r="A86" s="136" t="s">
        <v>80</v>
      </c>
      <c r="B86" s="130" t="s">
        <v>258</v>
      </c>
      <c r="C86" s="288">
        <v>326</v>
      </c>
      <c r="D86" s="271" t="s">
        <v>606</v>
      </c>
      <c r="E86" s="270">
        <v>0</v>
      </c>
      <c r="F86" s="220">
        <f t="shared" si="5"/>
        <v>0</v>
      </c>
      <c r="G86" s="220">
        <f t="shared" si="6"/>
        <v>0</v>
      </c>
      <c r="H86" s="212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2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5"/>
      <c r="AJ86" s="215"/>
      <c r="AK86" s="215"/>
      <c r="AL86" s="215"/>
      <c r="AM86" s="215"/>
    </row>
    <row r="87" spans="1:39" s="119" customFormat="1" ht="18" customHeight="1" thickBot="1" x14ac:dyDescent="0.35">
      <c r="A87" s="136" t="s">
        <v>81</v>
      </c>
      <c r="B87" s="130" t="s">
        <v>259</v>
      </c>
      <c r="C87" s="288">
        <v>0</v>
      </c>
      <c r="D87" s="136"/>
      <c r="E87" s="270">
        <v>0</v>
      </c>
      <c r="F87" s="220">
        <f t="shared" si="5"/>
        <v>0</v>
      </c>
      <c r="G87" s="220">
        <f t="shared" si="6"/>
        <v>0</v>
      </c>
      <c r="H87" s="212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2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5"/>
      <c r="AJ87" s="215"/>
      <c r="AK87" s="215"/>
      <c r="AL87" s="215"/>
      <c r="AM87" s="215"/>
    </row>
    <row r="88" spans="1:39" s="119" customFormat="1" ht="18" customHeight="1" thickBot="1" x14ac:dyDescent="0.35">
      <c r="A88" s="136" t="s">
        <v>82</v>
      </c>
      <c r="B88" s="130" t="s">
        <v>260</v>
      </c>
      <c r="C88" s="288">
        <v>490</v>
      </c>
      <c r="D88" s="280" t="s">
        <v>373</v>
      </c>
      <c r="E88" s="270">
        <v>0</v>
      </c>
      <c r="F88" s="220">
        <f t="shared" si="5"/>
        <v>0</v>
      </c>
      <c r="G88" s="220">
        <f t="shared" si="6"/>
        <v>0</v>
      </c>
      <c r="H88" s="212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2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5"/>
      <c r="AJ88" s="215"/>
      <c r="AK88" s="215"/>
      <c r="AL88" s="215"/>
      <c r="AM88" s="215"/>
    </row>
    <row r="89" spans="1:39" s="119" customFormat="1" ht="18" customHeight="1" thickBot="1" x14ac:dyDescent="0.35">
      <c r="A89" s="136" t="s">
        <v>83</v>
      </c>
      <c r="B89" s="130" t="s">
        <v>261</v>
      </c>
      <c r="C89" s="288">
        <v>442512</v>
      </c>
      <c r="D89" s="136"/>
      <c r="E89" s="270">
        <f>C89</f>
        <v>442512</v>
      </c>
      <c r="F89" s="220">
        <f t="shared" si="5"/>
        <v>178930.58999999997</v>
      </c>
      <c r="G89" s="220">
        <f t="shared" si="6"/>
        <v>263581.41000000003</v>
      </c>
      <c r="H89" s="212"/>
      <c r="I89" s="213"/>
      <c r="J89" s="213"/>
      <c r="K89" s="213"/>
      <c r="L89" s="213"/>
      <c r="M89" s="213"/>
      <c r="N89" s="213"/>
      <c r="O89" s="213"/>
      <c r="P89" s="213"/>
      <c r="Q89" s="213">
        <v>58235.63</v>
      </c>
      <c r="R89" s="213">
        <f>17800.8+17497.9</f>
        <v>35298.699999999997</v>
      </c>
      <c r="S89" s="213">
        <v>17696.64</v>
      </c>
      <c r="T89" s="213">
        <v>67699.62</v>
      </c>
      <c r="U89" s="213"/>
      <c r="V89" s="213"/>
      <c r="W89" s="213"/>
      <c r="X89" s="212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5"/>
      <c r="AJ89" s="215"/>
      <c r="AK89" s="215"/>
      <c r="AL89" s="215"/>
      <c r="AM89" s="215"/>
    </row>
    <row r="90" spans="1:39" s="119" customFormat="1" ht="18" customHeight="1" thickBot="1" x14ac:dyDescent="0.35">
      <c r="A90" s="136" t="s">
        <v>84</v>
      </c>
      <c r="B90" s="130" t="s">
        <v>262</v>
      </c>
      <c r="C90" s="288">
        <v>0</v>
      </c>
      <c r="D90" s="136"/>
      <c r="E90" s="270">
        <v>0</v>
      </c>
      <c r="F90" s="220">
        <f t="shared" si="5"/>
        <v>0</v>
      </c>
      <c r="G90" s="220">
        <f t="shared" si="6"/>
        <v>0</v>
      </c>
      <c r="H90" s="212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2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5"/>
      <c r="AJ90" s="215"/>
      <c r="AK90" s="215"/>
      <c r="AL90" s="215"/>
      <c r="AM90" s="215"/>
    </row>
    <row r="91" spans="1:39" s="119" customFormat="1" ht="18" customHeight="1" thickBot="1" x14ac:dyDescent="0.35">
      <c r="A91" s="136" t="s">
        <v>85</v>
      </c>
      <c r="B91" s="130" t="s">
        <v>263</v>
      </c>
      <c r="C91" s="288">
        <v>245</v>
      </c>
      <c r="D91" s="271" t="s">
        <v>606</v>
      </c>
      <c r="E91" s="270">
        <v>0</v>
      </c>
      <c r="F91" s="220">
        <f t="shared" si="5"/>
        <v>0</v>
      </c>
      <c r="G91" s="220">
        <f t="shared" si="6"/>
        <v>0</v>
      </c>
      <c r="H91" s="212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2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5"/>
      <c r="AJ91" s="215"/>
      <c r="AK91" s="215"/>
      <c r="AL91" s="215"/>
      <c r="AM91" s="215"/>
    </row>
    <row r="92" spans="1:39" s="119" customFormat="1" ht="18" customHeight="1" thickBot="1" x14ac:dyDescent="0.35">
      <c r="A92" s="136" t="s">
        <v>86</v>
      </c>
      <c r="B92" s="130" t="s">
        <v>264</v>
      </c>
      <c r="C92" s="288">
        <v>82</v>
      </c>
      <c r="D92" s="280" t="s">
        <v>370</v>
      </c>
      <c r="E92" s="270">
        <v>0</v>
      </c>
      <c r="F92" s="220">
        <f t="shared" si="5"/>
        <v>0</v>
      </c>
      <c r="G92" s="220">
        <f t="shared" si="6"/>
        <v>0</v>
      </c>
      <c r="H92" s="212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2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5"/>
      <c r="AJ92" s="215"/>
      <c r="AK92" s="215"/>
      <c r="AL92" s="215"/>
      <c r="AM92" s="215"/>
    </row>
    <row r="93" spans="1:39" s="119" customFormat="1" ht="18" customHeight="1" thickBot="1" x14ac:dyDescent="0.35">
      <c r="A93" s="136" t="s">
        <v>87</v>
      </c>
      <c r="B93" s="130" t="s">
        <v>265</v>
      </c>
      <c r="C93" s="288">
        <v>245</v>
      </c>
      <c r="D93" s="280" t="s">
        <v>370</v>
      </c>
      <c r="E93" s="270">
        <v>0</v>
      </c>
      <c r="F93" s="220">
        <f t="shared" si="5"/>
        <v>0</v>
      </c>
      <c r="G93" s="220">
        <f t="shared" si="6"/>
        <v>0</v>
      </c>
      <c r="H93" s="212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2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5"/>
      <c r="AJ93" s="215"/>
      <c r="AK93" s="215"/>
      <c r="AL93" s="215"/>
      <c r="AM93" s="215"/>
    </row>
    <row r="94" spans="1:39" s="119" customFormat="1" ht="18" customHeight="1" thickBot="1" x14ac:dyDescent="0.35">
      <c r="A94" s="136" t="s">
        <v>88</v>
      </c>
      <c r="B94" s="130" t="s">
        <v>266</v>
      </c>
      <c r="C94" s="288">
        <v>1876</v>
      </c>
      <c r="D94" s="280" t="s">
        <v>370</v>
      </c>
      <c r="E94" s="270">
        <v>0</v>
      </c>
      <c r="F94" s="220">
        <f t="shared" si="5"/>
        <v>0</v>
      </c>
      <c r="G94" s="220">
        <f t="shared" si="6"/>
        <v>0</v>
      </c>
      <c r="H94" s="212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2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5"/>
      <c r="AJ94" s="215"/>
      <c r="AK94" s="215"/>
      <c r="AL94" s="215"/>
      <c r="AM94" s="215"/>
    </row>
    <row r="95" spans="1:39" s="119" customFormat="1" ht="18" customHeight="1" thickBot="1" x14ac:dyDescent="0.35">
      <c r="A95" s="136" t="s">
        <v>89</v>
      </c>
      <c r="B95" s="130" t="s">
        <v>267</v>
      </c>
      <c r="C95" s="288">
        <v>2692</v>
      </c>
      <c r="D95" s="280" t="s">
        <v>370</v>
      </c>
      <c r="E95" s="270">
        <v>0</v>
      </c>
      <c r="F95" s="220">
        <f t="shared" si="5"/>
        <v>0</v>
      </c>
      <c r="G95" s="220">
        <f t="shared" si="6"/>
        <v>0</v>
      </c>
      <c r="H95" s="212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2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5"/>
      <c r="AJ95" s="215"/>
      <c r="AK95" s="215"/>
      <c r="AL95" s="215"/>
      <c r="AM95" s="215"/>
    </row>
    <row r="96" spans="1:39" s="119" customFormat="1" ht="18" customHeight="1" thickBot="1" x14ac:dyDescent="0.35">
      <c r="A96" s="136" t="s">
        <v>90</v>
      </c>
      <c r="B96" s="130" t="s">
        <v>268</v>
      </c>
      <c r="C96" s="288">
        <v>12156</v>
      </c>
      <c r="D96" s="280" t="s">
        <v>370</v>
      </c>
      <c r="E96" s="270">
        <v>0</v>
      </c>
      <c r="F96" s="220">
        <f t="shared" si="5"/>
        <v>0</v>
      </c>
      <c r="G96" s="220">
        <f t="shared" si="6"/>
        <v>0</v>
      </c>
      <c r="H96" s="212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2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5"/>
      <c r="AJ96" s="215"/>
      <c r="AK96" s="215"/>
      <c r="AL96" s="215"/>
      <c r="AM96" s="215"/>
    </row>
    <row r="97" spans="1:39" s="119" customFormat="1" ht="18" customHeight="1" thickBot="1" x14ac:dyDescent="0.35">
      <c r="A97" s="136" t="s">
        <v>91</v>
      </c>
      <c r="B97" s="130" t="s">
        <v>269</v>
      </c>
      <c r="C97" s="288">
        <v>24312</v>
      </c>
      <c r="D97" s="136"/>
      <c r="E97" s="270">
        <f>C97</f>
        <v>24312</v>
      </c>
      <c r="F97" s="220">
        <f t="shared" si="5"/>
        <v>24312</v>
      </c>
      <c r="G97" s="220">
        <f t="shared" si="6"/>
        <v>0</v>
      </c>
      <c r="H97" s="212"/>
      <c r="I97" s="213"/>
      <c r="J97" s="213"/>
      <c r="K97" s="213"/>
      <c r="L97" s="213"/>
      <c r="M97" s="213"/>
      <c r="N97" s="213"/>
      <c r="O97" s="213">
        <f>2365.3+2072.93</f>
        <v>4438.2299999999996</v>
      </c>
      <c r="P97" s="213">
        <f>7087.12+2065.1</f>
        <v>9152.2199999999993</v>
      </c>
      <c r="Q97" s="213">
        <v>2065.1</v>
      </c>
      <c r="R97" s="213">
        <v>2065.1</v>
      </c>
      <c r="S97" s="213">
        <v>6591.35</v>
      </c>
      <c r="T97" s="213"/>
      <c r="U97" s="213"/>
      <c r="V97" s="213"/>
      <c r="W97" s="213"/>
      <c r="X97" s="212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5"/>
      <c r="AJ97" s="215"/>
      <c r="AK97" s="215"/>
      <c r="AL97" s="215"/>
      <c r="AM97" s="215"/>
    </row>
    <row r="98" spans="1:39" s="119" customFormat="1" ht="18" customHeight="1" thickBot="1" x14ac:dyDescent="0.35">
      <c r="A98" s="136" t="s">
        <v>92</v>
      </c>
      <c r="B98" s="130" t="s">
        <v>270</v>
      </c>
      <c r="C98" s="288">
        <v>18356</v>
      </c>
      <c r="D98" s="136"/>
      <c r="E98" s="270">
        <f>C98</f>
        <v>18356</v>
      </c>
      <c r="F98" s="220">
        <f t="shared" si="5"/>
        <v>14970.53</v>
      </c>
      <c r="G98" s="220">
        <f t="shared" si="6"/>
        <v>3385.4699999999993</v>
      </c>
      <c r="H98" s="212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>
        <f>13558.52+1412.01</f>
        <v>14970.53</v>
      </c>
      <c r="T98" s="213"/>
      <c r="U98" s="213"/>
      <c r="V98" s="213"/>
      <c r="W98" s="213"/>
      <c r="X98" s="212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5"/>
      <c r="AJ98" s="215"/>
      <c r="AK98" s="215"/>
      <c r="AL98" s="215"/>
      <c r="AM98" s="215"/>
    </row>
    <row r="99" spans="1:39" s="119" customFormat="1" ht="18" customHeight="1" thickBot="1" x14ac:dyDescent="0.35">
      <c r="A99" s="136" t="s">
        <v>93</v>
      </c>
      <c r="B99" s="130" t="s">
        <v>271</v>
      </c>
      <c r="C99" s="288">
        <v>3019</v>
      </c>
      <c r="D99" s="280" t="s">
        <v>371</v>
      </c>
      <c r="E99" s="270">
        <v>0</v>
      </c>
      <c r="F99" s="220">
        <f t="shared" si="5"/>
        <v>0</v>
      </c>
      <c r="G99" s="220">
        <f t="shared" si="6"/>
        <v>0</v>
      </c>
      <c r="H99" s="212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2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5"/>
      <c r="AJ99" s="215"/>
      <c r="AK99" s="215"/>
      <c r="AL99" s="215"/>
      <c r="AM99" s="215"/>
    </row>
    <row r="100" spans="1:39" s="119" customFormat="1" ht="18" customHeight="1" thickBot="1" x14ac:dyDescent="0.35">
      <c r="A100" s="136" t="s">
        <v>94</v>
      </c>
      <c r="B100" s="130" t="s">
        <v>272</v>
      </c>
      <c r="C100" s="288">
        <v>3427</v>
      </c>
      <c r="D100" s="301" t="s">
        <v>371</v>
      </c>
      <c r="E100" s="270">
        <v>0</v>
      </c>
      <c r="F100" s="220">
        <f t="shared" si="5"/>
        <v>0</v>
      </c>
      <c r="G100" s="220">
        <f t="shared" si="6"/>
        <v>0</v>
      </c>
      <c r="H100" s="212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2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5"/>
      <c r="AJ100" s="215"/>
      <c r="AK100" s="215"/>
      <c r="AL100" s="215"/>
      <c r="AM100" s="215"/>
    </row>
    <row r="101" spans="1:39" s="119" customFormat="1" ht="18" customHeight="1" thickBot="1" x14ac:dyDescent="0.35">
      <c r="A101" s="136" t="s">
        <v>95</v>
      </c>
      <c r="B101" s="130" t="s">
        <v>273</v>
      </c>
      <c r="C101" s="288">
        <v>137551</v>
      </c>
      <c r="D101" s="136"/>
      <c r="E101" s="270">
        <f>C101</f>
        <v>137551</v>
      </c>
      <c r="F101" s="220">
        <f t="shared" si="5"/>
        <v>91888.95</v>
      </c>
      <c r="G101" s="220">
        <f t="shared" si="6"/>
        <v>45662.05</v>
      </c>
      <c r="H101" s="212"/>
      <c r="I101" s="213"/>
      <c r="J101" s="213"/>
      <c r="K101" s="213"/>
      <c r="L101" s="213"/>
      <c r="M101" s="213"/>
      <c r="N101" s="213"/>
      <c r="O101" s="213">
        <f>14632.65+21745.03</f>
        <v>36377.68</v>
      </c>
      <c r="P101" s="213"/>
      <c r="Q101" s="213"/>
      <c r="R101" s="213">
        <v>34255.629999999997</v>
      </c>
      <c r="S101" s="213">
        <v>14170.42</v>
      </c>
      <c r="T101" s="213"/>
      <c r="U101" s="213">
        <v>7085.22</v>
      </c>
      <c r="V101" s="213"/>
      <c r="W101" s="213"/>
      <c r="X101" s="212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5"/>
      <c r="AJ101" s="215"/>
      <c r="AK101" s="215"/>
      <c r="AL101" s="215"/>
      <c r="AM101" s="215"/>
    </row>
    <row r="102" spans="1:39" s="119" customFormat="1" ht="18" customHeight="1" thickBot="1" x14ac:dyDescent="0.35">
      <c r="A102" s="136" t="s">
        <v>96</v>
      </c>
      <c r="B102" s="130" t="s">
        <v>274</v>
      </c>
      <c r="C102" s="288">
        <v>39895</v>
      </c>
      <c r="D102" s="136"/>
      <c r="E102" s="270">
        <f t="shared" ref="E102:E103" si="8">C102</f>
        <v>39895</v>
      </c>
      <c r="F102" s="220">
        <f t="shared" si="5"/>
        <v>0</v>
      </c>
      <c r="G102" s="220">
        <f t="shared" si="6"/>
        <v>39895</v>
      </c>
      <c r="H102" s="212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2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5"/>
      <c r="AJ102" s="215"/>
      <c r="AK102" s="215"/>
      <c r="AL102" s="215"/>
      <c r="AM102" s="215"/>
    </row>
    <row r="103" spans="1:39" s="119" customFormat="1" ht="18" customHeight="1" thickBot="1" x14ac:dyDescent="0.35">
      <c r="A103" s="136" t="s">
        <v>97</v>
      </c>
      <c r="B103" s="130" t="s">
        <v>275</v>
      </c>
      <c r="C103" s="288">
        <v>12156</v>
      </c>
      <c r="D103" s="136"/>
      <c r="E103" s="270">
        <f t="shared" si="8"/>
        <v>12156</v>
      </c>
      <c r="F103" s="220">
        <f t="shared" si="5"/>
        <v>12156</v>
      </c>
      <c r="G103" s="220">
        <f t="shared" si="6"/>
        <v>0</v>
      </c>
      <c r="H103" s="212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>
        <v>12156</v>
      </c>
      <c r="V103" s="213"/>
      <c r="W103" s="213"/>
      <c r="X103" s="212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5"/>
      <c r="AJ103" s="215"/>
      <c r="AK103" s="215"/>
      <c r="AL103" s="215"/>
      <c r="AM103" s="215"/>
    </row>
    <row r="104" spans="1:39" s="119" customFormat="1" ht="18" customHeight="1" thickBot="1" x14ac:dyDescent="0.35">
      <c r="A104" s="136" t="s">
        <v>98</v>
      </c>
      <c r="B104" s="130" t="s">
        <v>276</v>
      </c>
      <c r="C104" s="288">
        <v>1387</v>
      </c>
      <c r="D104" s="271" t="s">
        <v>606</v>
      </c>
      <c r="E104" s="270">
        <v>0</v>
      </c>
      <c r="F104" s="220">
        <f t="shared" si="5"/>
        <v>0</v>
      </c>
      <c r="G104" s="220">
        <f t="shared" si="6"/>
        <v>0</v>
      </c>
      <c r="H104" s="212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2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5"/>
      <c r="AJ104" s="215"/>
      <c r="AK104" s="215"/>
      <c r="AL104" s="215"/>
      <c r="AM104" s="215"/>
    </row>
    <row r="105" spans="1:39" s="119" customFormat="1" ht="18" customHeight="1" thickBot="1" x14ac:dyDescent="0.35">
      <c r="A105" s="136" t="s">
        <v>99</v>
      </c>
      <c r="B105" s="130" t="s">
        <v>277</v>
      </c>
      <c r="C105" s="288">
        <v>816</v>
      </c>
      <c r="D105" s="271" t="s">
        <v>606</v>
      </c>
      <c r="E105" s="270">
        <v>0</v>
      </c>
      <c r="F105" s="220">
        <f t="shared" si="5"/>
        <v>0</v>
      </c>
      <c r="G105" s="220">
        <f t="shared" si="6"/>
        <v>0</v>
      </c>
      <c r="H105" s="212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2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5"/>
      <c r="AJ105" s="215"/>
      <c r="AK105" s="215"/>
      <c r="AL105" s="215"/>
      <c r="AM105" s="215"/>
    </row>
    <row r="106" spans="1:39" s="119" customFormat="1" ht="18" customHeight="1" thickBot="1" x14ac:dyDescent="0.35">
      <c r="A106" s="136" t="s">
        <v>100</v>
      </c>
      <c r="B106" s="130" t="s">
        <v>278</v>
      </c>
      <c r="C106" s="288">
        <v>734</v>
      </c>
      <c r="D106" s="271" t="s">
        <v>606</v>
      </c>
      <c r="E106" s="270">
        <v>0</v>
      </c>
      <c r="F106" s="220">
        <f t="shared" si="5"/>
        <v>0</v>
      </c>
      <c r="G106" s="220">
        <f t="shared" si="6"/>
        <v>0</v>
      </c>
      <c r="H106" s="212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2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5"/>
      <c r="AJ106" s="215"/>
      <c r="AK106" s="215"/>
      <c r="AL106" s="215"/>
      <c r="AM106" s="215"/>
    </row>
    <row r="107" spans="1:39" s="119" customFormat="1" ht="18" customHeight="1" thickBot="1" x14ac:dyDescent="0.35">
      <c r="A107" s="136" t="s">
        <v>101</v>
      </c>
      <c r="B107" s="130" t="s">
        <v>279</v>
      </c>
      <c r="C107" s="288">
        <v>82</v>
      </c>
      <c r="D107" s="271" t="s">
        <v>606</v>
      </c>
      <c r="E107" s="270">
        <v>0</v>
      </c>
      <c r="F107" s="220">
        <f t="shared" si="5"/>
        <v>0</v>
      </c>
      <c r="G107" s="220">
        <f t="shared" si="6"/>
        <v>0</v>
      </c>
      <c r="H107" s="212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2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5"/>
      <c r="AJ107" s="215"/>
      <c r="AK107" s="215"/>
      <c r="AL107" s="215"/>
      <c r="AM107" s="215"/>
    </row>
    <row r="108" spans="1:39" s="119" customFormat="1" ht="18" customHeight="1" thickBot="1" x14ac:dyDescent="0.35">
      <c r="A108" s="136" t="s">
        <v>102</v>
      </c>
      <c r="B108" s="130" t="s">
        <v>280</v>
      </c>
      <c r="C108" s="288">
        <v>0</v>
      </c>
      <c r="D108" s="271"/>
      <c r="E108" s="270">
        <v>0</v>
      </c>
      <c r="F108" s="220">
        <f t="shared" si="5"/>
        <v>0</v>
      </c>
      <c r="G108" s="220">
        <f t="shared" si="6"/>
        <v>0</v>
      </c>
      <c r="H108" s="212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2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5"/>
      <c r="AJ108" s="215"/>
      <c r="AK108" s="215"/>
      <c r="AL108" s="215"/>
      <c r="AM108" s="215"/>
    </row>
    <row r="109" spans="1:39" s="119" customFormat="1" ht="18" customHeight="1" thickBot="1" x14ac:dyDescent="0.35">
      <c r="A109" s="136" t="s">
        <v>103</v>
      </c>
      <c r="B109" s="130" t="s">
        <v>281</v>
      </c>
      <c r="C109" s="288">
        <v>0</v>
      </c>
      <c r="D109" s="136"/>
      <c r="E109" s="270">
        <v>0</v>
      </c>
      <c r="F109" s="220">
        <f t="shared" si="5"/>
        <v>0</v>
      </c>
      <c r="G109" s="220">
        <f t="shared" si="6"/>
        <v>0</v>
      </c>
      <c r="H109" s="212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2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5"/>
      <c r="AJ109" s="215"/>
      <c r="AK109" s="215"/>
      <c r="AL109" s="215"/>
      <c r="AM109" s="215"/>
    </row>
    <row r="110" spans="1:39" s="119" customFormat="1" ht="18" customHeight="1" thickBot="1" x14ac:dyDescent="0.35">
      <c r="A110" s="136" t="s">
        <v>104</v>
      </c>
      <c r="B110" s="130" t="s">
        <v>282</v>
      </c>
      <c r="C110" s="288">
        <v>0</v>
      </c>
      <c r="D110" s="136"/>
      <c r="E110" s="270">
        <v>0</v>
      </c>
      <c r="F110" s="220">
        <f t="shared" si="5"/>
        <v>0</v>
      </c>
      <c r="G110" s="220">
        <f t="shared" si="6"/>
        <v>0</v>
      </c>
      <c r="H110" s="212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2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5"/>
      <c r="AJ110" s="215"/>
      <c r="AK110" s="215"/>
      <c r="AL110" s="215"/>
      <c r="AM110" s="215"/>
    </row>
    <row r="111" spans="1:39" s="119" customFormat="1" ht="18" customHeight="1" thickBot="1" x14ac:dyDescent="0.35">
      <c r="A111" s="136" t="s">
        <v>105</v>
      </c>
      <c r="B111" s="130" t="s">
        <v>283</v>
      </c>
      <c r="C111" s="288">
        <v>3508</v>
      </c>
      <c r="D111" s="280">
        <v>9025</v>
      </c>
      <c r="E111" s="270">
        <v>0</v>
      </c>
      <c r="F111" s="220">
        <f t="shared" si="5"/>
        <v>0</v>
      </c>
      <c r="G111" s="220">
        <f t="shared" si="6"/>
        <v>0</v>
      </c>
      <c r="H111" s="212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2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5"/>
      <c r="AJ111" s="215"/>
      <c r="AK111" s="215"/>
      <c r="AL111" s="215"/>
      <c r="AM111" s="215"/>
    </row>
    <row r="112" spans="1:39" s="119" customFormat="1" ht="18" customHeight="1" thickBot="1" x14ac:dyDescent="0.35">
      <c r="A112" s="136" t="s">
        <v>106</v>
      </c>
      <c r="B112" s="130" t="s">
        <v>284</v>
      </c>
      <c r="C112" s="288">
        <v>0</v>
      </c>
      <c r="D112" s="136"/>
      <c r="E112" s="270">
        <v>0</v>
      </c>
      <c r="F112" s="220">
        <f t="shared" si="5"/>
        <v>0</v>
      </c>
      <c r="G112" s="220">
        <f t="shared" si="6"/>
        <v>0</v>
      </c>
      <c r="H112" s="212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2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5"/>
      <c r="AJ112" s="215"/>
      <c r="AK112" s="215"/>
      <c r="AL112" s="215"/>
      <c r="AM112" s="215"/>
    </row>
    <row r="113" spans="1:39" s="119" customFormat="1" ht="18" customHeight="1" thickBot="1" x14ac:dyDescent="0.35">
      <c r="A113" s="136" t="s">
        <v>107</v>
      </c>
      <c r="B113" s="130" t="s">
        <v>285</v>
      </c>
      <c r="C113" s="288">
        <v>8403</v>
      </c>
      <c r="D113" s="280" t="s">
        <v>371</v>
      </c>
      <c r="E113" s="270">
        <v>0</v>
      </c>
      <c r="F113" s="220">
        <f t="shared" si="5"/>
        <v>0</v>
      </c>
      <c r="G113" s="220">
        <f t="shared" si="6"/>
        <v>0</v>
      </c>
      <c r="H113" s="212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2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5"/>
      <c r="AJ113" s="215"/>
      <c r="AK113" s="215"/>
      <c r="AL113" s="215"/>
      <c r="AM113" s="215"/>
    </row>
    <row r="114" spans="1:39" s="119" customFormat="1" ht="18" customHeight="1" thickBot="1" x14ac:dyDescent="0.35">
      <c r="A114" s="136" t="s">
        <v>108</v>
      </c>
      <c r="B114" s="130" t="s">
        <v>286</v>
      </c>
      <c r="C114" s="288">
        <v>0</v>
      </c>
      <c r="D114" s="136"/>
      <c r="E114" s="270">
        <v>0</v>
      </c>
      <c r="F114" s="220">
        <f t="shared" si="5"/>
        <v>0</v>
      </c>
      <c r="G114" s="220">
        <f t="shared" si="6"/>
        <v>0</v>
      </c>
      <c r="H114" s="212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2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5"/>
      <c r="AJ114" s="215"/>
      <c r="AK114" s="215"/>
      <c r="AL114" s="215"/>
      <c r="AM114" s="215"/>
    </row>
    <row r="115" spans="1:39" s="119" customFormat="1" ht="18" customHeight="1" thickBot="1" x14ac:dyDescent="0.35">
      <c r="A115" s="136" t="s">
        <v>109</v>
      </c>
      <c r="B115" s="130" t="s">
        <v>287</v>
      </c>
      <c r="C115" s="288">
        <v>653</v>
      </c>
      <c r="D115" s="271" t="s">
        <v>606</v>
      </c>
      <c r="E115" s="270">
        <v>0</v>
      </c>
      <c r="F115" s="220">
        <f t="shared" si="5"/>
        <v>0</v>
      </c>
      <c r="G115" s="220">
        <f t="shared" si="6"/>
        <v>0</v>
      </c>
      <c r="H115" s="212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2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5"/>
      <c r="AJ115" s="215"/>
      <c r="AK115" s="215"/>
      <c r="AL115" s="215"/>
      <c r="AM115" s="215"/>
    </row>
    <row r="116" spans="1:39" s="119" customFormat="1" ht="18" customHeight="1" thickBot="1" x14ac:dyDescent="0.35">
      <c r="A116" s="136" t="s">
        <v>110</v>
      </c>
      <c r="B116" s="130" t="s">
        <v>288</v>
      </c>
      <c r="C116" s="288">
        <v>0</v>
      </c>
      <c r="D116" s="136"/>
      <c r="E116" s="270">
        <v>0</v>
      </c>
      <c r="F116" s="220">
        <f t="shared" si="5"/>
        <v>0</v>
      </c>
      <c r="G116" s="220">
        <f t="shared" si="6"/>
        <v>0</v>
      </c>
      <c r="H116" s="212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2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5"/>
      <c r="AJ116" s="215"/>
      <c r="AK116" s="215"/>
      <c r="AL116" s="215"/>
      <c r="AM116" s="215"/>
    </row>
    <row r="117" spans="1:39" s="119" customFormat="1" ht="18" customHeight="1" thickBot="1" x14ac:dyDescent="0.35">
      <c r="A117" s="136" t="s">
        <v>111</v>
      </c>
      <c r="B117" s="130" t="s">
        <v>289</v>
      </c>
      <c r="C117" s="288">
        <v>408</v>
      </c>
      <c r="D117" s="271" t="s">
        <v>606</v>
      </c>
      <c r="E117" s="270">
        <v>0</v>
      </c>
      <c r="F117" s="220">
        <f t="shared" si="5"/>
        <v>0</v>
      </c>
      <c r="G117" s="220">
        <f t="shared" si="6"/>
        <v>0</v>
      </c>
      <c r="H117" s="212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2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5"/>
      <c r="AJ117" s="215"/>
      <c r="AK117" s="215"/>
      <c r="AL117" s="215"/>
      <c r="AM117" s="215"/>
    </row>
    <row r="118" spans="1:39" s="119" customFormat="1" ht="18" customHeight="1" thickBot="1" x14ac:dyDescent="0.35">
      <c r="A118" s="136" t="s">
        <v>112</v>
      </c>
      <c r="B118" s="130" t="s">
        <v>290</v>
      </c>
      <c r="C118" s="288">
        <v>326</v>
      </c>
      <c r="D118" s="271" t="s">
        <v>606</v>
      </c>
      <c r="E118" s="270">
        <v>0</v>
      </c>
      <c r="F118" s="220">
        <f t="shared" si="5"/>
        <v>0</v>
      </c>
      <c r="G118" s="220">
        <f t="shared" si="6"/>
        <v>0</v>
      </c>
      <c r="H118" s="212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2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5"/>
      <c r="AJ118" s="215"/>
      <c r="AK118" s="215"/>
      <c r="AL118" s="215"/>
      <c r="AM118" s="215"/>
    </row>
    <row r="119" spans="1:39" s="119" customFormat="1" ht="18" customHeight="1" thickBot="1" x14ac:dyDescent="0.35">
      <c r="A119" s="136" t="s">
        <v>113</v>
      </c>
      <c r="B119" s="130" t="s">
        <v>291</v>
      </c>
      <c r="C119" s="288">
        <v>54172</v>
      </c>
      <c r="D119" s="136"/>
      <c r="E119" s="270">
        <f>C119</f>
        <v>54172</v>
      </c>
      <c r="F119" s="220">
        <f t="shared" si="5"/>
        <v>54033.679999999993</v>
      </c>
      <c r="G119" s="220">
        <f t="shared" si="6"/>
        <v>138.32000000000698</v>
      </c>
      <c r="H119" s="212"/>
      <c r="I119" s="213"/>
      <c r="J119" s="213"/>
      <c r="K119" s="213"/>
      <c r="L119" s="213"/>
      <c r="M119" s="213">
        <v>8785</v>
      </c>
      <c r="N119" s="213"/>
      <c r="O119" s="213">
        <v>29152.639999999999</v>
      </c>
      <c r="P119" s="213">
        <v>2547.1999999999998</v>
      </c>
      <c r="Q119" s="213">
        <v>2414.85</v>
      </c>
      <c r="R119" s="213">
        <v>2480.37</v>
      </c>
      <c r="S119" s="213">
        <v>2501.6999999999998</v>
      </c>
      <c r="T119" s="213"/>
      <c r="U119" s="213"/>
      <c r="V119" s="213">
        <v>6151.92</v>
      </c>
      <c r="W119" s="213"/>
      <c r="X119" s="212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5"/>
      <c r="AJ119" s="215"/>
      <c r="AK119" s="215"/>
      <c r="AL119" s="215"/>
      <c r="AM119" s="215"/>
    </row>
    <row r="120" spans="1:39" s="119" customFormat="1" ht="18" customHeight="1" thickBot="1" x14ac:dyDescent="0.35">
      <c r="A120" s="136" t="s">
        <v>114</v>
      </c>
      <c r="B120" s="130" t="s">
        <v>292</v>
      </c>
      <c r="C120" s="288">
        <v>163</v>
      </c>
      <c r="D120" s="280" t="s">
        <v>400</v>
      </c>
      <c r="E120" s="270">
        <v>0</v>
      </c>
      <c r="F120" s="220">
        <f t="shared" si="5"/>
        <v>0</v>
      </c>
      <c r="G120" s="220">
        <f t="shared" si="6"/>
        <v>0</v>
      </c>
      <c r="H120" s="212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2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5"/>
      <c r="AJ120" s="215"/>
      <c r="AK120" s="215"/>
      <c r="AL120" s="215"/>
      <c r="AM120" s="215"/>
    </row>
    <row r="121" spans="1:39" s="119" customFormat="1" ht="18" customHeight="1" thickBot="1" x14ac:dyDescent="0.35">
      <c r="A121" s="136" t="s">
        <v>115</v>
      </c>
      <c r="B121" s="130" t="s">
        <v>293</v>
      </c>
      <c r="C121" s="288">
        <v>15419</v>
      </c>
      <c r="D121" s="136"/>
      <c r="E121" s="270">
        <f>C121</f>
        <v>15419</v>
      </c>
      <c r="F121" s="220">
        <f t="shared" si="5"/>
        <v>15419</v>
      </c>
      <c r="G121" s="220">
        <f t="shared" si="6"/>
        <v>0</v>
      </c>
      <c r="H121" s="212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>
        <v>15419</v>
      </c>
      <c r="T121" s="213"/>
      <c r="U121" s="213"/>
      <c r="V121" s="213"/>
      <c r="W121" s="213"/>
      <c r="X121" s="212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5"/>
      <c r="AJ121" s="215"/>
      <c r="AK121" s="215"/>
      <c r="AL121" s="215"/>
      <c r="AM121" s="215"/>
    </row>
    <row r="122" spans="1:39" s="119" customFormat="1" ht="18" customHeight="1" thickBot="1" x14ac:dyDescent="0.35">
      <c r="A122" s="136" t="s">
        <v>116</v>
      </c>
      <c r="B122" s="130" t="s">
        <v>294</v>
      </c>
      <c r="C122" s="288">
        <v>10198</v>
      </c>
      <c r="D122" s="280" t="s">
        <v>371</v>
      </c>
      <c r="E122" s="270">
        <v>0</v>
      </c>
      <c r="F122" s="220">
        <f t="shared" si="5"/>
        <v>0</v>
      </c>
      <c r="G122" s="220">
        <f t="shared" si="6"/>
        <v>0</v>
      </c>
      <c r="H122" s="212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2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5"/>
      <c r="AJ122" s="215"/>
      <c r="AK122" s="215"/>
      <c r="AL122" s="215"/>
      <c r="AM122" s="215"/>
    </row>
    <row r="123" spans="1:39" s="119" customFormat="1" ht="18" customHeight="1" thickBot="1" x14ac:dyDescent="0.35">
      <c r="A123" s="136" t="s">
        <v>117</v>
      </c>
      <c r="B123" s="130" t="s">
        <v>295</v>
      </c>
      <c r="C123" s="288">
        <v>1224</v>
      </c>
      <c r="D123" s="271" t="s">
        <v>606</v>
      </c>
      <c r="E123" s="270">
        <v>0</v>
      </c>
      <c r="F123" s="220">
        <f t="shared" si="5"/>
        <v>0</v>
      </c>
      <c r="G123" s="220">
        <f t="shared" si="6"/>
        <v>0</v>
      </c>
      <c r="H123" s="212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2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5"/>
      <c r="AJ123" s="215"/>
      <c r="AK123" s="215"/>
      <c r="AL123" s="215"/>
      <c r="AM123" s="215"/>
    </row>
    <row r="124" spans="1:39" s="119" customFormat="1" ht="18" customHeight="1" thickBot="1" x14ac:dyDescent="0.35">
      <c r="A124" s="136" t="s">
        <v>118</v>
      </c>
      <c r="B124" s="130" t="s">
        <v>296</v>
      </c>
      <c r="C124" s="288">
        <v>3263</v>
      </c>
      <c r="D124" s="271" t="s">
        <v>606</v>
      </c>
      <c r="E124" s="270">
        <v>0</v>
      </c>
      <c r="F124" s="220">
        <f t="shared" si="5"/>
        <v>0</v>
      </c>
      <c r="G124" s="220">
        <f t="shared" si="6"/>
        <v>0</v>
      </c>
      <c r="H124" s="212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2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5"/>
      <c r="AJ124" s="215"/>
      <c r="AK124" s="215"/>
      <c r="AL124" s="215"/>
      <c r="AM124" s="215"/>
    </row>
    <row r="125" spans="1:39" s="119" customFormat="1" ht="18" customHeight="1" thickBot="1" x14ac:dyDescent="0.35">
      <c r="A125" s="136" t="s">
        <v>119</v>
      </c>
      <c r="B125" s="130" t="s">
        <v>297</v>
      </c>
      <c r="C125" s="288">
        <v>62575</v>
      </c>
      <c r="D125" s="136"/>
      <c r="E125" s="270">
        <f>C125</f>
        <v>62575</v>
      </c>
      <c r="F125" s="220">
        <f t="shared" si="5"/>
        <v>13707.63</v>
      </c>
      <c r="G125" s="220">
        <f t="shared" si="6"/>
        <v>48867.37</v>
      </c>
      <c r="H125" s="212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>
        <v>997.14</v>
      </c>
      <c r="S125" s="213">
        <v>8195.57</v>
      </c>
      <c r="T125" s="213">
        <v>4514.92</v>
      </c>
      <c r="U125" s="213"/>
      <c r="V125" s="213"/>
      <c r="W125" s="213"/>
      <c r="X125" s="212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5"/>
      <c r="AJ125" s="215"/>
      <c r="AK125" s="215"/>
      <c r="AL125" s="215"/>
      <c r="AM125" s="215"/>
    </row>
    <row r="126" spans="1:39" s="119" customFormat="1" ht="18" customHeight="1" thickBot="1" x14ac:dyDescent="0.35">
      <c r="A126" s="136" t="s">
        <v>120</v>
      </c>
      <c r="B126" s="130" t="s">
        <v>298</v>
      </c>
      <c r="C126" s="288">
        <v>0</v>
      </c>
      <c r="D126" s="271"/>
      <c r="E126" s="270">
        <v>0</v>
      </c>
      <c r="F126" s="220">
        <f t="shared" si="5"/>
        <v>0</v>
      </c>
      <c r="G126" s="220">
        <f t="shared" si="6"/>
        <v>0</v>
      </c>
      <c r="H126" s="212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2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5"/>
      <c r="AJ126" s="215"/>
      <c r="AK126" s="215"/>
      <c r="AL126" s="215"/>
      <c r="AM126" s="215"/>
    </row>
    <row r="127" spans="1:39" s="119" customFormat="1" ht="19.5" thickBot="1" x14ac:dyDescent="0.35">
      <c r="A127" s="136" t="s">
        <v>121</v>
      </c>
      <c r="B127" s="130" t="s">
        <v>299</v>
      </c>
      <c r="C127" s="288">
        <v>13869</v>
      </c>
      <c r="D127" s="280" t="s">
        <v>371</v>
      </c>
      <c r="E127" s="270">
        <v>0</v>
      </c>
      <c r="F127" s="220">
        <f t="shared" si="5"/>
        <v>0</v>
      </c>
      <c r="G127" s="220">
        <f t="shared" si="6"/>
        <v>0</v>
      </c>
      <c r="H127" s="212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2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5"/>
      <c r="AJ127" s="215"/>
      <c r="AK127" s="215"/>
      <c r="AL127" s="215"/>
      <c r="AM127" s="215"/>
    </row>
    <row r="128" spans="1:39" s="119" customFormat="1" ht="19.5" thickBot="1" x14ac:dyDescent="0.35">
      <c r="A128" s="136" t="s">
        <v>122</v>
      </c>
      <c r="B128" s="130" t="s">
        <v>300</v>
      </c>
      <c r="C128" s="288">
        <v>70325</v>
      </c>
      <c r="D128" s="136"/>
      <c r="E128" s="270">
        <f>C128</f>
        <v>70325</v>
      </c>
      <c r="F128" s="220">
        <f t="shared" si="5"/>
        <v>42780.41</v>
      </c>
      <c r="G128" s="220">
        <f t="shared" si="6"/>
        <v>27544.589999999997</v>
      </c>
      <c r="H128" s="212"/>
      <c r="I128" s="213"/>
      <c r="J128" s="213"/>
      <c r="K128" s="213"/>
      <c r="L128" s="213"/>
      <c r="M128" s="213"/>
      <c r="N128" s="213"/>
      <c r="O128" s="213"/>
      <c r="P128" s="213">
        <v>990.82</v>
      </c>
      <c r="Q128" s="213">
        <v>7781.19</v>
      </c>
      <c r="R128" s="213">
        <v>7600.83</v>
      </c>
      <c r="S128" s="213">
        <v>7894.23</v>
      </c>
      <c r="T128" s="213"/>
      <c r="U128" s="213">
        <f>7294.43+6383.66</f>
        <v>13678.09</v>
      </c>
      <c r="V128" s="213">
        <v>4835.25</v>
      </c>
      <c r="W128" s="213"/>
      <c r="X128" s="212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5"/>
      <c r="AJ128" s="215"/>
      <c r="AK128" s="215"/>
      <c r="AL128" s="215"/>
      <c r="AM128" s="215"/>
    </row>
    <row r="129" spans="1:55" s="119" customFormat="1" ht="19.5" thickBot="1" x14ac:dyDescent="0.35">
      <c r="A129" s="136" t="s">
        <v>123</v>
      </c>
      <c r="B129" s="130" t="s">
        <v>301</v>
      </c>
      <c r="C129" s="288">
        <v>0</v>
      </c>
      <c r="D129" s="136"/>
      <c r="E129" s="270">
        <v>0</v>
      </c>
      <c r="F129" s="220">
        <f t="shared" si="5"/>
        <v>0</v>
      </c>
      <c r="G129" s="220">
        <f t="shared" si="6"/>
        <v>0</v>
      </c>
      <c r="H129" s="212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2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5"/>
      <c r="AJ129" s="215"/>
      <c r="AK129" s="215"/>
      <c r="AL129" s="215"/>
      <c r="AM129" s="215"/>
    </row>
    <row r="130" spans="1:55" s="119" customFormat="1" ht="19.5" thickBot="1" x14ac:dyDescent="0.35">
      <c r="A130" s="136" t="s">
        <v>124</v>
      </c>
      <c r="B130" s="130" t="s">
        <v>302</v>
      </c>
      <c r="C130" s="288">
        <v>5956</v>
      </c>
      <c r="D130" s="280" t="s">
        <v>371</v>
      </c>
      <c r="E130" s="270">
        <v>0</v>
      </c>
      <c r="F130" s="220">
        <f t="shared" si="5"/>
        <v>0</v>
      </c>
      <c r="G130" s="220">
        <f t="shared" si="6"/>
        <v>0</v>
      </c>
      <c r="H130" s="212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2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5"/>
      <c r="AJ130" s="215"/>
      <c r="AK130" s="215"/>
      <c r="AL130" s="215"/>
      <c r="AM130" s="215"/>
    </row>
    <row r="131" spans="1:55" s="119" customFormat="1" ht="19.5" thickBot="1" x14ac:dyDescent="0.35">
      <c r="A131" s="136" t="s">
        <v>125</v>
      </c>
      <c r="B131" s="130" t="s">
        <v>303</v>
      </c>
      <c r="C131" s="288">
        <v>3916</v>
      </c>
      <c r="D131" s="280" t="s">
        <v>401</v>
      </c>
      <c r="E131" s="270">
        <v>0</v>
      </c>
      <c r="F131" s="220">
        <f t="shared" si="5"/>
        <v>0</v>
      </c>
      <c r="G131" s="220">
        <f t="shared" si="6"/>
        <v>0</v>
      </c>
      <c r="H131" s="212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2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5"/>
      <c r="AJ131" s="215"/>
      <c r="AK131" s="215"/>
      <c r="AL131" s="215"/>
      <c r="AM131" s="215"/>
    </row>
    <row r="132" spans="1:55" s="119" customFormat="1" ht="19.5" thickBot="1" x14ac:dyDescent="0.35">
      <c r="A132" s="136" t="s">
        <v>126</v>
      </c>
      <c r="B132" s="130" t="s">
        <v>304</v>
      </c>
      <c r="C132" s="288">
        <v>3671</v>
      </c>
      <c r="D132" s="280" t="s">
        <v>401</v>
      </c>
      <c r="E132" s="270">
        <v>0</v>
      </c>
      <c r="F132" s="220">
        <f t="shared" si="5"/>
        <v>0</v>
      </c>
      <c r="G132" s="220">
        <f t="shared" si="6"/>
        <v>0</v>
      </c>
      <c r="H132" s="212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2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5"/>
      <c r="AJ132" s="215"/>
      <c r="AK132" s="215"/>
      <c r="AL132" s="215"/>
      <c r="AM132" s="215"/>
    </row>
    <row r="133" spans="1:55" s="119" customFormat="1" ht="19.5" thickBot="1" x14ac:dyDescent="0.35">
      <c r="A133" s="136" t="s">
        <v>127</v>
      </c>
      <c r="B133" s="130" t="s">
        <v>305</v>
      </c>
      <c r="C133" s="288">
        <v>1632</v>
      </c>
      <c r="D133" s="280" t="s">
        <v>401</v>
      </c>
      <c r="E133" s="270">
        <v>0</v>
      </c>
      <c r="F133" s="220">
        <f t="shared" si="5"/>
        <v>0</v>
      </c>
      <c r="G133" s="220">
        <f t="shared" si="6"/>
        <v>0</v>
      </c>
      <c r="H133" s="212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2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5"/>
      <c r="AJ133" s="215"/>
      <c r="AK133" s="215"/>
      <c r="AL133" s="215"/>
      <c r="AM133" s="215"/>
    </row>
    <row r="134" spans="1:55" s="119" customFormat="1" ht="19.5" thickBot="1" x14ac:dyDescent="0.35">
      <c r="A134" s="136" t="s">
        <v>128</v>
      </c>
      <c r="B134" s="130" t="s">
        <v>306</v>
      </c>
      <c r="C134" s="288">
        <v>408</v>
      </c>
      <c r="D134" s="271" t="s">
        <v>606</v>
      </c>
      <c r="E134" s="270">
        <v>0</v>
      </c>
      <c r="F134" s="220">
        <f t="shared" si="5"/>
        <v>0</v>
      </c>
      <c r="G134" s="220">
        <f t="shared" si="6"/>
        <v>0</v>
      </c>
      <c r="H134" s="212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2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5"/>
      <c r="AJ134" s="215"/>
      <c r="AK134" s="215"/>
      <c r="AL134" s="215"/>
      <c r="AM134" s="215"/>
    </row>
    <row r="135" spans="1:55" s="3" customFormat="1" ht="19.5" thickBot="1" x14ac:dyDescent="0.35">
      <c r="A135" s="136" t="s">
        <v>129</v>
      </c>
      <c r="B135" s="130" t="s">
        <v>307</v>
      </c>
      <c r="C135" s="288">
        <v>82</v>
      </c>
      <c r="D135" s="271" t="s">
        <v>606</v>
      </c>
      <c r="E135" s="270">
        <v>0</v>
      </c>
      <c r="F135" s="220">
        <f t="shared" si="5"/>
        <v>0</v>
      </c>
      <c r="G135" s="220">
        <f t="shared" si="6"/>
        <v>0</v>
      </c>
      <c r="H135" s="216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216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91"/>
      <c r="AJ135" s="191"/>
      <c r="AK135" s="191"/>
      <c r="AL135" s="191"/>
      <c r="AM135" s="191"/>
    </row>
    <row r="136" spans="1:55" ht="19.5" thickBot="1" x14ac:dyDescent="0.35">
      <c r="A136" s="136" t="s">
        <v>130</v>
      </c>
      <c r="B136" s="130" t="s">
        <v>308</v>
      </c>
      <c r="C136" s="288">
        <v>0</v>
      </c>
      <c r="D136" s="136"/>
      <c r="E136" s="270">
        <v>0</v>
      </c>
      <c r="F136" s="220">
        <f t="shared" si="5"/>
        <v>0</v>
      </c>
      <c r="G136" s="220">
        <f t="shared" si="6"/>
        <v>0</v>
      </c>
      <c r="H136" s="216"/>
      <c r="I136" s="216"/>
      <c r="J136" s="216"/>
      <c r="K136" s="216"/>
      <c r="L136" s="216"/>
      <c r="M136" s="216"/>
      <c r="N136" s="216"/>
      <c r="O136" s="216"/>
      <c r="P136" s="216"/>
      <c r="Q136" s="202"/>
      <c r="R136" s="202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</row>
    <row r="137" spans="1:55" ht="16.5" thickBot="1" x14ac:dyDescent="0.3">
      <c r="A137" s="136" t="s">
        <v>131</v>
      </c>
      <c r="B137" s="130" t="s">
        <v>309</v>
      </c>
      <c r="C137" s="288">
        <v>1061</v>
      </c>
      <c r="D137" s="271" t="s">
        <v>606</v>
      </c>
      <c r="E137" s="270">
        <v>0</v>
      </c>
      <c r="F137" s="220">
        <f t="shared" si="5"/>
        <v>0</v>
      </c>
      <c r="G137" s="220">
        <f t="shared" si="6"/>
        <v>0</v>
      </c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4"/>
      <c r="AJ137" s="224"/>
      <c r="AK137" s="224"/>
      <c r="AL137" s="224"/>
      <c r="AM137" s="224"/>
    </row>
    <row r="138" spans="1:55" ht="16.5" thickBot="1" x14ac:dyDescent="0.3">
      <c r="A138" s="136" t="s">
        <v>132</v>
      </c>
      <c r="B138" s="130" t="s">
        <v>310</v>
      </c>
      <c r="C138" s="288">
        <v>816</v>
      </c>
      <c r="D138" s="271" t="s">
        <v>606</v>
      </c>
      <c r="E138" s="270">
        <v>0</v>
      </c>
      <c r="F138" s="220">
        <f t="shared" si="5"/>
        <v>0</v>
      </c>
      <c r="G138" s="220">
        <f t="shared" si="6"/>
        <v>0</v>
      </c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4"/>
      <c r="AJ138" s="224"/>
      <c r="AK138" s="224"/>
      <c r="AL138" s="224"/>
      <c r="AM138" s="224"/>
    </row>
    <row r="139" spans="1:55" ht="16.5" thickBot="1" x14ac:dyDescent="0.3">
      <c r="A139" s="136" t="s">
        <v>133</v>
      </c>
      <c r="B139" s="130" t="s">
        <v>311</v>
      </c>
      <c r="C139" s="288">
        <v>326</v>
      </c>
      <c r="D139" s="271" t="s">
        <v>606</v>
      </c>
      <c r="E139" s="270">
        <v>0</v>
      </c>
      <c r="F139" s="220">
        <f t="shared" si="5"/>
        <v>0</v>
      </c>
      <c r="G139" s="220">
        <f t="shared" si="6"/>
        <v>0</v>
      </c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4"/>
      <c r="AJ139" s="224"/>
      <c r="AK139" s="224"/>
      <c r="AL139" s="224"/>
      <c r="AM139" s="224"/>
    </row>
    <row r="140" spans="1:55" ht="16.5" thickBot="1" x14ac:dyDescent="0.3">
      <c r="A140" s="136" t="s">
        <v>134</v>
      </c>
      <c r="B140" s="130" t="s">
        <v>312</v>
      </c>
      <c r="C140" s="288">
        <v>571</v>
      </c>
      <c r="D140" s="271" t="s">
        <v>606</v>
      </c>
      <c r="E140" s="270">
        <v>0</v>
      </c>
      <c r="F140" s="220">
        <f t="shared" si="5"/>
        <v>0</v>
      </c>
      <c r="G140" s="220">
        <f t="shared" si="6"/>
        <v>0</v>
      </c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4"/>
      <c r="AJ140" s="224"/>
      <c r="AK140" s="224"/>
      <c r="AL140" s="224"/>
      <c r="AM140" s="224"/>
    </row>
    <row r="141" spans="1:55" ht="16.5" thickBot="1" x14ac:dyDescent="0.3">
      <c r="A141" s="136" t="s">
        <v>135</v>
      </c>
      <c r="B141" s="130" t="s">
        <v>313</v>
      </c>
      <c r="C141" s="288">
        <v>10035</v>
      </c>
      <c r="D141" s="280" t="s">
        <v>372</v>
      </c>
      <c r="E141" s="270">
        <v>0</v>
      </c>
      <c r="F141" s="220">
        <f t="shared" ref="F141:F196" si="9">SUM(H141:AK141)</f>
        <v>0</v>
      </c>
      <c r="G141" s="220">
        <f t="shared" ref="G141:G196" si="10">E141-(F141+AL141+AM141)</f>
        <v>0</v>
      </c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4"/>
      <c r="AJ141" s="224"/>
      <c r="AK141" s="224"/>
      <c r="AL141" s="224"/>
      <c r="AM141" s="224"/>
    </row>
    <row r="142" spans="1:55" ht="16.5" thickBot="1" x14ac:dyDescent="0.3">
      <c r="A142" s="136" t="s">
        <v>136</v>
      </c>
      <c r="B142" s="130" t="s">
        <v>314</v>
      </c>
      <c r="C142" s="288">
        <v>734</v>
      </c>
      <c r="D142" s="271" t="s">
        <v>606</v>
      </c>
      <c r="E142" s="270">
        <v>0</v>
      </c>
      <c r="F142" s="220">
        <f t="shared" si="9"/>
        <v>0</v>
      </c>
      <c r="G142" s="220">
        <f t="shared" si="10"/>
        <v>0</v>
      </c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4"/>
      <c r="AJ142" s="224"/>
      <c r="AK142" s="224"/>
      <c r="AL142" s="224"/>
      <c r="AM142" s="224"/>
    </row>
    <row r="143" spans="1:55" ht="16.5" thickBot="1" x14ac:dyDescent="0.3">
      <c r="A143" s="136" t="s">
        <v>137</v>
      </c>
      <c r="B143" s="130" t="s">
        <v>315</v>
      </c>
      <c r="C143" s="288">
        <v>6853</v>
      </c>
      <c r="D143" s="271" t="s">
        <v>606</v>
      </c>
      <c r="E143" s="270">
        <v>0</v>
      </c>
      <c r="F143" s="220">
        <f t="shared" si="9"/>
        <v>0</v>
      </c>
      <c r="G143" s="220">
        <f t="shared" si="10"/>
        <v>0</v>
      </c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4"/>
      <c r="AJ143" s="224"/>
      <c r="AK143" s="224"/>
      <c r="AL143" s="224"/>
      <c r="AM143" s="224"/>
    </row>
    <row r="144" spans="1:55" ht="16.5" thickBot="1" x14ac:dyDescent="0.3">
      <c r="A144" s="136" t="s">
        <v>138</v>
      </c>
      <c r="B144" s="130" t="s">
        <v>316</v>
      </c>
      <c r="C144" s="288">
        <v>1795</v>
      </c>
      <c r="D144" s="280" t="s">
        <v>401</v>
      </c>
      <c r="E144" s="270">
        <v>0</v>
      </c>
      <c r="F144" s="220">
        <f t="shared" si="9"/>
        <v>0</v>
      </c>
      <c r="G144" s="220">
        <f t="shared" si="10"/>
        <v>0</v>
      </c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4"/>
      <c r="AJ144" s="224"/>
      <c r="AK144" s="224"/>
      <c r="AL144" s="224"/>
      <c r="AM144" s="224"/>
    </row>
    <row r="145" spans="1:39" ht="16.5" thickBot="1" x14ac:dyDescent="0.3">
      <c r="A145" s="136" t="s">
        <v>139</v>
      </c>
      <c r="B145" s="130" t="s">
        <v>317</v>
      </c>
      <c r="C145" s="288">
        <v>8566</v>
      </c>
      <c r="D145" s="280" t="s">
        <v>401</v>
      </c>
      <c r="E145" s="270">
        <v>0</v>
      </c>
      <c r="F145" s="220">
        <f t="shared" si="9"/>
        <v>0</v>
      </c>
      <c r="G145" s="220">
        <f t="shared" si="10"/>
        <v>0</v>
      </c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4"/>
      <c r="AJ145" s="224"/>
      <c r="AK145" s="224"/>
      <c r="AL145" s="224"/>
      <c r="AM145" s="224"/>
    </row>
    <row r="146" spans="1:39" ht="16.5" thickBot="1" x14ac:dyDescent="0.3">
      <c r="A146" s="136" t="s">
        <v>140</v>
      </c>
      <c r="B146" s="130" t="s">
        <v>318</v>
      </c>
      <c r="C146" s="288">
        <v>4650</v>
      </c>
      <c r="D146" s="280" t="s">
        <v>401</v>
      </c>
      <c r="E146" s="270">
        <v>0</v>
      </c>
      <c r="F146" s="220">
        <f t="shared" si="9"/>
        <v>0</v>
      </c>
      <c r="G146" s="220">
        <f t="shared" si="10"/>
        <v>0</v>
      </c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4"/>
      <c r="AJ146" s="224"/>
      <c r="AK146" s="224"/>
      <c r="AL146" s="224"/>
      <c r="AM146" s="224"/>
    </row>
    <row r="147" spans="1:39" ht="16.5" thickBot="1" x14ac:dyDescent="0.3">
      <c r="A147" s="136" t="s">
        <v>141</v>
      </c>
      <c r="B147" s="130" t="s">
        <v>319</v>
      </c>
      <c r="C147" s="288">
        <v>82</v>
      </c>
      <c r="D147" s="280" t="s">
        <v>401</v>
      </c>
      <c r="E147" s="270">
        <v>0</v>
      </c>
      <c r="F147" s="220">
        <f t="shared" si="9"/>
        <v>0</v>
      </c>
      <c r="G147" s="220">
        <f t="shared" si="10"/>
        <v>0</v>
      </c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302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4"/>
      <c r="AJ147" s="224"/>
      <c r="AK147" s="224"/>
      <c r="AL147" s="224"/>
      <c r="AM147" s="224"/>
    </row>
    <row r="148" spans="1:39" ht="16.5" thickBot="1" x14ac:dyDescent="0.3">
      <c r="A148" s="136" t="s">
        <v>142</v>
      </c>
      <c r="B148" s="130" t="s">
        <v>320</v>
      </c>
      <c r="C148" s="288">
        <v>65186</v>
      </c>
      <c r="D148" s="136"/>
      <c r="E148" s="270">
        <f>C148</f>
        <v>65186</v>
      </c>
      <c r="F148" s="220">
        <f t="shared" si="9"/>
        <v>52931.83</v>
      </c>
      <c r="G148" s="220">
        <f t="shared" si="10"/>
        <v>12254.169999999998</v>
      </c>
      <c r="H148" s="223"/>
      <c r="I148" s="223"/>
      <c r="J148" s="223"/>
      <c r="K148" s="223"/>
      <c r="L148" s="223">
        <v>6777.72</v>
      </c>
      <c r="M148" s="223">
        <v>5840.9</v>
      </c>
      <c r="N148" s="223"/>
      <c r="O148" s="223">
        <v>3598.54</v>
      </c>
      <c r="P148" s="223">
        <v>1147.23</v>
      </c>
      <c r="Q148" s="223">
        <v>1376.18</v>
      </c>
      <c r="R148" s="223">
        <v>1530.66</v>
      </c>
      <c r="S148" s="223">
        <v>19381.52</v>
      </c>
      <c r="T148" s="223"/>
      <c r="U148" s="223">
        <v>13279.08</v>
      </c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4"/>
      <c r="AJ148" s="224"/>
      <c r="AK148" s="224"/>
      <c r="AL148" s="224"/>
      <c r="AM148" s="224"/>
    </row>
    <row r="149" spans="1:39" ht="16.5" thickBot="1" x14ac:dyDescent="0.3">
      <c r="A149" s="136" t="s">
        <v>143</v>
      </c>
      <c r="B149" s="130" t="s">
        <v>321</v>
      </c>
      <c r="C149" s="288">
        <v>25128</v>
      </c>
      <c r="D149" s="136"/>
      <c r="E149" s="270">
        <f>C149</f>
        <v>25128</v>
      </c>
      <c r="F149" s="220">
        <f t="shared" si="9"/>
        <v>24985.9</v>
      </c>
      <c r="G149" s="220">
        <f t="shared" si="10"/>
        <v>142.09999999999854</v>
      </c>
      <c r="H149" s="223"/>
      <c r="I149" s="223"/>
      <c r="J149" s="223"/>
      <c r="K149" s="223"/>
      <c r="L149" s="223"/>
      <c r="M149" s="223"/>
      <c r="N149" s="223"/>
      <c r="O149" s="223"/>
      <c r="P149" s="223">
        <v>7881.22</v>
      </c>
      <c r="Q149" s="223">
        <v>3549.04</v>
      </c>
      <c r="R149" s="223">
        <v>8207.42</v>
      </c>
      <c r="S149" s="223">
        <f>870.31+4477.91</f>
        <v>5348.2199999999993</v>
      </c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4"/>
      <c r="AJ149" s="224"/>
      <c r="AK149" s="224"/>
      <c r="AL149" s="224"/>
      <c r="AM149" s="224"/>
    </row>
    <row r="150" spans="1:39" ht="16.5" thickBot="1" x14ac:dyDescent="0.3">
      <c r="A150" s="136" t="s">
        <v>144</v>
      </c>
      <c r="B150" s="130" t="s">
        <v>322</v>
      </c>
      <c r="C150" s="288">
        <v>2774</v>
      </c>
      <c r="D150" s="280" t="s">
        <v>373</v>
      </c>
      <c r="E150" s="270">
        <v>0</v>
      </c>
      <c r="F150" s="220">
        <f t="shared" si="9"/>
        <v>0</v>
      </c>
      <c r="G150" s="220">
        <f t="shared" si="10"/>
        <v>0</v>
      </c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4"/>
      <c r="AJ150" s="224"/>
      <c r="AK150" s="224"/>
      <c r="AL150" s="224"/>
      <c r="AM150" s="224"/>
    </row>
    <row r="151" spans="1:39" ht="16.5" thickBot="1" x14ac:dyDescent="0.3">
      <c r="A151" s="136" t="s">
        <v>145</v>
      </c>
      <c r="B151" s="130" t="s">
        <v>323</v>
      </c>
      <c r="C151" s="288">
        <v>326</v>
      </c>
      <c r="D151" s="271" t="s">
        <v>606</v>
      </c>
      <c r="E151" s="270">
        <v>0</v>
      </c>
      <c r="F151" s="220">
        <f t="shared" si="9"/>
        <v>0</v>
      </c>
      <c r="G151" s="220">
        <f t="shared" si="10"/>
        <v>0</v>
      </c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4"/>
      <c r="AJ151" s="224"/>
      <c r="AK151" s="224"/>
      <c r="AL151" s="224"/>
      <c r="AM151" s="224"/>
    </row>
    <row r="152" spans="1:39" ht="16.5" thickBot="1" x14ac:dyDescent="0.3">
      <c r="A152" s="136" t="s">
        <v>146</v>
      </c>
      <c r="B152" s="130" t="s">
        <v>324</v>
      </c>
      <c r="C152" s="288">
        <v>816</v>
      </c>
      <c r="D152" s="280" t="s">
        <v>400</v>
      </c>
      <c r="E152" s="270">
        <v>0</v>
      </c>
      <c r="F152" s="220">
        <f t="shared" si="9"/>
        <v>0</v>
      </c>
      <c r="G152" s="220">
        <f t="shared" si="10"/>
        <v>0</v>
      </c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4"/>
      <c r="AJ152" s="224"/>
      <c r="AK152" s="224"/>
      <c r="AL152" s="224"/>
      <c r="AM152" s="224"/>
    </row>
    <row r="153" spans="1:39" ht="16.5" thickBot="1" x14ac:dyDescent="0.3">
      <c r="A153" s="136" t="s">
        <v>147</v>
      </c>
      <c r="B153" s="130" t="s">
        <v>325</v>
      </c>
      <c r="C153" s="288">
        <v>6608</v>
      </c>
      <c r="D153" s="280" t="s">
        <v>400</v>
      </c>
      <c r="E153" s="270">
        <v>0</v>
      </c>
      <c r="F153" s="220">
        <f t="shared" si="9"/>
        <v>0</v>
      </c>
      <c r="G153" s="220">
        <f t="shared" si="10"/>
        <v>0</v>
      </c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4"/>
      <c r="AJ153" s="224"/>
      <c r="AK153" s="224"/>
      <c r="AL153" s="224"/>
      <c r="AM153" s="224"/>
    </row>
    <row r="154" spans="1:39" ht="16.5" thickBot="1" x14ac:dyDescent="0.3">
      <c r="A154" s="136" t="s">
        <v>148</v>
      </c>
      <c r="B154" s="130" t="s">
        <v>326</v>
      </c>
      <c r="C154" s="288">
        <v>326</v>
      </c>
      <c r="D154" s="280" t="s">
        <v>400</v>
      </c>
      <c r="E154" s="270">
        <v>0</v>
      </c>
      <c r="F154" s="220">
        <f t="shared" si="9"/>
        <v>0</v>
      </c>
      <c r="G154" s="220">
        <f t="shared" si="10"/>
        <v>0</v>
      </c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4"/>
      <c r="AJ154" s="224"/>
      <c r="AK154" s="224"/>
      <c r="AL154" s="224"/>
      <c r="AM154" s="224"/>
    </row>
    <row r="155" spans="1:39" ht="16.5" thickBot="1" x14ac:dyDescent="0.3">
      <c r="A155" s="136" t="s">
        <v>149</v>
      </c>
      <c r="B155" s="130" t="s">
        <v>327</v>
      </c>
      <c r="C155" s="288">
        <v>897</v>
      </c>
      <c r="D155" s="280" t="s">
        <v>150</v>
      </c>
      <c r="E155" s="270">
        <v>0</v>
      </c>
      <c r="F155" s="220">
        <f t="shared" si="9"/>
        <v>0</v>
      </c>
      <c r="G155" s="220">
        <f t="shared" si="10"/>
        <v>0</v>
      </c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4"/>
      <c r="AJ155" s="224"/>
      <c r="AK155" s="224"/>
      <c r="AL155" s="224"/>
      <c r="AM155" s="224"/>
    </row>
    <row r="156" spans="1:39" ht="16.5" thickBot="1" x14ac:dyDescent="0.3">
      <c r="A156" s="136" t="s">
        <v>150</v>
      </c>
      <c r="B156" s="130" t="s">
        <v>328</v>
      </c>
      <c r="C156" s="288">
        <v>16806</v>
      </c>
      <c r="D156" s="136"/>
      <c r="E156" s="270">
        <f>C156+C155+C157</f>
        <v>18437</v>
      </c>
      <c r="F156" s="220">
        <f t="shared" si="9"/>
        <v>17540</v>
      </c>
      <c r="G156" s="220">
        <f t="shared" si="10"/>
        <v>897</v>
      </c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>
        <f>734+14364.82</f>
        <v>15098.82</v>
      </c>
      <c r="T156" s="223"/>
      <c r="U156" s="223">
        <v>2441.1799999999998</v>
      </c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4"/>
      <c r="AJ156" s="224"/>
      <c r="AK156" s="224"/>
      <c r="AL156" s="224"/>
      <c r="AM156" s="224"/>
    </row>
    <row r="157" spans="1:39" ht="16.5" thickBot="1" x14ac:dyDescent="0.3">
      <c r="A157" s="136" t="s">
        <v>151</v>
      </c>
      <c r="B157" s="130" t="s">
        <v>329</v>
      </c>
      <c r="C157" s="288">
        <v>734</v>
      </c>
      <c r="D157" s="280" t="s">
        <v>150</v>
      </c>
      <c r="E157" s="270">
        <v>0</v>
      </c>
      <c r="F157" s="220">
        <f t="shared" si="9"/>
        <v>0</v>
      </c>
      <c r="G157" s="220">
        <f t="shared" si="10"/>
        <v>0</v>
      </c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4"/>
      <c r="AJ157" s="224"/>
      <c r="AK157" s="224"/>
      <c r="AL157" s="224"/>
      <c r="AM157" s="224"/>
    </row>
    <row r="158" spans="1:39" ht="16.5" thickBot="1" x14ac:dyDescent="0.3">
      <c r="A158" s="136" t="s">
        <v>152</v>
      </c>
      <c r="B158" s="130" t="s">
        <v>330</v>
      </c>
      <c r="C158" s="288">
        <v>82</v>
      </c>
      <c r="D158" s="280" t="s">
        <v>400</v>
      </c>
      <c r="E158" s="270">
        <v>0</v>
      </c>
      <c r="F158" s="220">
        <f t="shared" si="9"/>
        <v>0</v>
      </c>
      <c r="G158" s="220">
        <f t="shared" si="10"/>
        <v>0</v>
      </c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4"/>
      <c r="AJ158" s="224"/>
      <c r="AK158" s="224"/>
      <c r="AL158" s="224"/>
      <c r="AM158" s="224"/>
    </row>
    <row r="159" spans="1:39" ht="16.5" thickBot="1" x14ac:dyDescent="0.3">
      <c r="A159" s="136" t="s">
        <v>153</v>
      </c>
      <c r="B159" s="130" t="s">
        <v>331</v>
      </c>
      <c r="C159" s="288">
        <v>326</v>
      </c>
      <c r="D159" s="280" t="s">
        <v>400</v>
      </c>
      <c r="E159" s="270">
        <v>0</v>
      </c>
      <c r="F159" s="220">
        <f t="shared" si="9"/>
        <v>0</v>
      </c>
      <c r="G159" s="220">
        <f t="shared" si="10"/>
        <v>0</v>
      </c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4"/>
      <c r="AJ159" s="224"/>
      <c r="AK159" s="224"/>
      <c r="AL159" s="224"/>
      <c r="AM159" s="224"/>
    </row>
    <row r="160" spans="1:39" ht="16.5" thickBot="1" x14ac:dyDescent="0.3">
      <c r="A160" s="136" t="s">
        <v>154</v>
      </c>
      <c r="B160" s="130" t="s">
        <v>332</v>
      </c>
      <c r="C160" s="288">
        <v>18683</v>
      </c>
      <c r="D160" s="136"/>
      <c r="E160" s="270">
        <f>C160</f>
        <v>18683</v>
      </c>
      <c r="F160" s="220">
        <f t="shared" si="9"/>
        <v>18390.46</v>
      </c>
      <c r="G160" s="220">
        <f t="shared" si="10"/>
        <v>292.54000000000087</v>
      </c>
      <c r="H160" s="223"/>
      <c r="I160" s="223"/>
      <c r="J160" s="223"/>
      <c r="K160" s="223"/>
      <c r="L160" s="223">
        <v>11029.26</v>
      </c>
      <c r="M160" s="223"/>
      <c r="N160" s="223"/>
      <c r="O160" s="223">
        <v>1691.71</v>
      </c>
      <c r="P160" s="223"/>
      <c r="Q160" s="223">
        <v>3818.35</v>
      </c>
      <c r="R160" s="223"/>
      <c r="S160" s="223"/>
      <c r="T160" s="223"/>
      <c r="U160" s="223">
        <v>1851.14</v>
      </c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4"/>
      <c r="AJ160" s="224"/>
      <c r="AK160" s="224"/>
      <c r="AL160" s="224"/>
      <c r="AM160" s="224"/>
    </row>
    <row r="161" spans="1:39" ht="16.5" thickBot="1" x14ac:dyDescent="0.3">
      <c r="A161" s="136" t="s">
        <v>155</v>
      </c>
      <c r="B161" s="130" t="s">
        <v>333</v>
      </c>
      <c r="C161" s="288">
        <v>1305</v>
      </c>
      <c r="D161" s="271" t="s">
        <v>606</v>
      </c>
      <c r="E161" s="270">
        <v>0</v>
      </c>
      <c r="F161" s="220">
        <f t="shared" si="9"/>
        <v>0</v>
      </c>
      <c r="G161" s="220">
        <f t="shared" si="10"/>
        <v>0</v>
      </c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4"/>
      <c r="AJ161" s="224"/>
      <c r="AK161" s="224"/>
      <c r="AL161" s="224"/>
      <c r="AM161" s="224"/>
    </row>
    <row r="162" spans="1:39" ht="16.5" thickBot="1" x14ac:dyDescent="0.3">
      <c r="A162" s="136" t="s">
        <v>156</v>
      </c>
      <c r="B162" s="130" t="s">
        <v>334</v>
      </c>
      <c r="C162" s="288">
        <v>10851</v>
      </c>
      <c r="D162" s="280"/>
      <c r="E162" s="270">
        <f>C162+C28</f>
        <v>16562</v>
      </c>
      <c r="F162" s="220">
        <f t="shared" si="9"/>
        <v>15890.5</v>
      </c>
      <c r="G162" s="220">
        <f t="shared" si="10"/>
        <v>671.5</v>
      </c>
      <c r="H162" s="223"/>
      <c r="I162" s="223"/>
      <c r="J162" s="223"/>
      <c r="K162" s="223"/>
      <c r="L162" s="223"/>
      <c r="M162" s="223"/>
      <c r="N162" s="223"/>
      <c r="O162" s="223"/>
      <c r="P162" s="223"/>
      <c r="Q162" s="223">
        <v>5754</v>
      </c>
      <c r="R162" s="223"/>
      <c r="S162" s="223">
        <f>2781+4424.5</f>
        <v>7205.5</v>
      </c>
      <c r="T162" s="223">
        <v>2931</v>
      </c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4"/>
      <c r="AJ162" s="224"/>
      <c r="AK162" s="224"/>
      <c r="AL162" s="224"/>
      <c r="AM162" s="224"/>
    </row>
    <row r="163" spans="1:39" ht="16.5" thickBot="1" x14ac:dyDescent="0.3">
      <c r="A163" s="136" t="s">
        <v>157</v>
      </c>
      <c r="B163" s="130" t="s">
        <v>335</v>
      </c>
      <c r="C163" s="288">
        <v>163</v>
      </c>
      <c r="D163" s="271" t="s">
        <v>606</v>
      </c>
      <c r="E163" s="270">
        <v>0</v>
      </c>
      <c r="F163" s="220">
        <f t="shared" si="9"/>
        <v>0</v>
      </c>
      <c r="G163" s="220">
        <f t="shared" si="10"/>
        <v>0</v>
      </c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4"/>
      <c r="AJ163" s="224"/>
      <c r="AK163" s="224"/>
      <c r="AL163" s="224"/>
      <c r="AM163" s="224"/>
    </row>
    <row r="164" spans="1:39" ht="16.5" thickBot="1" x14ac:dyDescent="0.3">
      <c r="A164" s="136" t="s">
        <v>158</v>
      </c>
      <c r="B164" s="130" t="s">
        <v>336</v>
      </c>
      <c r="C164" s="288">
        <v>4079</v>
      </c>
      <c r="D164" s="280" t="s">
        <v>372</v>
      </c>
      <c r="E164" s="270">
        <v>0</v>
      </c>
      <c r="F164" s="220">
        <f t="shared" si="9"/>
        <v>0</v>
      </c>
      <c r="G164" s="220">
        <f t="shared" si="10"/>
        <v>0</v>
      </c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4"/>
      <c r="AJ164" s="224"/>
      <c r="AK164" s="224"/>
      <c r="AL164" s="224"/>
      <c r="AM164" s="224"/>
    </row>
    <row r="165" spans="1:39" ht="16.5" thickBot="1" x14ac:dyDescent="0.3">
      <c r="A165" s="136" t="s">
        <v>159</v>
      </c>
      <c r="B165" s="130" t="s">
        <v>599</v>
      </c>
      <c r="C165" s="288">
        <v>0</v>
      </c>
      <c r="D165" s="136"/>
      <c r="E165" s="270">
        <v>0</v>
      </c>
      <c r="F165" s="220">
        <f t="shared" si="9"/>
        <v>0</v>
      </c>
      <c r="G165" s="220">
        <f t="shared" si="10"/>
        <v>0</v>
      </c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4"/>
      <c r="AJ165" s="224"/>
      <c r="AK165" s="224"/>
      <c r="AL165" s="224"/>
      <c r="AM165" s="224"/>
    </row>
    <row r="166" spans="1:39" ht="16.5" thickBot="1" x14ac:dyDescent="0.3">
      <c r="A166" s="136" t="s">
        <v>160</v>
      </c>
      <c r="B166" s="130" t="s">
        <v>337</v>
      </c>
      <c r="C166" s="288">
        <v>72039</v>
      </c>
      <c r="D166" s="136"/>
      <c r="E166" s="270">
        <f>C166</f>
        <v>72039</v>
      </c>
      <c r="F166" s="220">
        <f t="shared" si="9"/>
        <v>53679</v>
      </c>
      <c r="G166" s="220">
        <f t="shared" si="10"/>
        <v>18360</v>
      </c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>
        <v>15369</v>
      </c>
      <c r="S166" s="223">
        <v>34827</v>
      </c>
      <c r="T166" s="223">
        <v>1149</v>
      </c>
      <c r="U166" s="223">
        <v>2334</v>
      </c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4"/>
      <c r="AJ166" s="224"/>
      <c r="AK166" s="224"/>
      <c r="AL166" s="224"/>
      <c r="AM166" s="224"/>
    </row>
    <row r="167" spans="1:39" ht="16.5" thickBot="1" x14ac:dyDescent="0.3">
      <c r="A167" s="136" t="s">
        <v>161</v>
      </c>
      <c r="B167" s="130" t="s">
        <v>338</v>
      </c>
      <c r="C167" s="288">
        <v>0</v>
      </c>
      <c r="D167" s="136"/>
      <c r="E167" s="270">
        <v>0</v>
      </c>
      <c r="F167" s="220">
        <f t="shared" si="9"/>
        <v>0</v>
      </c>
      <c r="G167" s="220">
        <f t="shared" si="10"/>
        <v>0</v>
      </c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4"/>
      <c r="AJ167" s="224"/>
      <c r="AK167" s="224"/>
      <c r="AL167" s="224"/>
      <c r="AM167" s="224"/>
    </row>
    <row r="168" spans="1:39" ht="16.5" thickBot="1" x14ac:dyDescent="0.3">
      <c r="A168" s="136" t="s">
        <v>162</v>
      </c>
      <c r="B168" s="130" t="s">
        <v>339</v>
      </c>
      <c r="C168" s="288">
        <v>3998</v>
      </c>
      <c r="D168" s="280" t="s">
        <v>59</v>
      </c>
      <c r="E168" s="270">
        <v>0</v>
      </c>
      <c r="F168" s="220">
        <f t="shared" si="9"/>
        <v>0</v>
      </c>
      <c r="G168" s="220">
        <f t="shared" si="10"/>
        <v>0</v>
      </c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4"/>
      <c r="AJ168" s="224"/>
      <c r="AK168" s="224"/>
      <c r="AL168" s="224"/>
      <c r="AM168" s="224"/>
    </row>
    <row r="169" spans="1:39" ht="16.5" thickBot="1" x14ac:dyDescent="0.3">
      <c r="A169" s="136" t="s">
        <v>163</v>
      </c>
      <c r="B169" s="130" t="s">
        <v>340</v>
      </c>
      <c r="C169" s="288">
        <v>1305</v>
      </c>
      <c r="D169" s="271" t="s">
        <v>606</v>
      </c>
      <c r="E169" s="270">
        <v>0</v>
      </c>
      <c r="F169" s="220">
        <f t="shared" si="9"/>
        <v>0</v>
      </c>
      <c r="G169" s="220">
        <f t="shared" si="10"/>
        <v>0</v>
      </c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4"/>
      <c r="AJ169" s="224"/>
      <c r="AK169" s="224"/>
      <c r="AL169" s="224"/>
      <c r="AM169" s="224"/>
    </row>
    <row r="170" spans="1:39" ht="16.5" thickBot="1" x14ac:dyDescent="0.3">
      <c r="A170" s="136" t="s">
        <v>164</v>
      </c>
      <c r="B170" s="130" t="s">
        <v>341</v>
      </c>
      <c r="C170" s="288">
        <v>1061</v>
      </c>
      <c r="D170" s="280" t="s">
        <v>370</v>
      </c>
      <c r="E170" s="270">
        <v>0</v>
      </c>
      <c r="F170" s="220">
        <f t="shared" si="9"/>
        <v>0</v>
      </c>
      <c r="G170" s="220">
        <f t="shared" si="10"/>
        <v>0</v>
      </c>
      <c r="H170" s="224"/>
      <c r="I170" s="224"/>
      <c r="J170" s="224"/>
      <c r="K170" s="224"/>
      <c r="L170" s="224"/>
      <c r="M170" s="224"/>
      <c r="N170" s="224"/>
      <c r="O170" s="224"/>
      <c r="P170" s="223"/>
      <c r="Q170" s="223"/>
      <c r="R170" s="223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</row>
    <row r="171" spans="1:39" ht="16.5" thickBot="1" x14ac:dyDescent="0.3">
      <c r="A171" s="136" t="s">
        <v>165</v>
      </c>
      <c r="B171" s="130" t="s">
        <v>342</v>
      </c>
      <c r="C171" s="288">
        <v>0</v>
      </c>
      <c r="D171" s="136"/>
      <c r="E171" s="270">
        <v>0</v>
      </c>
      <c r="F171" s="220">
        <f t="shared" si="9"/>
        <v>0</v>
      </c>
      <c r="G171" s="220">
        <f t="shared" si="10"/>
        <v>0</v>
      </c>
      <c r="H171" s="224"/>
      <c r="I171" s="224"/>
      <c r="J171" s="224"/>
      <c r="K171" s="224"/>
      <c r="L171" s="224"/>
      <c r="M171" s="224"/>
      <c r="N171" s="224"/>
      <c r="O171" s="224"/>
      <c r="P171" s="223"/>
      <c r="Q171" s="223"/>
      <c r="R171" s="223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4"/>
      <c r="AK171" s="224"/>
      <c r="AL171" s="224"/>
      <c r="AM171" s="224"/>
    </row>
    <row r="172" spans="1:39" ht="16.5" thickBot="1" x14ac:dyDescent="0.3">
      <c r="A172" s="136" t="s">
        <v>166</v>
      </c>
      <c r="B172" s="130" t="s">
        <v>343</v>
      </c>
      <c r="C172" s="288">
        <v>979</v>
      </c>
      <c r="D172" s="271" t="s">
        <v>606</v>
      </c>
      <c r="E172" s="270">
        <v>0</v>
      </c>
      <c r="F172" s="220">
        <f t="shared" si="9"/>
        <v>0</v>
      </c>
      <c r="G172" s="220">
        <f t="shared" si="10"/>
        <v>0</v>
      </c>
      <c r="H172" s="224"/>
      <c r="I172" s="224"/>
      <c r="J172" s="224"/>
      <c r="K172" s="224"/>
      <c r="L172" s="224"/>
      <c r="M172" s="224"/>
      <c r="N172" s="224"/>
      <c r="O172" s="224"/>
      <c r="P172" s="223"/>
      <c r="Q172" s="223"/>
      <c r="R172" s="223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</row>
    <row r="173" spans="1:39" ht="16.5" thickBot="1" x14ac:dyDescent="0.3">
      <c r="A173" s="136" t="s">
        <v>167</v>
      </c>
      <c r="B173" s="130" t="s">
        <v>344</v>
      </c>
      <c r="C173" s="288">
        <v>163</v>
      </c>
      <c r="D173" s="280" t="s">
        <v>370</v>
      </c>
      <c r="E173" s="270">
        <v>0</v>
      </c>
      <c r="F173" s="220">
        <f t="shared" si="9"/>
        <v>0</v>
      </c>
      <c r="G173" s="220">
        <f t="shared" si="10"/>
        <v>0</v>
      </c>
      <c r="H173" s="224"/>
      <c r="I173" s="224"/>
      <c r="J173" s="224"/>
      <c r="K173" s="224"/>
      <c r="L173" s="224"/>
      <c r="M173" s="224"/>
      <c r="N173" s="224"/>
      <c r="O173" s="224"/>
      <c r="P173" s="223"/>
      <c r="Q173" s="223"/>
      <c r="R173" s="223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</row>
    <row r="174" spans="1:39" ht="16.5" thickBot="1" x14ac:dyDescent="0.3">
      <c r="A174" s="136" t="s">
        <v>168</v>
      </c>
      <c r="B174" s="130" t="s">
        <v>345</v>
      </c>
      <c r="C174" s="288">
        <v>26433</v>
      </c>
      <c r="D174" s="280" t="s">
        <v>371</v>
      </c>
      <c r="E174" s="270">
        <v>0</v>
      </c>
      <c r="F174" s="220">
        <f t="shared" si="9"/>
        <v>0</v>
      </c>
      <c r="G174" s="220">
        <f t="shared" si="10"/>
        <v>0</v>
      </c>
      <c r="H174" s="224"/>
      <c r="I174" s="224"/>
      <c r="J174" s="224"/>
      <c r="K174" s="224"/>
      <c r="L174" s="224"/>
      <c r="M174" s="224"/>
      <c r="N174" s="224"/>
      <c r="O174" s="224"/>
      <c r="P174" s="223"/>
      <c r="Q174" s="223"/>
      <c r="R174" s="223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</row>
    <row r="175" spans="1:39" ht="16.5" thickBot="1" x14ac:dyDescent="0.3">
      <c r="A175" s="136" t="s">
        <v>169</v>
      </c>
      <c r="B175" s="130" t="s">
        <v>346</v>
      </c>
      <c r="C175" s="288">
        <v>10769</v>
      </c>
      <c r="D175" s="280" t="s">
        <v>371</v>
      </c>
      <c r="E175" s="270">
        <v>0</v>
      </c>
      <c r="F175" s="220">
        <f t="shared" si="9"/>
        <v>0</v>
      </c>
      <c r="G175" s="220">
        <f t="shared" si="10"/>
        <v>0</v>
      </c>
      <c r="H175" s="224"/>
      <c r="I175" s="224"/>
      <c r="J175" s="224"/>
      <c r="K175" s="224"/>
      <c r="L175" s="224"/>
      <c r="M175" s="224"/>
      <c r="N175" s="224"/>
      <c r="O175" s="224"/>
      <c r="P175" s="223"/>
      <c r="Q175" s="223"/>
      <c r="R175" s="223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4"/>
      <c r="AK175" s="224"/>
      <c r="AL175" s="224"/>
      <c r="AM175" s="224"/>
    </row>
    <row r="176" spans="1:39" ht="16.5" thickBot="1" x14ac:dyDescent="0.3">
      <c r="A176" s="136" t="s">
        <v>170</v>
      </c>
      <c r="B176" s="130" t="s">
        <v>600</v>
      </c>
      <c r="C176" s="288">
        <v>34755</v>
      </c>
      <c r="D176" s="136"/>
      <c r="E176" s="270">
        <f>C176</f>
        <v>34755</v>
      </c>
      <c r="F176" s="220">
        <f t="shared" si="9"/>
        <v>34755</v>
      </c>
      <c r="G176" s="220">
        <f t="shared" si="10"/>
        <v>0</v>
      </c>
      <c r="H176" s="224"/>
      <c r="I176" s="224"/>
      <c r="J176" s="224"/>
      <c r="K176" s="224"/>
      <c r="L176" s="224"/>
      <c r="M176" s="224"/>
      <c r="N176" s="224"/>
      <c r="O176" s="224"/>
      <c r="P176" s="223"/>
      <c r="Q176" s="223">
        <v>34755</v>
      </c>
      <c r="R176" s="223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4"/>
      <c r="AK176" s="224"/>
      <c r="AL176" s="224"/>
      <c r="AM176" s="224"/>
    </row>
    <row r="177" spans="1:39" ht="16.5" thickBot="1" x14ac:dyDescent="0.3">
      <c r="A177" s="136" t="s">
        <v>171</v>
      </c>
      <c r="B177" s="130" t="s">
        <v>347</v>
      </c>
      <c r="C177" s="288">
        <v>13869</v>
      </c>
      <c r="D177" s="280" t="s">
        <v>371</v>
      </c>
      <c r="E177" s="270">
        <v>0</v>
      </c>
      <c r="F177" s="220">
        <f t="shared" si="9"/>
        <v>0</v>
      </c>
      <c r="G177" s="220">
        <f t="shared" si="10"/>
        <v>0</v>
      </c>
      <c r="H177" s="224"/>
      <c r="I177" s="224"/>
      <c r="J177" s="224"/>
      <c r="K177" s="224"/>
      <c r="L177" s="224"/>
      <c r="M177" s="224"/>
      <c r="N177" s="224"/>
      <c r="O177" s="224"/>
      <c r="P177" s="223"/>
      <c r="Q177" s="223"/>
      <c r="R177" s="223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224"/>
      <c r="AM177" s="224"/>
    </row>
    <row r="178" spans="1:39" ht="16.5" thickBot="1" x14ac:dyDescent="0.3">
      <c r="A178" s="136" t="s">
        <v>172</v>
      </c>
      <c r="B178" s="130" t="s">
        <v>348</v>
      </c>
      <c r="C178" s="288">
        <v>12646</v>
      </c>
      <c r="D178" s="136"/>
      <c r="E178" s="270">
        <f>C178</f>
        <v>12646</v>
      </c>
      <c r="F178" s="220">
        <f t="shared" si="9"/>
        <v>1465.88</v>
      </c>
      <c r="G178" s="220">
        <f t="shared" si="10"/>
        <v>11180.119999999999</v>
      </c>
      <c r="H178" s="224"/>
      <c r="I178" s="224"/>
      <c r="J178" s="224"/>
      <c r="K178" s="224"/>
      <c r="L178" s="224"/>
      <c r="M178" s="224"/>
      <c r="N178" s="224"/>
      <c r="O178" s="224"/>
      <c r="P178" s="223"/>
      <c r="Q178" s="223"/>
      <c r="R178" s="223"/>
      <c r="S178" s="224"/>
      <c r="T178" s="224"/>
      <c r="U178" s="224"/>
      <c r="V178" s="223">
        <v>1465.88</v>
      </c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</row>
    <row r="179" spans="1:39" ht="16.5" thickBot="1" x14ac:dyDescent="0.3">
      <c r="A179" s="136" t="s">
        <v>173</v>
      </c>
      <c r="B179" s="130" t="s">
        <v>349</v>
      </c>
      <c r="C179" s="288">
        <v>393724</v>
      </c>
      <c r="D179" s="136"/>
      <c r="E179" s="270">
        <f>C179</f>
        <v>393724</v>
      </c>
      <c r="F179" s="220">
        <f t="shared" si="9"/>
        <v>299577.74</v>
      </c>
      <c r="G179" s="220">
        <f t="shared" si="10"/>
        <v>94146.260000000009</v>
      </c>
      <c r="H179" s="224"/>
      <c r="I179" s="224"/>
      <c r="J179" s="224"/>
      <c r="K179" s="224"/>
      <c r="L179" s="223">
        <v>119839.81</v>
      </c>
      <c r="M179" s="223">
        <v>27239.82</v>
      </c>
      <c r="N179" s="223"/>
      <c r="O179" s="224"/>
      <c r="P179" s="223"/>
      <c r="Q179" s="223">
        <v>49741.15</v>
      </c>
      <c r="R179" s="223">
        <v>44360.59</v>
      </c>
      <c r="S179" s="223">
        <v>27243.3</v>
      </c>
      <c r="T179" s="223">
        <v>31153.07</v>
      </c>
      <c r="U179" s="224"/>
      <c r="V179" s="223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</row>
    <row r="180" spans="1:39" ht="16.5" thickBot="1" x14ac:dyDescent="0.3">
      <c r="A180" s="136" t="s">
        <v>174</v>
      </c>
      <c r="B180" s="130" t="s">
        <v>350</v>
      </c>
      <c r="C180" s="288">
        <v>6853</v>
      </c>
      <c r="D180" s="280" t="s">
        <v>371</v>
      </c>
      <c r="E180" s="270">
        <v>0</v>
      </c>
      <c r="F180" s="220">
        <f t="shared" si="9"/>
        <v>0</v>
      </c>
      <c r="G180" s="220">
        <f t="shared" si="10"/>
        <v>0</v>
      </c>
      <c r="H180" s="224"/>
      <c r="I180" s="224"/>
      <c r="J180" s="224"/>
      <c r="K180" s="224"/>
      <c r="L180" s="224"/>
      <c r="M180" s="224"/>
      <c r="N180" s="224"/>
      <c r="O180" s="224"/>
      <c r="P180" s="223"/>
      <c r="Q180" s="223"/>
      <c r="R180" s="223"/>
      <c r="S180" s="223"/>
      <c r="T180" s="224"/>
      <c r="U180" s="224"/>
      <c r="V180" s="223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</row>
    <row r="181" spans="1:39" ht="16.5" thickBot="1" x14ac:dyDescent="0.3">
      <c r="A181" s="136" t="s">
        <v>175</v>
      </c>
      <c r="B181" s="130" t="s">
        <v>351</v>
      </c>
      <c r="C181" s="288">
        <v>38834</v>
      </c>
      <c r="D181" s="136"/>
      <c r="E181" s="270">
        <f>C181</f>
        <v>38834</v>
      </c>
      <c r="F181" s="220">
        <f t="shared" si="9"/>
        <v>38834</v>
      </c>
      <c r="G181" s="220">
        <f t="shared" si="10"/>
        <v>0</v>
      </c>
      <c r="H181" s="224"/>
      <c r="I181" s="224"/>
      <c r="J181" s="224"/>
      <c r="K181" s="224"/>
      <c r="L181" s="223">
        <v>7261.97</v>
      </c>
      <c r="M181" s="223">
        <v>3631.03</v>
      </c>
      <c r="N181" s="223"/>
      <c r="O181" s="223">
        <v>3632.13</v>
      </c>
      <c r="P181" s="223"/>
      <c r="Q181" s="223">
        <f>7262.5+3631.47</f>
        <v>10893.97</v>
      </c>
      <c r="R181" s="223">
        <v>3631.25</v>
      </c>
      <c r="S181" s="223">
        <v>3572.46</v>
      </c>
      <c r="T181" s="224"/>
      <c r="U181" s="223">
        <v>6211.19</v>
      </c>
      <c r="V181" s="223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</row>
    <row r="182" spans="1:39" ht="16.5" thickBot="1" x14ac:dyDescent="0.3">
      <c r="A182" s="136" t="s">
        <v>176</v>
      </c>
      <c r="B182" s="130" t="s">
        <v>352</v>
      </c>
      <c r="C182" s="288">
        <v>9137</v>
      </c>
      <c r="D182" s="280" t="s">
        <v>371</v>
      </c>
      <c r="E182" s="270">
        <v>0</v>
      </c>
      <c r="F182" s="220">
        <f t="shared" si="9"/>
        <v>0</v>
      </c>
      <c r="G182" s="220">
        <f t="shared" si="10"/>
        <v>0</v>
      </c>
      <c r="H182" s="224"/>
      <c r="I182" s="224"/>
      <c r="J182" s="224"/>
      <c r="K182" s="224"/>
      <c r="L182" s="224"/>
      <c r="M182" s="224"/>
      <c r="N182" s="224"/>
      <c r="O182" s="224"/>
      <c r="P182" s="223"/>
      <c r="Q182" s="223"/>
      <c r="R182" s="223"/>
      <c r="S182" s="223"/>
      <c r="T182" s="224"/>
      <c r="U182" s="224"/>
      <c r="V182" s="223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</row>
    <row r="183" spans="1:39" ht="16.5" thickBot="1" x14ac:dyDescent="0.3">
      <c r="A183" s="136" t="s">
        <v>177</v>
      </c>
      <c r="B183" s="130" t="s">
        <v>353</v>
      </c>
      <c r="C183" s="288">
        <v>0</v>
      </c>
      <c r="D183" s="136"/>
      <c r="E183" s="270">
        <v>0</v>
      </c>
      <c r="F183" s="220">
        <f t="shared" si="9"/>
        <v>0</v>
      </c>
      <c r="G183" s="220">
        <f t="shared" si="10"/>
        <v>0</v>
      </c>
      <c r="H183" s="224"/>
      <c r="I183" s="224"/>
      <c r="J183" s="224"/>
      <c r="K183" s="224"/>
      <c r="L183" s="224"/>
      <c r="M183" s="224"/>
      <c r="N183" s="224"/>
      <c r="O183" s="224"/>
      <c r="P183" s="223"/>
      <c r="Q183" s="223"/>
      <c r="R183" s="223"/>
      <c r="S183" s="223"/>
      <c r="T183" s="224"/>
      <c r="U183" s="224"/>
      <c r="V183" s="223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</row>
    <row r="184" spans="1:39" ht="16.5" thickBot="1" x14ac:dyDescent="0.3">
      <c r="A184" s="136" t="s">
        <v>178</v>
      </c>
      <c r="B184" s="130" t="s">
        <v>354</v>
      </c>
      <c r="C184" s="288">
        <v>82</v>
      </c>
      <c r="D184" s="280" t="s">
        <v>371</v>
      </c>
      <c r="E184" s="270">
        <v>0</v>
      </c>
      <c r="F184" s="220">
        <f t="shared" si="9"/>
        <v>0</v>
      </c>
      <c r="G184" s="220">
        <f t="shared" si="10"/>
        <v>0</v>
      </c>
      <c r="H184" s="224"/>
      <c r="I184" s="224"/>
      <c r="J184" s="224"/>
      <c r="K184" s="224"/>
      <c r="L184" s="224"/>
      <c r="M184" s="224"/>
      <c r="N184" s="224"/>
      <c r="O184" s="224"/>
      <c r="P184" s="223"/>
      <c r="Q184" s="223"/>
      <c r="R184" s="223"/>
      <c r="S184" s="223"/>
      <c r="T184" s="224"/>
      <c r="U184" s="224"/>
      <c r="V184" s="223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  <c r="AL184" s="224"/>
      <c r="AM184" s="224"/>
    </row>
    <row r="185" spans="1:39" ht="16.5" thickBot="1" x14ac:dyDescent="0.3">
      <c r="A185" s="136" t="s">
        <v>179</v>
      </c>
      <c r="B185" s="130" t="s">
        <v>355</v>
      </c>
      <c r="C185" s="288">
        <v>0</v>
      </c>
      <c r="D185" s="136"/>
      <c r="E185" s="270">
        <v>0</v>
      </c>
      <c r="F185" s="220">
        <f t="shared" si="9"/>
        <v>0</v>
      </c>
      <c r="G185" s="220">
        <f t="shared" si="10"/>
        <v>0</v>
      </c>
      <c r="H185" s="224"/>
      <c r="I185" s="224"/>
      <c r="J185" s="224"/>
      <c r="K185" s="224"/>
      <c r="L185" s="224"/>
      <c r="M185" s="224"/>
      <c r="N185" s="224"/>
      <c r="O185" s="224"/>
      <c r="P185" s="223"/>
      <c r="Q185" s="223"/>
      <c r="R185" s="223"/>
      <c r="S185" s="223"/>
      <c r="T185" s="224"/>
      <c r="U185" s="224"/>
      <c r="V185" s="223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4"/>
      <c r="AK185" s="224"/>
      <c r="AL185" s="224"/>
      <c r="AM185" s="224"/>
    </row>
    <row r="186" spans="1:39" ht="16.5" thickBot="1" x14ac:dyDescent="0.3">
      <c r="A186" s="136" t="s">
        <v>180</v>
      </c>
      <c r="B186" s="130" t="s">
        <v>356</v>
      </c>
      <c r="C186" s="288">
        <v>18356</v>
      </c>
      <c r="D186" s="136"/>
      <c r="E186" s="270">
        <f>C186</f>
        <v>18356</v>
      </c>
      <c r="F186" s="220">
        <f t="shared" si="9"/>
        <v>18354.73</v>
      </c>
      <c r="G186" s="220">
        <f t="shared" si="10"/>
        <v>1.2700000000004366</v>
      </c>
      <c r="H186" s="224"/>
      <c r="I186" s="224"/>
      <c r="J186" s="224"/>
      <c r="K186" s="224"/>
      <c r="L186" s="224"/>
      <c r="M186" s="224"/>
      <c r="N186" s="224"/>
      <c r="O186" s="224"/>
      <c r="P186" s="223"/>
      <c r="Q186" s="223"/>
      <c r="R186" s="223">
        <v>6446.77</v>
      </c>
      <c r="S186" s="223">
        <v>11907.96</v>
      </c>
      <c r="T186" s="224"/>
      <c r="U186" s="224"/>
      <c r="V186" s="223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4"/>
      <c r="AI186" s="224"/>
      <c r="AJ186" s="224"/>
      <c r="AK186" s="224"/>
      <c r="AL186" s="224"/>
      <c r="AM186" s="224"/>
    </row>
    <row r="187" spans="1:39" ht="16.5" thickBot="1" x14ac:dyDescent="0.3">
      <c r="A187" s="136" t="s">
        <v>181</v>
      </c>
      <c r="B187" s="130" t="s">
        <v>357</v>
      </c>
      <c r="C187" s="288">
        <v>9627</v>
      </c>
      <c r="D187" s="280" t="s">
        <v>372</v>
      </c>
      <c r="E187" s="270">
        <v>0</v>
      </c>
      <c r="F187" s="220">
        <f t="shared" si="9"/>
        <v>0</v>
      </c>
      <c r="G187" s="220">
        <f t="shared" si="10"/>
        <v>0</v>
      </c>
      <c r="H187" s="224"/>
      <c r="I187" s="224"/>
      <c r="J187" s="224"/>
      <c r="K187" s="224"/>
      <c r="L187" s="224"/>
      <c r="M187" s="224"/>
      <c r="N187" s="224"/>
      <c r="O187" s="224"/>
      <c r="P187" s="223"/>
      <c r="Q187" s="223"/>
      <c r="R187" s="223"/>
      <c r="S187" s="223"/>
      <c r="T187" s="224"/>
      <c r="U187" s="224"/>
      <c r="V187" s="223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  <c r="AJ187" s="224"/>
      <c r="AK187" s="224"/>
      <c r="AL187" s="224"/>
      <c r="AM187" s="224"/>
    </row>
    <row r="188" spans="1:39" ht="16.5" thickBot="1" x14ac:dyDescent="0.3">
      <c r="A188" s="136" t="s">
        <v>182</v>
      </c>
      <c r="B188" s="130" t="s">
        <v>358</v>
      </c>
      <c r="C188" s="288">
        <v>2366</v>
      </c>
      <c r="D188" s="280" t="s">
        <v>370</v>
      </c>
      <c r="E188" s="270">
        <v>0</v>
      </c>
      <c r="F188" s="220">
        <f t="shared" si="9"/>
        <v>0</v>
      </c>
      <c r="G188" s="220">
        <f t="shared" si="10"/>
        <v>0</v>
      </c>
      <c r="H188" s="224"/>
      <c r="I188" s="224"/>
      <c r="J188" s="224"/>
      <c r="K188" s="224"/>
      <c r="L188" s="224"/>
      <c r="M188" s="224"/>
      <c r="N188" s="224"/>
      <c r="O188" s="224"/>
      <c r="P188" s="223"/>
      <c r="Q188" s="223"/>
      <c r="R188" s="223"/>
      <c r="S188" s="223"/>
      <c r="T188" s="224"/>
      <c r="U188" s="224"/>
      <c r="V188" s="223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4"/>
      <c r="AK188" s="224"/>
      <c r="AL188" s="224"/>
      <c r="AM188" s="224"/>
    </row>
    <row r="189" spans="1:39" ht="16.5" thickBot="1" x14ac:dyDescent="0.3">
      <c r="A189" s="136" t="s">
        <v>183</v>
      </c>
      <c r="B189" s="130" t="s">
        <v>359</v>
      </c>
      <c r="C189" s="288">
        <v>82</v>
      </c>
      <c r="D189" s="136" t="s">
        <v>370</v>
      </c>
      <c r="E189" s="270">
        <v>0</v>
      </c>
      <c r="F189" s="220">
        <f t="shared" si="9"/>
        <v>0</v>
      </c>
      <c r="G189" s="220">
        <f t="shared" si="10"/>
        <v>0</v>
      </c>
      <c r="H189" s="224"/>
      <c r="I189" s="224"/>
      <c r="J189" s="224"/>
      <c r="K189" s="224"/>
      <c r="L189" s="224"/>
      <c r="M189" s="224"/>
      <c r="N189" s="224"/>
      <c r="O189" s="224"/>
      <c r="P189" s="223"/>
      <c r="Q189" s="223"/>
      <c r="R189" s="223"/>
      <c r="S189" s="223"/>
      <c r="T189" s="224"/>
      <c r="U189" s="224"/>
      <c r="V189" s="223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4"/>
      <c r="AK189" s="224"/>
      <c r="AL189" s="224"/>
      <c r="AM189" s="224"/>
    </row>
    <row r="190" spans="1:39" ht="16.5" thickBot="1" x14ac:dyDescent="0.3">
      <c r="A190" s="136" t="s">
        <v>402</v>
      </c>
      <c r="B190" s="130" t="s">
        <v>571</v>
      </c>
      <c r="C190" s="272">
        <v>251197</v>
      </c>
      <c r="D190" s="136"/>
      <c r="E190" s="270">
        <f>C190</f>
        <v>251197</v>
      </c>
      <c r="F190" s="220">
        <f t="shared" si="9"/>
        <v>201940</v>
      </c>
      <c r="G190" s="220">
        <f t="shared" si="10"/>
        <v>49257</v>
      </c>
      <c r="H190" s="224"/>
      <c r="I190" s="224"/>
      <c r="J190" s="224"/>
      <c r="K190" s="224"/>
      <c r="L190" s="224"/>
      <c r="M190" s="224"/>
      <c r="N190" s="223">
        <v>16392.7</v>
      </c>
      <c r="O190" s="223">
        <f>6082.98+18297</f>
        <v>24379.98</v>
      </c>
      <c r="P190" s="223">
        <v>7236</v>
      </c>
      <c r="Q190" s="223">
        <v>13590.61</v>
      </c>
      <c r="R190" s="268">
        <v>35911.58</v>
      </c>
      <c r="S190" s="268">
        <v>25237.86</v>
      </c>
      <c r="T190" s="268">
        <v>17798.38</v>
      </c>
      <c r="U190" s="223">
        <v>61392.89</v>
      </c>
      <c r="V190" s="223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4"/>
      <c r="AK190" s="224"/>
      <c r="AL190" s="224"/>
      <c r="AM190" s="224"/>
    </row>
    <row r="191" spans="1:39" ht="16.5" thickBot="1" x14ac:dyDescent="0.3">
      <c r="A191" s="136" t="s">
        <v>370</v>
      </c>
      <c r="B191" s="130" t="s">
        <v>374</v>
      </c>
      <c r="C191" s="272">
        <v>0</v>
      </c>
      <c r="D191" s="136"/>
      <c r="E191" s="270">
        <f>C16+C17+C25+C40+C41+C56+C59+C68+C92+C93+C94+C95+C96+C111+C170+C173+C188+C189+C57</f>
        <v>67308</v>
      </c>
      <c r="F191" s="220">
        <f t="shared" si="9"/>
        <v>43630.68</v>
      </c>
      <c r="G191" s="220">
        <f t="shared" si="10"/>
        <v>23677.32</v>
      </c>
      <c r="H191" s="224"/>
      <c r="I191" s="224"/>
      <c r="J191" s="224"/>
      <c r="K191" s="224"/>
      <c r="L191" s="224"/>
      <c r="M191" s="224"/>
      <c r="N191" s="224"/>
      <c r="O191" s="224"/>
      <c r="P191" s="223"/>
      <c r="Q191" s="223">
        <v>440.26</v>
      </c>
      <c r="R191" s="223"/>
      <c r="S191" s="223">
        <v>5709.7</v>
      </c>
      <c r="T191" s="223">
        <v>37480.720000000001</v>
      </c>
      <c r="U191" s="224"/>
      <c r="V191" s="223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4"/>
      <c r="AK191" s="224"/>
      <c r="AL191" s="224"/>
      <c r="AM191" s="224"/>
    </row>
    <row r="192" spans="1:39" ht="16.5" thickBot="1" x14ac:dyDescent="0.3">
      <c r="A192" s="136" t="s">
        <v>371</v>
      </c>
      <c r="B192" s="130" t="s">
        <v>593</v>
      </c>
      <c r="C192" s="298">
        <v>0</v>
      </c>
      <c r="D192" s="136"/>
      <c r="E192" s="270">
        <f>C99+C113+C122+C127+C130+C174+C175+C177+C180+C182+C184+C100</f>
        <v>112015</v>
      </c>
      <c r="F192" s="220">
        <f t="shared" si="9"/>
        <v>81757.440000000002</v>
      </c>
      <c r="G192" s="220">
        <f t="shared" si="10"/>
        <v>30257.559999999998</v>
      </c>
      <c r="H192" s="224"/>
      <c r="I192" s="224"/>
      <c r="J192" s="224"/>
      <c r="K192" s="224"/>
      <c r="L192" s="224"/>
      <c r="M192" s="224"/>
      <c r="N192" s="224"/>
      <c r="O192" s="224"/>
      <c r="P192" s="223"/>
      <c r="Q192" s="223">
        <v>9867.44</v>
      </c>
      <c r="R192" s="223">
        <v>3327</v>
      </c>
      <c r="S192" s="223">
        <v>12886</v>
      </c>
      <c r="T192" s="223">
        <v>18548</v>
      </c>
      <c r="U192" s="223">
        <v>6731</v>
      </c>
      <c r="V192" s="223">
        <v>30398</v>
      </c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4"/>
      <c r="AK192" s="224"/>
      <c r="AL192" s="224"/>
      <c r="AM192" s="224"/>
    </row>
    <row r="193" spans="1:39" ht="16.5" thickBot="1" x14ac:dyDescent="0.3">
      <c r="A193" s="136" t="s">
        <v>372</v>
      </c>
      <c r="B193" s="130" t="s">
        <v>376</v>
      </c>
      <c r="C193" s="298">
        <v>0</v>
      </c>
      <c r="D193" s="136"/>
      <c r="E193" s="270">
        <f>C141+C164+C187</f>
        <v>23741</v>
      </c>
      <c r="F193" s="220">
        <f t="shared" si="9"/>
        <v>23741</v>
      </c>
      <c r="G193" s="220">
        <f t="shared" si="10"/>
        <v>0</v>
      </c>
      <c r="H193" s="224"/>
      <c r="I193" s="224"/>
      <c r="J193" s="224"/>
      <c r="K193" s="224"/>
      <c r="L193" s="224"/>
      <c r="M193" s="224"/>
      <c r="N193" s="224"/>
      <c r="O193" s="224"/>
      <c r="P193" s="223"/>
      <c r="Q193" s="223"/>
      <c r="R193" s="223"/>
      <c r="S193" s="223">
        <v>3999.6</v>
      </c>
      <c r="T193" s="223">
        <v>19741.400000000001</v>
      </c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  <c r="AI193" s="224"/>
      <c r="AJ193" s="224"/>
      <c r="AK193" s="224"/>
      <c r="AL193" s="224"/>
      <c r="AM193" s="224"/>
    </row>
    <row r="194" spans="1:39" ht="16.5" thickBot="1" x14ac:dyDescent="0.3">
      <c r="A194" s="136" t="s">
        <v>400</v>
      </c>
      <c r="B194" s="130" t="s">
        <v>389</v>
      </c>
      <c r="C194" s="298">
        <v>0</v>
      </c>
      <c r="D194" s="136"/>
      <c r="E194" s="270">
        <f>C20+C39+C43+C44+C45+C47+C120+C152+C153+C154+C158+C159</f>
        <v>14685</v>
      </c>
      <c r="F194" s="220">
        <f t="shared" si="9"/>
        <v>0</v>
      </c>
      <c r="G194" s="220">
        <f t="shared" si="10"/>
        <v>14685</v>
      </c>
      <c r="H194" s="224"/>
      <c r="I194" s="224"/>
      <c r="J194" s="224"/>
      <c r="K194" s="224"/>
      <c r="L194" s="224"/>
      <c r="M194" s="224"/>
      <c r="N194" s="224"/>
      <c r="O194" s="224"/>
      <c r="P194" s="223"/>
      <c r="Q194" s="223"/>
      <c r="R194" s="223"/>
      <c r="S194" s="224"/>
      <c r="T194" s="224"/>
      <c r="U194" s="224"/>
      <c r="V194" s="224"/>
      <c r="W194" s="224"/>
      <c r="X194" s="224"/>
      <c r="Y194" s="224"/>
      <c r="Z194" s="224"/>
      <c r="AA194" s="224"/>
      <c r="AB194" s="224"/>
      <c r="AC194" s="224"/>
      <c r="AD194" s="224"/>
      <c r="AE194" s="224"/>
      <c r="AF194" s="224"/>
      <c r="AG194" s="224"/>
      <c r="AH194" s="224"/>
      <c r="AI194" s="224"/>
      <c r="AJ194" s="224"/>
      <c r="AK194" s="224"/>
      <c r="AL194" s="224"/>
      <c r="AM194" s="224"/>
    </row>
    <row r="195" spans="1:39" ht="16.5" thickBot="1" x14ac:dyDescent="0.3">
      <c r="A195" s="136" t="s">
        <v>401</v>
      </c>
      <c r="B195" s="130" t="s">
        <v>391</v>
      </c>
      <c r="C195" s="298">
        <v>0</v>
      </c>
      <c r="D195" s="136"/>
      <c r="E195" s="270">
        <f>C34+C35+C131+C132+C133+C144+C145+C146+C147+C48</f>
        <v>26434</v>
      </c>
      <c r="F195" s="220">
        <f t="shared" si="9"/>
        <v>0</v>
      </c>
      <c r="G195" s="220">
        <f t="shared" si="10"/>
        <v>26434</v>
      </c>
      <c r="H195" s="224"/>
      <c r="I195" s="224"/>
      <c r="J195" s="224"/>
      <c r="K195" s="224"/>
      <c r="L195" s="224"/>
      <c r="M195" s="224"/>
      <c r="N195" s="224"/>
      <c r="O195" s="224"/>
      <c r="P195" s="223"/>
      <c r="Q195" s="223"/>
      <c r="R195" s="223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4"/>
      <c r="AK195" s="224"/>
      <c r="AL195" s="224"/>
      <c r="AM195" s="224"/>
    </row>
    <row r="196" spans="1:39" ht="16.5" thickBot="1" x14ac:dyDescent="0.3">
      <c r="A196" s="136" t="s">
        <v>373</v>
      </c>
      <c r="B196" s="130" t="s">
        <v>377</v>
      </c>
      <c r="C196" s="298">
        <v>0</v>
      </c>
      <c r="D196" s="136"/>
      <c r="E196" s="270">
        <f>C82+C83+C88+C150</f>
        <v>14604</v>
      </c>
      <c r="F196" s="220">
        <f t="shared" si="9"/>
        <v>0</v>
      </c>
      <c r="G196" s="220">
        <f t="shared" si="10"/>
        <v>14604</v>
      </c>
      <c r="H196" s="224"/>
      <c r="I196" s="224"/>
      <c r="J196" s="224"/>
      <c r="K196" s="224"/>
      <c r="L196" s="224"/>
      <c r="M196" s="224"/>
      <c r="N196" s="224"/>
      <c r="O196" s="224"/>
      <c r="P196" s="223"/>
      <c r="Q196" s="223"/>
      <c r="R196" s="223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4"/>
      <c r="AK196" s="224"/>
      <c r="AL196" s="224"/>
      <c r="AM196" s="224"/>
    </row>
    <row r="197" spans="1:39" ht="15.75" thickBot="1" x14ac:dyDescent="0.3">
      <c r="C197" s="218"/>
      <c r="E197" s="218"/>
      <c r="F197" s="218"/>
      <c r="G197" s="218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4"/>
      <c r="AK197" s="224"/>
      <c r="AL197" s="224"/>
      <c r="AM197" s="224"/>
    </row>
    <row r="198" spans="1:39" s="173" customFormat="1" ht="16.5" thickBot="1" x14ac:dyDescent="0.3">
      <c r="A198" s="172" t="s">
        <v>601</v>
      </c>
      <c r="B198" s="130"/>
      <c r="C198" s="221">
        <f>SUM(C12:C196)</f>
        <v>9269497</v>
      </c>
      <c r="D198" s="130"/>
      <c r="E198" s="221">
        <f t="shared" ref="E198" si="11">SUM(E12:E196)</f>
        <v>9230336</v>
      </c>
      <c r="F198" s="221">
        <f t="shared" ref="F198:AM198" si="12">SUM(F12:F196)</f>
        <v>6279608.4900000002</v>
      </c>
      <c r="G198" s="221">
        <f t="shared" si="12"/>
        <v>2950727.5100000002</v>
      </c>
      <c r="H198" s="219">
        <f t="shared" si="12"/>
        <v>0</v>
      </c>
      <c r="I198" s="219">
        <f t="shared" si="12"/>
        <v>0</v>
      </c>
      <c r="J198" s="219">
        <f t="shared" si="12"/>
        <v>0</v>
      </c>
      <c r="K198" s="219">
        <f t="shared" si="12"/>
        <v>33915.14</v>
      </c>
      <c r="L198" s="219">
        <f t="shared" si="12"/>
        <v>183145.16</v>
      </c>
      <c r="M198" s="219">
        <f t="shared" si="12"/>
        <v>217942.36</v>
      </c>
      <c r="N198" s="219">
        <f t="shared" si="12"/>
        <v>511780.38999999996</v>
      </c>
      <c r="O198" s="219">
        <f t="shared" si="12"/>
        <v>446939.17</v>
      </c>
      <c r="P198" s="219">
        <f>SUM(P12:P196)</f>
        <v>398957.58999999991</v>
      </c>
      <c r="Q198" s="219">
        <f t="shared" si="12"/>
        <v>1114438.29</v>
      </c>
      <c r="R198" s="219">
        <f t="shared" si="12"/>
        <v>349880.21</v>
      </c>
      <c r="S198" s="219">
        <f t="shared" si="12"/>
        <v>1537350.0399999998</v>
      </c>
      <c r="T198" s="219">
        <f t="shared" si="12"/>
        <v>372113.09000000008</v>
      </c>
      <c r="U198" s="219">
        <f t="shared" si="12"/>
        <v>294619.46000000002</v>
      </c>
      <c r="V198" s="219">
        <f t="shared" si="12"/>
        <v>818527.59000000008</v>
      </c>
      <c r="W198" s="219">
        <f t="shared" si="12"/>
        <v>0</v>
      </c>
      <c r="X198" s="219">
        <f t="shared" si="12"/>
        <v>0</v>
      </c>
      <c r="Y198" s="219">
        <f t="shared" si="12"/>
        <v>0</v>
      </c>
      <c r="Z198" s="219">
        <f t="shared" si="12"/>
        <v>0</v>
      </c>
      <c r="AA198" s="219">
        <f t="shared" si="12"/>
        <v>0</v>
      </c>
      <c r="AB198" s="219">
        <f t="shared" si="12"/>
        <v>0</v>
      </c>
      <c r="AC198" s="219">
        <f t="shared" si="12"/>
        <v>0</v>
      </c>
      <c r="AD198" s="219">
        <f t="shared" si="12"/>
        <v>0</v>
      </c>
      <c r="AE198" s="219">
        <f t="shared" si="12"/>
        <v>0</v>
      </c>
      <c r="AF198" s="219">
        <f t="shared" si="12"/>
        <v>0</v>
      </c>
      <c r="AG198" s="219">
        <f t="shared" si="12"/>
        <v>0</v>
      </c>
      <c r="AH198" s="219">
        <f t="shared" si="12"/>
        <v>0</v>
      </c>
      <c r="AI198" s="219">
        <f t="shared" si="12"/>
        <v>0</v>
      </c>
      <c r="AJ198" s="219">
        <f t="shared" si="12"/>
        <v>0</v>
      </c>
      <c r="AK198" s="219">
        <f t="shared" si="12"/>
        <v>0</v>
      </c>
      <c r="AL198" s="219">
        <f t="shared" si="12"/>
        <v>0</v>
      </c>
      <c r="AM198" s="219">
        <f t="shared" si="12"/>
        <v>0</v>
      </c>
    </row>
    <row r="200" spans="1:39" x14ac:dyDescent="0.25">
      <c r="G200" s="218"/>
      <c r="P200" s="224"/>
      <c r="S200" s="224"/>
    </row>
    <row r="201" spans="1:39" x14ac:dyDescent="0.25">
      <c r="C201" s="171"/>
      <c r="F201" s="218"/>
      <c r="M201" s="185"/>
      <c r="S201" s="224"/>
      <c r="T201" s="224"/>
      <c r="U201" s="224"/>
    </row>
    <row r="202" spans="1:39" x14ac:dyDescent="0.25">
      <c r="E202" s="279"/>
      <c r="R202" s="224"/>
    </row>
    <row r="203" spans="1:39" x14ac:dyDescent="0.25">
      <c r="R203" s="224"/>
    </row>
    <row r="206" spans="1:39" x14ac:dyDescent="0.25">
      <c r="R206" s="224"/>
    </row>
    <row r="211" spans="18:18" x14ac:dyDescent="0.25">
      <c r="R211" s="224"/>
    </row>
  </sheetData>
  <sheetProtection algorithmName="SHA-512" hashValue="fAsVsZUpzdvsdbYA669HAAxCBSK6SdsTN1ktE9DCVKp4f4TnYhW/460v52YuhJibescH5wi8itNrvr7aIfW/2Q==" saltValue="5hcos5BqbA9CqP8kghVyzA==" spinCount="100000" sheet="1" objects="1" scenarios="1"/>
  <autoFilter ref="A11:BC196" xr:uid="{00000000-0009-0000-0000-000005000000}"/>
  <pageMargins left="0.7" right="0.7" top="0.75" bottom="0.75" header="0.3" footer="0.3"/>
  <pageSetup scale="14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66CCFF"/>
    <pageSetUpPr fitToPage="1"/>
  </sheetPr>
  <dimension ref="A1:AM41"/>
  <sheetViews>
    <sheetView workbookViewId="0">
      <pane xSplit="7" ySplit="11" topLeftCell="U14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V26" sqref="V26:V32"/>
    </sheetView>
  </sheetViews>
  <sheetFormatPr defaultColWidth="9.140625" defaultRowHeight="15" x14ac:dyDescent="0.25"/>
  <cols>
    <col min="1" max="1" width="20.140625" style="143" customWidth="1"/>
    <col min="2" max="2" width="25.7109375" style="143" customWidth="1"/>
    <col min="3" max="3" width="20.140625" style="133" customWidth="1"/>
    <col min="4" max="4" width="20.140625" style="132" customWidth="1"/>
    <col min="5" max="5" width="20.140625" style="133" customWidth="1"/>
    <col min="6" max="7" width="16" style="2" customWidth="1"/>
    <col min="8" max="34" width="15.7109375" style="2" customWidth="1"/>
    <col min="35" max="39" width="16.42578125" style="2" customWidth="1"/>
    <col min="40" max="16384" width="9.140625" style="2"/>
  </cols>
  <sheetData>
    <row r="1" spans="1:39" ht="21" x14ac:dyDescent="0.35">
      <c r="A1" s="139" t="s">
        <v>0</v>
      </c>
      <c r="B1" s="140"/>
      <c r="C1" s="120" t="s">
        <v>660</v>
      </c>
      <c r="D1" s="128"/>
      <c r="E1" s="120"/>
      <c r="F1" s="10"/>
      <c r="G1" s="13"/>
      <c r="H1" s="14"/>
      <c r="I1" s="14"/>
      <c r="J1" s="12" t="str">
        <f>C1</f>
        <v>Title III-A SAI Formula (Revised Final 11/18/21)</v>
      </c>
      <c r="K1" s="12"/>
      <c r="L1" s="10"/>
      <c r="M1" s="10"/>
      <c r="N1" s="13"/>
      <c r="O1" s="13"/>
      <c r="P1" s="78" t="str">
        <f>C1</f>
        <v>Title III-A SAI Formula (Revised Final 11/18/21)</v>
      </c>
      <c r="Q1" s="14"/>
      <c r="R1" s="12"/>
      <c r="S1" s="12"/>
      <c r="T1" s="10"/>
      <c r="U1" s="10"/>
      <c r="V1" s="78" t="str">
        <f>C1</f>
        <v>Title III-A SAI Formula (Revised Final 11/18/21)</v>
      </c>
      <c r="W1" s="13"/>
      <c r="X1" s="14"/>
      <c r="Y1" s="14"/>
      <c r="Z1" s="12"/>
      <c r="AA1" s="12"/>
      <c r="AB1" s="78" t="str">
        <f>C1</f>
        <v>Title III-A SAI Formula (Revised Final 11/18/21)</v>
      </c>
      <c r="AC1" s="10"/>
      <c r="AD1" s="13"/>
      <c r="AE1" s="13"/>
      <c r="AF1" s="14"/>
      <c r="AG1" s="78" t="str">
        <f>C1</f>
        <v>Title III-A SAI Formula (Revised Final 11/18/21)</v>
      </c>
      <c r="AH1" s="12"/>
      <c r="AI1" s="120"/>
      <c r="AJ1" s="120"/>
      <c r="AK1" s="120"/>
      <c r="AL1" s="120"/>
      <c r="AM1" s="120"/>
    </row>
    <row r="2" spans="1:39" ht="15.75" x14ac:dyDescent="0.25">
      <c r="A2" s="141" t="s">
        <v>1</v>
      </c>
      <c r="B2" s="140"/>
      <c r="C2" s="82">
        <v>84.364999999999995</v>
      </c>
      <c r="D2" s="131"/>
      <c r="E2" s="82"/>
      <c r="F2" s="15"/>
      <c r="G2" s="17"/>
      <c r="H2" s="14"/>
      <c r="I2" s="14"/>
      <c r="J2" s="15" t="str">
        <f>"FY"&amp;C4</f>
        <v>FY2021-2022</v>
      </c>
      <c r="K2" s="15"/>
      <c r="L2" s="84"/>
      <c r="M2" s="18"/>
      <c r="N2" s="17"/>
      <c r="O2" s="17"/>
      <c r="P2" s="81" t="str">
        <f>"FY"&amp;C4</f>
        <v>FY2021-2022</v>
      </c>
      <c r="Q2" s="17"/>
      <c r="R2" s="15"/>
      <c r="S2" s="15"/>
      <c r="T2" s="18"/>
      <c r="U2" s="18"/>
      <c r="V2" s="81" t="str">
        <f>"FY"&amp;C4</f>
        <v>FY2021-2022</v>
      </c>
      <c r="W2" s="17"/>
      <c r="X2" s="17"/>
      <c r="Y2" s="17"/>
      <c r="Z2" s="15"/>
      <c r="AA2" s="15"/>
      <c r="AB2" s="81" t="str">
        <f>"FY"&amp;C4</f>
        <v>FY2021-2022</v>
      </c>
      <c r="AC2" s="18"/>
      <c r="AD2" s="17"/>
      <c r="AE2" s="17"/>
      <c r="AF2" s="17"/>
      <c r="AG2" s="81" t="str">
        <f>"FY"&amp;C4</f>
        <v>FY2021-2022</v>
      </c>
      <c r="AH2" s="15"/>
      <c r="AI2" s="81"/>
      <c r="AJ2" s="81"/>
      <c r="AK2" s="81"/>
      <c r="AL2" s="81"/>
      <c r="AM2" s="81"/>
    </row>
    <row r="3" spans="1:39" ht="15.75" x14ac:dyDescent="0.25">
      <c r="A3" s="141" t="s">
        <v>3</v>
      </c>
      <c r="B3" s="140"/>
      <c r="C3" s="121">
        <v>7365</v>
      </c>
      <c r="D3" s="129"/>
      <c r="E3" s="121"/>
      <c r="F3" s="15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80"/>
      <c r="AJ3" s="80"/>
      <c r="AK3" s="80"/>
      <c r="AL3" s="80"/>
      <c r="AM3" s="80"/>
    </row>
    <row r="4" spans="1:39" ht="21" x14ac:dyDescent="0.35">
      <c r="A4" s="141" t="s">
        <v>2</v>
      </c>
      <c r="B4" s="140"/>
      <c r="C4" s="120" t="s">
        <v>640</v>
      </c>
      <c r="D4" s="129"/>
      <c r="E4" s="121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80"/>
      <c r="AJ4" s="80"/>
      <c r="AK4" s="80"/>
      <c r="AL4" s="80"/>
      <c r="AM4" s="80"/>
    </row>
    <row r="5" spans="1:39" ht="15.75" x14ac:dyDescent="0.25">
      <c r="A5" s="141" t="s">
        <v>392</v>
      </c>
      <c r="B5" s="140"/>
      <c r="C5" s="67" t="s">
        <v>613</v>
      </c>
      <c r="D5" s="129"/>
      <c r="E5" s="81"/>
      <c r="F5" s="15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86"/>
      <c r="AJ5" s="86"/>
      <c r="AK5" s="86"/>
      <c r="AL5" s="86"/>
      <c r="AM5" s="86"/>
    </row>
    <row r="6" spans="1:39" ht="15.75" x14ac:dyDescent="0.25">
      <c r="A6" s="141" t="s">
        <v>4</v>
      </c>
      <c r="B6" s="140"/>
      <c r="C6" s="67" t="s">
        <v>364</v>
      </c>
      <c r="D6" s="129"/>
      <c r="E6" s="81"/>
      <c r="F6" s="15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86"/>
      <c r="AJ6" s="86"/>
      <c r="AK6" s="86"/>
      <c r="AL6" s="86"/>
      <c r="AM6" s="86"/>
    </row>
    <row r="7" spans="1:39" ht="15.75" x14ac:dyDescent="0.25">
      <c r="A7" s="141"/>
      <c r="B7" s="140"/>
      <c r="C7" s="81" t="s">
        <v>621</v>
      </c>
      <c r="D7" s="129"/>
      <c r="E7" s="81"/>
      <c r="F7" s="15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86"/>
      <c r="AJ7" s="86"/>
      <c r="AK7" s="86"/>
      <c r="AL7" s="86"/>
      <c r="AM7" s="86"/>
    </row>
    <row r="8" spans="1:39" ht="15.75" x14ac:dyDescent="0.25">
      <c r="A8" s="141" t="s">
        <v>378</v>
      </c>
      <c r="B8" s="140"/>
      <c r="C8" s="81" t="s">
        <v>584</v>
      </c>
      <c r="D8" s="129"/>
      <c r="E8" s="81"/>
      <c r="F8" s="163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86"/>
      <c r="AJ8" s="86"/>
      <c r="AK8" s="86"/>
      <c r="AL8" s="86"/>
      <c r="AM8" s="86"/>
    </row>
    <row r="9" spans="1:39" ht="15.75" x14ac:dyDescent="0.25">
      <c r="A9" s="141" t="s">
        <v>379</v>
      </c>
      <c r="B9" s="140"/>
      <c r="C9" s="81" t="s">
        <v>380</v>
      </c>
      <c r="D9" s="129"/>
      <c r="E9" s="81"/>
      <c r="F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86"/>
      <c r="AJ9" s="86"/>
      <c r="AK9" s="86"/>
      <c r="AL9" s="86"/>
      <c r="AM9" s="86"/>
    </row>
    <row r="10" spans="1:39" s="6" customFormat="1" ht="16.5" thickBot="1" x14ac:dyDescent="0.3">
      <c r="A10" s="141" t="s">
        <v>393</v>
      </c>
      <c r="B10" s="140"/>
      <c r="C10" s="81" t="s">
        <v>642</v>
      </c>
      <c r="D10" s="129"/>
      <c r="E10" s="81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86"/>
      <c r="AJ10" s="86"/>
      <c r="AK10" s="86"/>
      <c r="AL10" s="86"/>
      <c r="AM10" s="86"/>
    </row>
    <row r="11" spans="1:39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612</v>
      </c>
      <c r="E11" s="41" t="s">
        <v>607</v>
      </c>
      <c r="F11" s="42" t="s">
        <v>368</v>
      </c>
      <c r="G11" s="49" t="s">
        <v>369</v>
      </c>
      <c r="H11" s="100" t="s">
        <v>645</v>
      </c>
      <c r="I11" s="100" t="s">
        <v>614</v>
      </c>
      <c r="J11" s="100" t="s">
        <v>615</v>
      </c>
      <c r="K11" s="100" t="s">
        <v>616</v>
      </c>
      <c r="L11" s="100" t="s">
        <v>646</v>
      </c>
      <c r="M11" s="100" t="s">
        <v>618</v>
      </c>
      <c r="N11" s="100" t="s">
        <v>625</v>
      </c>
      <c r="O11" s="100" t="s">
        <v>626</v>
      </c>
      <c r="P11" s="100" t="s">
        <v>627</v>
      </c>
      <c r="Q11" s="101" t="s">
        <v>628</v>
      </c>
      <c r="R11" s="100" t="s">
        <v>629</v>
      </c>
      <c r="S11" s="100" t="s">
        <v>630</v>
      </c>
      <c r="T11" s="100" t="s">
        <v>631</v>
      </c>
      <c r="U11" s="100" t="s">
        <v>632</v>
      </c>
      <c r="V11" s="100" t="s">
        <v>633</v>
      </c>
      <c r="W11" s="100" t="s">
        <v>634</v>
      </c>
      <c r="X11" s="100" t="s">
        <v>635</v>
      </c>
      <c r="Y11" s="100" t="s">
        <v>636</v>
      </c>
      <c r="Z11" s="100" t="s">
        <v>647</v>
      </c>
      <c r="AA11" s="100" t="s">
        <v>648</v>
      </c>
      <c r="AB11" s="100" t="s">
        <v>649</v>
      </c>
      <c r="AC11" s="100" t="s">
        <v>650</v>
      </c>
      <c r="AD11" s="100" t="s">
        <v>651</v>
      </c>
      <c r="AE11" s="100" t="s">
        <v>652</v>
      </c>
      <c r="AF11" s="100" t="s">
        <v>653</v>
      </c>
      <c r="AG11" s="100" t="s">
        <v>654</v>
      </c>
      <c r="AH11" s="100" t="s">
        <v>655</v>
      </c>
      <c r="AI11" s="100" t="s">
        <v>656</v>
      </c>
      <c r="AJ11" s="100" t="s">
        <v>657</v>
      </c>
      <c r="AK11" s="100" t="s">
        <v>658</v>
      </c>
      <c r="AL11" s="100" t="s">
        <v>610</v>
      </c>
      <c r="AM11" s="100" t="s">
        <v>611</v>
      </c>
    </row>
    <row r="12" spans="1:39" s="6" customFormat="1" ht="18" customHeight="1" thickBot="1" x14ac:dyDescent="0.3">
      <c r="A12" s="142" t="s">
        <v>7</v>
      </c>
      <c r="B12" s="144" t="s">
        <v>185</v>
      </c>
      <c r="C12" s="278">
        <v>79841</v>
      </c>
      <c r="D12" s="136"/>
      <c r="E12" s="186">
        <f>C12</f>
        <v>79841</v>
      </c>
      <c r="F12" s="186">
        <f>SUM(H12:AK12)</f>
        <v>29937.93</v>
      </c>
      <c r="G12" s="186">
        <f>E12-(F12+AL12+AM12)</f>
        <v>49903.07</v>
      </c>
      <c r="H12" s="199"/>
      <c r="I12" s="199"/>
      <c r="J12" s="199"/>
      <c r="K12" s="199"/>
      <c r="L12" s="199"/>
      <c r="M12" s="199"/>
      <c r="N12" s="199"/>
      <c r="O12" s="199"/>
      <c r="P12" s="199"/>
      <c r="Q12" s="223"/>
      <c r="R12" s="223"/>
      <c r="S12" s="199"/>
      <c r="T12" s="199"/>
      <c r="U12" s="223">
        <v>29937.93</v>
      </c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</row>
    <row r="13" spans="1:39" ht="18" customHeight="1" thickBot="1" x14ac:dyDescent="0.3">
      <c r="A13" s="142" t="s">
        <v>13</v>
      </c>
      <c r="B13" s="144" t="s">
        <v>414</v>
      </c>
      <c r="C13" s="278">
        <v>15968</v>
      </c>
      <c r="D13" s="136"/>
      <c r="E13" s="186">
        <f>C13</f>
        <v>15968</v>
      </c>
      <c r="F13" s="186">
        <f t="shared" ref="F13:F33" si="0">SUM(H13:AK13)</f>
        <v>0</v>
      </c>
      <c r="G13" s="186">
        <f>E13-(F13+AL13+AM13)</f>
        <v>15968</v>
      </c>
      <c r="H13" s="199"/>
      <c r="I13" s="199"/>
      <c r="J13" s="199"/>
      <c r="K13" s="199"/>
      <c r="L13" s="199"/>
      <c r="M13" s="199"/>
      <c r="N13" s="199"/>
      <c r="O13" s="199"/>
      <c r="P13" s="199"/>
      <c r="Q13" s="223"/>
      <c r="R13" s="223"/>
      <c r="S13" s="199"/>
      <c r="T13" s="199"/>
      <c r="U13" s="223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</row>
    <row r="14" spans="1:39" ht="16.5" thickBot="1" x14ac:dyDescent="0.3">
      <c r="A14" s="300" t="s">
        <v>54</v>
      </c>
      <c r="B14" s="144" t="s">
        <v>232</v>
      </c>
      <c r="C14" s="278">
        <v>7984</v>
      </c>
      <c r="D14" s="136"/>
      <c r="E14" s="186">
        <f>C14</f>
        <v>7984</v>
      </c>
      <c r="F14" s="186">
        <f t="shared" si="0"/>
        <v>0</v>
      </c>
      <c r="G14" s="186">
        <f>E14-(F14+AL14+AM14)</f>
        <v>7984</v>
      </c>
      <c r="H14" s="199"/>
      <c r="I14" s="199"/>
      <c r="J14" s="199"/>
      <c r="K14" s="199"/>
      <c r="L14" s="199"/>
      <c r="M14" s="199"/>
      <c r="N14" s="199"/>
      <c r="O14" s="199"/>
      <c r="P14" s="199"/>
      <c r="Q14" s="223"/>
      <c r="R14" s="223"/>
      <c r="S14" s="199"/>
      <c r="T14" s="199"/>
      <c r="U14" s="223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</row>
    <row r="15" spans="1:39" s="133" customFormat="1" ht="16.5" thickBot="1" x14ac:dyDescent="0.3">
      <c r="A15" s="142" t="s">
        <v>73</v>
      </c>
      <c r="B15" s="144" t="s">
        <v>251</v>
      </c>
      <c r="C15" s="278">
        <v>51896</v>
      </c>
      <c r="D15" s="136"/>
      <c r="E15" s="186">
        <f t="shared" ref="E15:E19" si="1">C15</f>
        <v>51896</v>
      </c>
      <c r="F15" s="186">
        <f t="shared" si="0"/>
        <v>0</v>
      </c>
      <c r="G15" s="186">
        <f t="shared" ref="G15:G33" si="2">E15-(F15+AL15+AM15)</f>
        <v>51896</v>
      </c>
      <c r="H15" s="199"/>
      <c r="I15" s="199"/>
      <c r="J15" s="199"/>
      <c r="K15" s="199"/>
      <c r="L15" s="199"/>
      <c r="M15" s="199"/>
      <c r="N15" s="199"/>
      <c r="O15" s="199"/>
      <c r="P15" s="199"/>
      <c r="Q15" s="223"/>
      <c r="R15" s="223"/>
      <c r="S15" s="199"/>
      <c r="T15" s="199"/>
      <c r="U15" s="223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</row>
    <row r="16" spans="1:39" ht="16.5" thickBot="1" x14ac:dyDescent="0.3">
      <c r="A16" s="142" t="s">
        <v>77</v>
      </c>
      <c r="B16" s="144" t="s">
        <v>255</v>
      </c>
      <c r="C16" s="278">
        <v>11976</v>
      </c>
      <c r="D16" s="136"/>
      <c r="E16" s="186">
        <f t="shared" si="1"/>
        <v>11976</v>
      </c>
      <c r="F16" s="186">
        <f t="shared" si="0"/>
        <v>11976</v>
      </c>
      <c r="G16" s="186">
        <f t="shared" si="2"/>
        <v>0</v>
      </c>
      <c r="H16" s="199"/>
      <c r="I16" s="199"/>
      <c r="J16" s="199"/>
      <c r="K16" s="199"/>
      <c r="L16" s="199"/>
      <c r="M16" s="199"/>
      <c r="N16" s="199"/>
      <c r="O16" s="199"/>
      <c r="P16" s="199"/>
      <c r="Q16" s="223"/>
      <c r="R16" s="223"/>
      <c r="S16" s="199"/>
      <c r="T16" s="199"/>
      <c r="U16" s="223"/>
      <c r="V16" s="199">
        <v>11976</v>
      </c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</row>
    <row r="17" spans="1:39" ht="16.5" thickBot="1" x14ac:dyDescent="0.3">
      <c r="A17" s="142" t="s">
        <v>620</v>
      </c>
      <c r="B17" s="144" t="s">
        <v>268</v>
      </c>
      <c r="C17" s="278">
        <v>3992</v>
      </c>
      <c r="D17" s="136" t="s">
        <v>370</v>
      </c>
      <c r="E17" s="186">
        <v>0</v>
      </c>
      <c r="F17" s="186">
        <f t="shared" si="0"/>
        <v>0</v>
      </c>
      <c r="G17" s="186">
        <f t="shared" si="2"/>
        <v>0</v>
      </c>
      <c r="H17" s="199"/>
      <c r="I17" s="199"/>
      <c r="J17" s="199"/>
      <c r="K17" s="199"/>
      <c r="L17" s="199"/>
      <c r="M17" s="199"/>
      <c r="N17" s="199"/>
      <c r="O17" s="199"/>
      <c r="P17" s="199"/>
      <c r="Q17" s="223"/>
      <c r="R17" s="223"/>
      <c r="S17" s="199"/>
      <c r="T17" s="199"/>
      <c r="U17" s="223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</row>
    <row r="18" spans="1:39" s="133" customFormat="1" ht="16.5" thickBot="1" x14ac:dyDescent="0.3">
      <c r="A18" s="142" t="s">
        <v>93</v>
      </c>
      <c r="B18" s="144" t="s">
        <v>271</v>
      </c>
      <c r="C18" s="278">
        <v>3992</v>
      </c>
      <c r="D18" s="136"/>
      <c r="E18" s="186">
        <f t="shared" si="1"/>
        <v>3992</v>
      </c>
      <c r="F18" s="186">
        <f t="shared" si="0"/>
        <v>0</v>
      </c>
      <c r="G18" s="186">
        <f t="shared" si="2"/>
        <v>3992</v>
      </c>
      <c r="H18" s="199"/>
      <c r="I18" s="199"/>
      <c r="J18" s="199"/>
      <c r="K18" s="199"/>
      <c r="L18" s="199"/>
      <c r="M18" s="199"/>
      <c r="N18" s="199"/>
      <c r="O18" s="199"/>
      <c r="P18" s="199"/>
      <c r="Q18" s="223"/>
      <c r="R18" s="223"/>
      <c r="S18" s="199"/>
      <c r="T18" s="199"/>
      <c r="U18" s="223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</row>
    <row r="19" spans="1:39" s="133" customFormat="1" ht="16.5" thickBot="1" x14ac:dyDescent="0.3">
      <c r="A19" s="142" t="s">
        <v>95</v>
      </c>
      <c r="B19" s="144" t="s">
        <v>637</v>
      </c>
      <c r="C19" s="278">
        <v>95809</v>
      </c>
      <c r="D19" s="136"/>
      <c r="E19" s="186">
        <f t="shared" si="1"/>
        <v>95809</v>
      </c>
      <c r="F19" s="186">
        <f t="shared" si="0"/>
        <v>0</v>
      </c>
      <c r="G19" s="186">
        <f t="shared" si="2"/>
        <v>95809</v>
      </c>
      <c r="H19" s="199"/>
      <c r="I19" s="199"/>
      <c r="J19" s="199"/>
      <c r="K19" s="199"/>
      <c r="L19" s="199"/>
      <c r="M19" s="199"/>
      <c r="N19" s="199"/>
      <c r="O19" s="199"/>
      <c r="P19" s="199"/>
      <c r="Q19" s="223"/>
      <c r="R19" s="223"/>
      <c r="S19" s="199"/>
      <c r="T19" s="199"/>
      <c r="U19" s="223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</row>
    <row r="20" spans="1:39" s="133" customFormat="1" ht="16.5" thickBot="1" x14ac:dyDescent="0.3">
      <c r="A20" s="300" t="s">
        <v>124</v>
      </c>
      <c r="B20" s="144" t="s">
        <v>643</v>
      </c>
      <c r="C20" s="278">
        <v>7984</v>
      </c>
      <c r="D20" s="301" t="s">
        <v>371</v>
      </c>
      <c r="E20" s="186">
        <v>0</v>
      </c>
      <c r="F20" s="186">
        <f t="shared" si="0"/>
        <v>0</v>
      </c>
      <c r="G20" s="186">
        <f t="shared" si="2"/>
        <v>0</v>
      </c>
      <c r="H20" s="199"/>
      <c r="I20" s="199"/>
      <c r="J20" s="199"/>
      <c r="K20" s="199"/>
      <c r="L20" s="199"/>
      <c r="M20" s="199"/>
      <c r="N20" s="199"/>
      <c r="O20" s="199"/>
      <c r="P20" s="199"/>
      <c r="Q20" s="223"/>
      <c r="R20" s="223"/>
      <c r="S20" s="199"/>
      <c r="T20" s="199"/>
      <c r="U20" s="223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</row>
    <row r="21" spans="1:39" s="133" customFormat="1" ht="16.5" thickBot="1" x14ac:dyDescent="0.3">
      <c r="A21" s="300" t="s">
        <v>126</v>
      </c>
      <c r="B21" s="144" t="s">
        <v>304</v>
      </c>
      <c r="C21" s="278">
        <v>11976</v>
      </c>
      <c r="D21" s="136"/>
      <c r="E21" s="186">
        <f t="shared" ref="E21:E23" si="3">C21</f>
        <v>11976</v>
      </c>
      <c r="F21" s="186">
        <f t="shared" si="0"/>
        <v>0</v>
      </c>
      <c r="G21" s="186">
        <f t="shared" si="2"/>
        <v>11976</v>
      </c>
      <c r="H21" s="199"/>
      <c r="I21" s="199"/>
      <c r="J21" s="199"/>
      <c r="K21" s="199"/>
      <c r="L21" s="199"/>
      <c r="M21" s="199"/>
      <c r="N21" s="199"/>
      <c r="O21" s="199"/>
      <c r="P21" s="199"/>
      <c r="Q21" s="223"/>
      <c r="R21" s="223"/>
      <c r="S21" s="199"/>
      <c r="T21" s="223"/>
      <c r="U21" s="223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</row>
    <row r="22" spans="1:39" ht="16.5" thickBot="1" x14ac:dyDescent="0.3">
      <c r="A22" s="142" t="s">
        <v>131</v>
      </c>
      <c r="B22" s="144" t="s">
        <v>309</v>
      </c>
      <c r="C22" s="278">
        <v>7984</v>
      </c>
      <c r="D22" s="136"/>
      <c r="E22" s="186">
        <f t="shared" si="3"/>
        <v>7984</v>
      </c>
      <c r="F22" s="186">
        <f t="shared" si="0"/>
        <v>7984</v>
      </c>
      <c r="G22" s="186">
        <f t="shared" si="2"/>
        <v>0</v>
      </c>
      <c r="H22" s="199"/>
      <c r="I22" s="199"/>
      <c r="J22" s="199"/>
      <c r="K22" s="199"/>
      <c r="L22" s="199"/>
      <c r="M22" s="199"/>
      <c r="N22" s="199"/>
      <c r="O22" s="199"/>
      <c r="P22" s="199"/>
      <c r="Q22" s="223">
        <v>3044.95</v>
      </c>
      <c r="R22" s="223"/>
      <c r="S22" s="199"/>
      <c r="T22" s="223">
        <v>4114.21</v>
      </c>
      <c r="U22" s="223">
        <v>824.84</v>
      </c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</row>
    <row r="23" spans="1:39" s="133" customFormat="1" ht="16.5" thickBot="1" x14ac:dyDescent="0.3">
      <c r="A23" s="142" t="s">
        <v>143</v>
      </c>
      <c r="B23" s="144" t="s">
        <v>533</v>
      </c>
      <c r="C23" s="278">
        <v>3992</v>
      </c>
      <c r="D23" s="136"/>
      <c r="E23" s="186">
        <f t="shared" si="3"/>
        <v>3992</v>
      </c>
      <c r="F23" s="186">
        <f t="shared" si="0"/>
        <v>3992</v>
      </c>
      <c r="G23" s="186">
        <f t="shared" si="2"/>
        <v>0</v>
      </c>
      <c r="H23" s="199"/>
      <c r="I23" s="199"/>
      <c r="J23" s="199"/>
      <c r="K23" s="199"/>
      <c r="L23" s="199"/>
      <c r="M23" s="199"/>
      <c r="N23" s="199"/>
      <c r="O23" s="199"/>
      <c r="P23" s="199"/>
      <c r="Q23" s="223"/>
      <c r="R23" s="223"/>
      <c r="S23" s="199"/>
      <c r="T23" s="223">
        <v>3717.82</v>
      </c>
      <c r="U23" s="223">
        <v>274.18</v>
      </c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</row>
    <row r="24" spans="1:39" ht="16.5" thickBot="1" x14ac:dyDescent="0.3">
      <c r="A24" s="142" t="s">
        <v>150</v>
      </c>
      <c r="B24" s="144" t="s">
        <v>541</v>
      </c>
      <c r="C24" s="278">
        <v>23952</v>
      </c>
      <c r="D24" s="136"/>
      <c r="E24" s="186">
        <f t="shared" ref="E24:E30" si="4">C24</f>
        <v>23952</v>
      </c>
      <c r="F24" s="186">
        <f t="shared" si="0"/>
        <v>23952</v>
      </c>
      <c r="G24" s="186">
        <f t="shared" si="2"/>
        <v>0</v>
      </c>
      <c r="H24" s="199"/>
      <c r="I24" s="199"/>
      <c r="J24" s="199"/>
      <c r="K24" s="199"/>
      <c r="L24" s="199"/>
      <c r="M24" s="199"/>
      <c r="N24" s="199"/>
      <c r="O24" s="199"/>
      <c r="P24" s="199"/>
      <c r="Q24" s="223"/>
      <c r="R24" s="223"/>
      <c r="S24" s="223">
        <v>23952</v>
      </c>
      <c r="T24" s="223"/>
      <c r="U24" s="223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</row>
    <row r="25" spans="1:39" s="133" customFormat="1" ht="16.5" thickBot="1" x14ac:dyDescent="0.3">
      <c r="A25" s="300" t="s">
        <v>158</v>
      </c>
      <c r="B25" s="144" t="s">
        <v>548</v>
      </c>
      <c r="C25" s="278">
        <v>3992</v>
      </c>
      <c r="D25" s="136" t="s">
        <v>372</v>
      </c>
      <c r="E25" s="186">
        <v>0</v>
      </c>
      <c r="F25" s="186">
        <f t="shared" si="0"/>
        <v>0</v>
      </c>
      <c r="G25" s="186">
        <f t="shared" si="2"/>
        <v>0</v>
      </c>
      <c r="H25" s="199"/>
      <c r="I25" s="199"/>
      <c r="J25" s="199"/>
      <c r="K25" s="199"/>
      <c r="L25" s="199"/>
      <c r="M25" s="199"/>
      <c r="N25" s="199"/>
      <c r="O25" s="199"/>
      <c r="P25" s="199"/>
      <c r="Q25" s="223"/>
      <c r="R25" s="223"/>
      <c r="S25" s="223"/>
      <c r="T25" s="223"/>
      <c r="U25" s="223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</row>
    <row r="26" spans="1:39" ht="16.5" thickBot="1" x14ac:dyDescent="0.3">
      <c r="A26" s="142" t="s">
        <v>160</v>
      </c>
      <c r="B26" s="144" t="s">
        <v>337</v>
      </c>
      <c r="C26" s="278">
        <v>119761</v>
      </c>
      <c r="D26" s="136"/>
      <c r="E26" s="186">
        <f t="shared" si="4"/>
        <v>119761</v>
      </c>
      <c r="F26" s="186">
        <f t="shared" si="0"/>
        <v>111953.28</v>
      </c>
      <c r="G26" s="186">
        <f t="shared" si="2"/>
        <v>7807.7200000000012</v>
      </c>
      <c r="H26" s="199"/>
      <c r="I26" s="199"/>
      <c r="J26" s="199"/>
      <c r="K26" s="199"/>
      <c r="L26" s="223">
        <v>13064.14</v>
      </c>
      <c r="M26" s="223">
        <v>8223</v>
      </c>
      <c r="N26" s="223">
        <v>8222</v>
      </c>
      <c r="O26" s="223">
        <v>8223</v>
      </c>
      <c r="P26" s="223">
        <v>8843</v>
      </c>
      <c r="Q26" s="223">
        <v>8568</v>
      </c>
      <c r="R26" s="223">
        <v>8223</v>
      </c>
      <c r="S26" s="223">
        <v>12420.14</v>
      </c>
      <c r="T26" s="223">
        <v>9809</v>
      </c>
      <c r="U26" s="223">
        <v>18105</v>
      </c>
      <c r="V26" s="223">
        <v>8253</v>
      </c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</row>
    <row r="27" spans="1:39" s="133" customFormat="1" ht="16.5" thickBot="1" x14ac:dyDescent="0.3">
      <c r="A27" s="142" t="s">
        <v>171</v>
      </c>
      <c r="B27" s="144" t="s">
        <v>347</v>
      </c>
      <c r="C27" s="278">
        <v>15968</v>
      </c>
      <c r="D27" s="136" t="s">
        <v>371</v>
      </c>
      <c r="E27" s="186">
        <v>0</v>
      </c>
      <c r="F27" s="186">
        <f t="shared" si="0"/>
        <v>0</v>
      </c>
      <c r="G27" s="186">
        <f t="shared" si="2"/>
        <v>0</v>
      </c>
      <c r="H27" s="199"/>
      <c r="I27" s="199"/>
      <c r="J27" s="199"/>
      <c r="K27" s="199"/>
      <c r="L27" s="199"/>
      <c r="M27" s="199"/>
      <c r="N27" s="199"/>
      <c r="O27" s="199"/>
      <c r="P27" s="199"/>
      <c r="Q27" s="223"/>
      <c r="R27" s="223"/>
      <c r="S27" s="223"/>
      <c r="T27" s="223"/>
      <c r="U27" s="223"/>
      <c r="V27" s="223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</row>
    <row r="28" spans="1:39" ht="16.5" thickBot="1" x14ac:dyDescent="0.3">
      <c r="A28" s="142" t="s">
        <v>179</v>
      </c>
      <c r="B28" s="144" t="s">
        <v>567</v>
      </c>
      <c r="C28" s="278">
        <v>11976</v>
      </c>
      <c r="D28" s="136" t="s">
        <v>371</v>
      </c>
      <c r="E28" s="186">
        <v>0</v>
      </c>
      <c r="F28" s="186">
        <f t="shared" si="0"/>
        <v>0</v>
      </c>
      <c r="G28" s="186">
        <f t="shared" si="2"/>
        <v>0</v>
      </c>
      <c r="H28" s="199"/>
      <c r="I28" s="199"/>
      <c r="J28" s="199"/>
      <c r="K28" s="199"/>
      <c r="L28" s="199"/>
      <c r="M28" s="199"/>
      <c r="N28" s="199"/>
      <c r="O28" s="199"/>
      <c r="P28" s="199"/>
      <c r="Q28" s="223"/>
      <c r="R28" s="223"/>
      <c r="S28" s="223"/>
      <c r="T28" s="223"/>
      <c r="U28" s="223"/>
      <c r="V28" s="223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</row>
    <row r="29" spans="1:39" s="133" customFormat="1" ht="16.5" thickBot="1" x14ac:dyDescent="0.3">
      <c r="A29" s="142" t="s">
        <v>180</v>
      </c>
      <c r="B29" s="144" t="s">
        <v>356</v>
      </c>
      <c r="C29" s="278">
        <v>31936</v>
      </c>
      <c r="D29" s="136"/>
      <c r="E29" s="186">
        <f t="shared" si="4"/>
        <v>31936</v>
      </c>
      <c r="F29" s="186">
        <f t="shared" si="0"/>
        <v>24332.93</v>
      </c>
      <c r="G29" s="186">
        <f t="shared" si="2"/>
        <v>7603.07</v>
      </c>
      <c r="H29" s="199"/>
      <c r="I29" s="199"/>
      <c r="J29" s="199"/>
      <c r="K29" s="199"/>
      <c r="L29" s="199"/>
      <c r="M29" s="199"/>
      <c r="N29" s="199"/>
      <c r="O29" s="199"/>
      <c r="P29" s="199"/>
      <c r="Q29" s="223"/>
      <c r="R29" s="223">
        <v>13371.29</v>
      </c>
      <c r="S29" s="223">
        <f>14035.61+3985.11</f>
        <v>18020.72</v>
      </c>
      <c r="T29" s="223">
        <v>-7059.08</v>
      </c>
      <c r="U29" s="223"/>
      <c r="V29" s="223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</row>
    <row r="30" spans="1:39" s="133" customFormat="1" ht="16.5" thickBot="1" x14ac:dyDescent="0.3">
      <c r="A30" s="142" t="s">
        <v>181</v>
      </c>
      <c r="B30" s="144" t="s">
        <v>357</v>
      </c>
      <c r="C30" s="278">
        <v>3992</v>
      </c>
      <c r="D30" s="136"/>
      <c r="E30" s="186">
        <f t="shared" si="4"/>
        <v>3992</v>
      </c>
      <c r="F30" s="186">
        <f t="shared" si="0"/>
        <v>0</v>
      </c>
      <c r="G30" s="186">
        <f t="shared" si="2"/>
        <v>3992</v>
      </c>
      <c r="H30" s="199"/>
      <c r="I30" s="199"/>
      <c r="J30" s="199"/>
      <c r="K30" s="199"/>
      <c r="L30" s="199"/>
      <c r="M30" s="199"/>
      <c r="N30" s="199"/>
      <c r="O30" s="199"/>
      <c r="P30" s="199"/>
      <c r="Q30" s="223"/>
      <c r="R30" s="223"/>
      <c r="S30" s="223"/>
      <c r="T30" s="223"/>
      <c r="U30" s="223"/>
      <c r="V30" s="223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</row>
    <row r="31" spans="1:39" ht="16.5" thickBot="1" x14ac:dyDescent="0.3">
      <c r="A31" s="142" t="s">
        <v>370</v>
      </c>
      <c r="B31" s="144" t="s">
        <v>374</v>
      </c>
      <c r="C31" s="186">
        <v>0</v>
      </c>
      <c r="D31" s="136"/>
      <c r="E31" s="186">
        <f>C17</f>
        <v>3992</v>
      </c>
      <c r="F31" s="186">
        <f t="shared" si="0"/>
        <v>3992</v>
      </c>
      <c r="G31" s="186">
        <f t="shared" si="2"/>
        <v>0</v>
      </c>
      <c r="H31" s="284"/>
      <c r="I31" s="284"/>
      <c r="J31" s="284"/>
      <c r="K31" s="199"/>
      <c r="L31" s="199"/>
      <c r="M31" s="199"/>
      <c r="N31" s="199"/>
      <c r="O31" s="199"/>
      <c r="P31" s="199"/>
      <c r="Q31" s="223"/>
      <c r="R31" s="223"/>
      <c r="S31" s="223">
        <v>3992</v>
      </c>
      <c r="T31" s="223"/>
      <c r="U31" s="223"/>
      <c r="V31" s="223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</row>
    <row r="32" spans="1:39" ht="16.5" thickBot="1" x14ac:dyDescent="0.3">
      <c r="A32" s="142" t="s">
        <v>371</v>
      </c>
      <c r="B32" s="144" t="s">
        <v>593</v>
      </c>
      <c r="C32" s="186">
        <v>0</v>
      </c>
      <c r="D32" s="136"/>
      <c r="E32" s="186">
        <f>C20+C27+C28</f>
        <v>35928</v>
      </c>
      <c r="F32" s="186">
        <f t="shared" si="0"/>
        <v>21123</v>
      </c>
      <c r="G32" s="186">
        <f t="shared" si="2"/>
        <v>14805</v>
      </c>
      <c r="H32" s="199"/>
      <c r="I32" s="199"/>
      <c r="J32" s="199"/>
      <c r="K32" s="199"/>
      <c r="L32" s="199"/>
      <c r="M32" s="199"/>
      <c r="N32" s="223">
        <v>5172</v>
      </c>
      <c r="O32" s="199"/>
      <c r="P32" s="199"/>
      <c r="Q32" s="223"/>
      <c r="R32" s="223">
        <v>5154</v>
      </c>
      <c r="S32" s="199"/>
      <c r="T32" s="223">
        <v>261</v>
      </c>
      <c r="U32" s="223"/>
      <c r="V32" s="223">
        <v>10536</v>
      </c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</row>
    <row r="33" spans="1:39" s="133" customFormat="1" ht="16.5" thickBot="1" x14ac:dyDescent="0.3">
      <c r="A33" s="300" t="s">
        <v>372</v>
      </c>
      <c r="B33" s="144" t="s">
        <v>376</v>
      </c>
      <c r="C33" s="186">
        <v>0</v>
      </c>
      <c r="D33" s="136"/>
      <c r="E33" s="186">
        <f>C25</f>
        <v>3992</v>
      </c>
      <c r="F33" s="186">
        <f t="shared" si="0"/>
        <v>0</v>
      </c>
      <c r="G33" s="186">
        <f t="shared" si="2"/>
        <v>3992</v>
      </c>
      <c r="H33" s="199"/>
      <c r="I33" s="199"/>
      <c r="J33" s="199"/>
      <c r="K33" s="199"/>
      <c r="L33" s="199"/>
      <c r="M33" s="199"/>
      <c r="N33" s="199"/>
      <c r="O33" s="199"/>
      <c r="P33" s="199"/>
      <c r="Q33" s="223"/>
      <c r="R33" s="223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</row>
    <row r="34" spans="1:39" s="7" customFormat="1" ht="16.5" thickBot="1" x14ac:dyDescent="0.3">
      <c r="A34" s="282"/>
      <c r="B34" s="283"/>
      <c r="C34" s="284"/>
      <c r="D34" s="285"/>
      <c r="E34" s="284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</row>
    <row r="35" spans="1:39" ht="16.5" thickBot="1" x14ac:dyDescent="0.3">
      <c r="A35" s="144" t="s">
        <v>575</v>
      </c>
      <c r="B35" s="144"/>
      <c r="C35" s="186">
        <f>C12+C13+C14+C15+C16+C17+C18+C19+C20+C21+C22+C23+C24+C25+C26+C27+C28+C29+C30</f>
        <v>514971</v>
      </c>
      <c r="D35" s="186"/>
      <c r="E35" s="186">
        <f>E12+E13+E14+E15+E16+E17+E18+E19+E20+E21+E22+E23+E24+E25+E26+E27+E28+E29+E30+E31+E32+E33</f>
        <v>514971</v>
      </c>
      <c r="F35" s="186">
        <f t="shared" ref="F35:AL35" si="5">SUM(F12:F32)</f>
        <v>239243.13999999998</v>
      </c>
      <c r="G35" s="186">
        <f>G12+G13+G14+G15+G16+G17+G18+G19+G20+G21+G22+G23+G24+G25+G26+G27+G28+G29+G30+G31+G32+G33</f>
        <v>275727.86</v>
      </c>
      <c r="H35" s="186">
        <f t="shared" si="5"/>
        <v>0</v>
      </c>
      <c r="I35" s="186">
        <f t="shared" si="5"/>
        <v>0</v>
      </c>
      <c r="J35" s="186">
        <f t="shared" si="5"/>
        <v>0</v>
      </c>
      <c r="K35" s="186">
        <f t="shared" si="5"/>
        <v>0</v>
      </c>
      <c r="L35" s="186">
        <f t="shared" si="5"/>
        <v>13064.14</v>
      </c>
      <c r="M35" s="186">
        <f t="shared" si="5"/>
        <v>8223</v>
      </c>
      <c r="N35" s="186">
        <f t="shared" si="5"/>
        <v>13394</v>
      </c>
      <c r="O35" s="186">
        <f t="shared" si="5"/>
        <v>8223</v>
      </c>
      <c r="P35" s="186">
        <f t="shared" si="5"/>
        <v>8843</v>
      </c>
      <c r="Q35" s="186">
        <f t="shared" si="5"/>
        <v>11612.95</v>
      </c>
      <c r="R35" s="186">
        <f t="shared" si="5"/>
        <v>26748.29</v>
      </c>
      <c r="S35" s="186">
        <f t="shared" si="5"/>
        <v>58384.86</v>
      </c>
      <c r="T35" s="186">
        <f t="shared" si="5"/>
        <v>10842.949999999999</v>
      </c>
      <c r="U35" s="186">
        <f t="shared" si="5"/>
        <v>49141.95</v>
      </c>
      <c r="V35" s="186">
        <f t="shared" si="5"/>
        <v>30765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6">
        <f t="shared" si="5"/>
        <v>0</v>
      </c>
      <c r="AA35" s="186">
        <f t="shared" si="5"/>
        <v>0</v>
      </c>
      <c r="AB35" s="186">
        <f t="shared" si="5"/>
        <v>0</v>
      </c>
      <c r="AC35" s="186">
        <f t="shared" si="5"/>
        <v>0</v>
      </c>
      <c r="AD35" s="186">
        <f t="shared" si="5"/>
        <v>0</v>
      </c>
      <c r="AE35" s="186">
        <f t="shared" si="5"/>
        <v>0</v>
      </c>
      <c r="AF35" s="186">
        <f t="shared" si="5"/>
        <v>0</v>
      </c>
      <c r="AG35" s="186">
        <f t="shared" si="5"/>
        <v>0</v>
      </c>
      <c r="AH35" s="186">
        <f t="shared" si="5"/>
        <v>0</v>
      </c>
      <c r="AI35" s="186">
        <f t="shared" si="5"/>
        <v>0</v>
      </c>
      <c r="AJ35" s="186">
        <f t="shared" si="5"/>
        <v>0</v>
      </c>
      <c r="AK35" s="186">
        <f t="shared" si="5"/>
        <v>0</v>
      </c>
      <c r="AL35" s="186">
        <f t="shared" si="5"/>
        <v>0</v>
      </c>
    </row>
    <row r="36" spans="1:39" x14ac:dyDescent="0.25">
      <c r="E36" s="162"/>
    </row>
    <row r="41" spans="1:39" x14ac:dyDescent="0.25">
      <c r="C41" s="199"/>
    </row>
  </sheetData>
  <autoFilter ref="A11:AM33" xr:uid="{00000000-0009-0000-0000-000006000000}"/>
  <sortState xmlns:xlrd2="http://schemas.microsoft.com/office/spreadsheetml/2017/richdata2" ref="A155:AH188">
    <sortCondition ref="A12"/>
  </sortState>
  <pageMargins left="0.7" right="0.7" top="0.75" bottom="0.75" header="0.3" footer="0.3"/>
  <pageSetup scale="1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66CCFF"/>
  </sheetPr>
  <dimension ref="A1:AM233"/>
  <sheetViews>
    <sheetView tabSelected="1" zoomScaleNormal="100" workbookViewId="0">
      <pane xSplit="7" ySplit="11" topLeftCell="U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V14" sqref="V14"/>
    </sheetView>
  </sheetViews>
  <sheetFormatPr defaultColWidth="9.140625" defaultRowHeight="15" x14ac:dyDescent="0.25"/>
  <cols>
    <col min="1" max="1" width="9.140625" style="118"/>
    <col min="2" max="2" width="33" style="7" bestFit="1" customWidth="1"/>
    <col min="3" max="3" width="16.7109375" style="7" customWidth="1"/>
    <col min="4" max="4" width="16.7109375" style="110" customWidth="1"/>
    <col min="5" max="5" width="19.5703125" style="7" customWidth="1"/>
    <col min="6" max="7" width="16.7109375" style="7" customWidth="1"/>
    <col min="8" max="15" width="15.7109375" style="7" customWidth="1"/>
    <col min="16" max="16" width="15.7109375" style="243" customWidth="1"/>
    <col min="17" max="17" width="15.7109375" style="94" customWidth="1"/>
    <col min="18" max="18" width="15.7109375" style="7" customWidth="1"/>
    <col min="19" max="19" width="15.7109375" style="257" customWidth="1"/>
    <col min="20" max="34" width="15.7109375" style="7" customWidth="1"/>
    <col min="35" max="39" width="16.28515625" style="7" customWidth="1"/>
    <col min="40" max="16384" width="9.140625" style="7"/>
  </cols>
  <sheetData>
    <row r="1" spans="1:39" s="62" customFormat="1" ht="21" x14ac:dyDescent="0.35">
      <c r="A1" s="122" t="s">
        <v>0</v>
      </c>
      <c r="B1" s="64"/>
      <c r="C1" s="122" t="s">
        <v>661</v>
      </c>
      <c r="D1" s="103"/>
      <c r="E1" s="122"/>
      <c r="F1" s="63"/>
      <c r="G1" s="63"/>
      <c r="H1" s="66"/>
      <c r="I1" s="66"/>
      <c r="J1" s="122" t="str">
        <f>C1</f>
        <v>Title IV Formula (Revised Final 11/18/21)</v>
      </c>
      <c r="K1" s="122"/>
      <c r="L1" s="63"/>
      <c r="M1" s="63"/>
      <c r="N1" s="63"/>
      <c r="O1" s="63"/>
      <c r="P1" s="239" t="str">
        <f>C1</f>
        <v>Title IV Formula (Revised Final 11/18/21)</v>
      </c>
      <c r="Q1" s="97"/>
      <c r="R1" s="122"/>
      <c r="S1" s="254"/>
      <c r="T1" s="63"/>
      <c r="U1" s="63"/>
      <c r="V1" s="122" t="str">
        <f>C1</f>
        <v>Title IV Formula (Revised Final 11/18/21)</v>
      </c>
      <c r="W1" s="63"/>
      <c r="X1" s="66"/>
      <c r="Y1" s="66"/>
      <c r="Z1" s="122"/>
      <c r="AA1" s="122"/>
      <c r="AB1" s="122" t="str">
        <f>C1</f>
        <v>Title IV Formula (Revised Final 11/18/21)</v>
      </c>
      <c r="AC1" s="63"/>
      <c r="AD1" s="63"/>
      <c r="AE1" s="63"/>
      <c r="AF1" s="122" t="str">
        <f>C1</f>
        <v>Title IV Formula (Revised Final 11/18/21)</v>
      </c>
      <c r="AG1" s="66"/>
      <c r="AH1" s="122"/>
      <c r="AI1" s="120"/>
      <c r="AJ1" s="120"/>
      <c r="AK1" s="120"/>
      <c r="AL1" s="120"/>
      <c r="AM1" s="120"/>
    </row>
    <row r="2" spans="1:39" s="62" customFormat="1" ht="15.75" x14ac:dyDescent="0.25">
      <c r="A2" s="123" t="s">
        <v>1</v>
      </c>
      <c r="B2" s="64"/>
      <c r="C2" s="68" t="s">
        <v>609</v>
      </c>
      <c r="D2" s="104"/>
      <c r="E2" s="68"/>
      <c r="F2" s="67"/>
      <c r="G2" s="67"/>
      <c r="H2" s="66"/>
      <c r="I2" s="66"/>
      <c r="J2" s="67" t="str">
        <f>"FY"&amp;C4</f>
        <v>FY2021-2022</v>
      </c>
      <c r="K2" s="67"/>
      <c r="L2" s="123"/>
      <c r="M2" s="123"/>
      <c r="N2" s="67"/>
      <c r="O2" s="67"/>
      <c r="P2" s="240" t="str">
        <f>"FY"&amp;C4</f>
        <v>FY2021-2022</v>
      </c>
      <c r="Q2" s="98"/>
      <c r="R2" s="67"/>
      <c r="S2" s="255"/>
      <c r="T2" s="123"/>
      <c r="U2" s="123"/>
      <c r="V2" s="67" t="str">
        <f>"FY"&amp;C4</f>
        <v>FY2021-2022</v>
      </c>
      <c r="W2" s="67"/>
      <c r="X2" s="67"/>
      <c r="Y2" s="67"/>
      <c r="Z2" s="67"/>
      <c r="AA2" s="67"/>
      <c r="AB2" s="67" t="str">
        <f>"FY"&amp;C4</f>
        <v>FY2021-2022</v>
      </c>
      <c r="AC2" s="123"/>
      <c r="AD2" s="67"/>
      <c r="AE2" s="67"/>
      <c r="AF2" s="67" t="str">
        <f>"FY"&amp;C4</f>
        <v>FY2021-2022</v>
      </c>
      <c r="AG2" s="67"/>
      <c r="AH2" s="67"/>
      <c r="AI2" s="81"/>
      <c r="AJ2" s="81"/>
      <c r="AK2" s="81"/>
      <c r="AL2" s="81"/>
      <c r="AM2" s="81"/>
    </row>
    <row r="3" spans="1:39" s="62" customFormat="1" ht="15.75" x14ac:dyDescent="0.25">
      <c r="A3" s="123" t="s">
        <v>3</v>
      </c>
      <c r="B3" s="64"/>
      <c r="C3" s="123">
        <v>4424</v>
      </c>
      <c r="D3" s="105"/>
      <c r="E3" s="123"/>
      <c r="F3" s="67"/>
      <c r="G3" s="67"/>
      <c r="H3" s="66"/>
      <c r="I3" s="66"/>
      <c r="J3" s="66"/>
      <c r="K3" s="66"/>
      <c r="L3" s="66"/>
      <c r="M3" s="66"/>
      <c r="N3" s="66"/>
      <c r="O3" s="66"/>
      <c r="P3" s="241"/>
      <c r="Q3" s="9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80"/>
      <c r="AJ3" s="80"/>
      <c r="AK3" s="80"/>
      <c r="AL3" s="80"/>
      <c r="AM3" s="80"/>
    </row>
    <row r="4" spans="1:39" s="62" customFormat="1" ht="21" x14ac:dyDescent="0.35">
      <c r="A4" s="123" t="s">
        <v>2</v>
      </c>
      <c r="B4" s="64"/>
      <c r="C4" s="122" t="s">
        <v>640</v>
      </c>
      <c r="D4" s="105"/>
      <c r="E4" s="122"/>
      <c r="F4" s="67"/>
      <c r="G4" s="67"/>
      <c r="H4" s="66"/>
      <c r="I4" s="66"/>
      <c r="J4" s="66"/>
      <c r="K4" s="66"/>
      <c r="L4" s="66"/>
      <c r="M4" s="66"/>
      <c r="N4" s="66"/>
      <c r="O4" s="66"/>
      <c r="P4" s="241"/>
      <c r="Q4" s="9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80"/>
      <c r="AJ4" s="80"/>
      <c r="AK4" s="80"/>
      <c r="AL4" s="80"/>
      <c r="AM4" s="80"/>
    </row>
    <row r="5" spans="1:39" s="62" customFormat="1" ht="15.75" x14ac:dyDescent="0.25">
      <c r="A5" s="123" t="s">
        <v>392</v>
      </c>
      <c r="B5" s="64"/>
      <c r="C5" s="67" t="s">
        <v>613</v>
      </c>
      <c r="D5" s="106"/>
      <c r="E5" s="67"/>
      <c r="F5" s="67"/>
      <c r="G5" s="70"/>
      <c r="H5" s="70"/>
      <c r="I5" s="70"/>
      <c r="J5" s="70"/>
      <c r="K5" s="70"/>
      <c r="L5" s="70"/>
      <c r="M5" s="70"/>
      <c r="N5" s="70"/>
      <c r="O5" s="70"/>
      <c r="P5" s="241"/>
      <c r="Q5" s="99"/>
      <c r="R5" s="70"/>
      <c r="S5" s="66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86"/>
      <c r="AJ5" s="86"/>
      <c r="AK5" s="86"/>
      <c r="AL5" s="86"/>
      <c r="AM5" s="86"/>
    </row>
    <row r="6" spans="1:39" s="62" customFormat="1" ht="15.75" x14ac:dyDescent="0.25">
      <c r="A6" s="123" t="s">
        <v>4</v>
      </c>
      <c r="B6" s="64"/>
      <c r="C6" s="67" t="s">
        <v>364</v>
      </c>
      <c r="D6" s="106"/>
      <c r="E6" s="67"/>
      <c r="F6" s="67"/>
      <c r="G6" s="70"/>
      <c r="H6" s="70"/>
      <c r="I6" s="70"/>
      <c r="J6" s="70"/>
      <c r="K6" s="70"/>
      <c r="L6" s="70"/>
      <c r="M6" s="70"/>
      <c r="N6" s="70"/>
      <c r="O6" s="70"/>
      <c r="P6" s="241"/>
      <c r="Q6" s="99"/>
      <c r="R6" s="70"/>
      <c r="S6" s="66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86"/>
      <c r="AJ6" s="86"/>
      <c r="AK6" s="86"/>
      <c r="AL6" s="86"/>
      <c r="AM6" s="86"/>
    </row>
    <row r="7" spans="1:39" s="62" customFormat="1" ht="15.75" x14ac:dyDescent="0.25">
      <c r="A7" s="123"/>
      <c r="B7" s="64"/>
      <c r="C7" s="67" t="s">
        <v>617</v>
      </c>
      <c r="D7" s="106"/>
      <c r="E7" s="67"/>
      <c r="F7" s="67"/>
      <c r="G7" s="70"/>
      <c r="H7" s="70"/>
      <c r="I7" s="70"/>
      <c r="J7" s="70"/>
      <c r="K7" s="70"/>
      <c r="L7" s="70"/>
      <c r="M7" s="70"/>
      <c r="N7" s="70"/>
      <c r="O7" s="70"/>
      <c r="P7" s="241"/>
      <c r="Q7" s="99"/>
      <c r="R7" s="70"/>
      <c r="S7" s="66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86"/>
      <c r="AJ7" s="86"/>
      <c r="AK7" s="86"/>
      <c r="AL7" s="86"/>
      <c r="AM7" s="86"/>
    </row>
    <row r="8" spans="1:39" s="62" customFormat="1" ht="15.75" x14ac:dyDescent="0.25">
      <c r="A8" s="123" t="s">
        <v>378</v>
      </c>
      <c r="B8" s="64"/>
      <c r="C8" s="67" t="s">
        <v>585</v>
      </c>
      <c r="D8" s="106"/>
      <c r="E8" s="67"/>
      <c r="F8" s="67"/>
      <c r="G8" s="70"/>
      <c r="H8" s="70"/>
      <c r="I8" s="70"/>
      <c r="J8" s="70"/>
      <c r="K8" s="70"/>
      <c r="L8" s="70"/>
      <c r="M8" s="70"/>
      <c r="N8" s="70"/>
      <c r="O8" s="70"/>
      <c r="P8" s="241"/>
      <c r="Q8" s="99"/>
      <c r="R8" s="70"/>
      <c r="S8" s="66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86"/>
      <c r="AJ8" s="86"/>
      <c r="AK8" s="86"/>
      <c r="AL8" s="86"/>
      <c r="AM8" s="86"/>
    </row>
    <row r="9" spans="1:39" s="62" customFormat="1" ht="15.75" x14ac:dyDescent="0.25">
      <c r="A9" s="123" t="s">
        <v>379</v>
      </c>
      <c r="B9" s="64"/>
      <c r="C9" s="67" t="s">
        <v>380</v>
      </c>
      <c r="D9" s="106"/>
      <c r="E9" s="67"/>
      <c r="F9" s="67"/>
      <c r="G9" s="70"/>
      <c r="H9" s="70"/>
      <c r="I9" s="70"/>
      <c r="J9" s="70"/>
      <c r="K9" s="70"/>
      <c r="L9" s="70"/>
      <c r="M9" s="70"/>
      <c r="N9" s="70"/>
      <c r="O9" s="70"/>
      <c r="P9" s="241"/>
      <c r="Q9" s="99"/>
      <c r="R9" s="70"/>
      <c r="S9" s="66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86"/>
      <c r="AJ9" s="86"/>
      <c r="AK9" s="86"/>
      <c r="AL9" s="86"/>
      <c r="AM9" s="86"/>
    </row>
    <row r="10" spans="1:39" s="62" customFormat="1" ht="16.5" thickBot="1" x14ac:dyDescent="0.3">
      <c r="A10" s="123" t="s">
        <v>393</v>
      </c>
      <c r="B10" s="64"/>
      <c r="C10" s="67" t="s">
        <v>642</v>
      </c>
      <c r="D10" s="106"/>
      <c r="E10" s="67"/>
      <c r="F10" s="67"/>
      <c r="G10" s="70"/>
      <c r="H10" s="70"/>
      <c r="I10" s="70"/>
      <c r="J10" s="70"/>
      <c r="K10" s="70"/>
      <c r="L10" s="70"/>
      <c r="M10" s="70"/>
      <c r="N10" s="70"/>
      <c r="O10" s="70"/>
      <c r="P10" s="241"/>
      <c r="Q10" s="99"/>
      <c r="R10" s="70"/>
      <c r="S10" s="66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86"/>
      <c r="AJ10" s="86"/>
      <c r="AK10" s="86"/>
      <c r="AL10" s="86"/>
      <c r="AM10" s="86"/>
    </row>
    <row r="11" spans="1:39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612</v>
      </c>
      <c r="E11" s="41" t="s">
        <v>607</v>
      </c>
      <c r="F11" s="42" t="s">
        <v>368</v>
      </c>
      <c r="G11" s="49" t="s">
        <v>369</v>
      </c>
      <c r="H11" s="100" t="s">
        <v>645</v>
      </c>
      <c r="I11" s="100" t="s">
        <v>614</v>
      </c>
      <c r="J11" s="100" t="s">
        <v>615</v>
      </c>
      <c r="K11" s="100" t="s">
        <v>616</v>
      </c>
      <c r="L11" s="100" t="s">
        <v>646</v>
      </c>
      <c r="M11" s="100" t="s">
        <v>618</v>
      </c>
      <c r="N11" s="100" t="s">
        <v>625</v>
      </c>
      <c r="O11" s="100" t="s">
        <v>626</v>
      </c>
      <c r="P11" s="100" t="s">
        <v>627</v>
      </c>
      <c r="Q11" s="101" t="s">
        <v>628</v>
      </c>
      <c r="R11" s="100" t="s">
        <v>629</v>
      </c>
      <c r="S11" s="100" t="s">
        <v>630</v>
      </c>
      <c r="T11" s="100" t="s">
        <v>631</v>
      </c>
      <c r="U11" s="100" t="s">
        <v>632</v>
      </c>
      <c r="V11" s="100" t="s">
        <v>633</v>
      </c>
      <c r="W11" s="100" t="s">
        <v>634</v>
      </c>
      <c r="X11" s="100" t="s">
        <v>635</v>
      </c>
      <c r="Y11" s="100" t="s">
        <v>636</v>
      </c>
      <c r="Z11" s="100" t="s">
        <v>647</v>
      </c>
      <c r="AA11" s="100" t="s">
        <v>648</v>
      </c>
      <c r="AB11" s="100" t="s">
        <v>649</v>
      </c>
      <c r="AC11" s="100" t="s">
        <v>650</v>
      </c>
      <c r="AD11" s="100" t="s">
        <v>651</v>
      </c>
      <c r="AE11" s="100" t="s">
        <v>652</v>
      </c>
      <c r="AF11" s="100" t="s">
        <v>653</v>
      </c>
      <c r="AG11" s="100" t="s">
        <v>654</v>
      </c>
      <c r="AH11" s="100" t="s">
        <v>655</v>
      </c>
      <c r="AI11" s="100" t="s">
        <v>656</v>
      </c>
      <c r="AJ11" s="100" t="s">
        <v>657</v>
      </c>
      <c r="AK11" s="100" t="s">
        <v>658</v>
      </c>
      <c r="AL11" s="100" t="s">
        <v>610</v>
      </c>
      <c r="AM11" s="100" t="s">
        <v>611</v>
      </c>
    </row>
    <row r="12" spans="1:39" s="3" customFormat="1" ht="19.5" thickBot="1" x14ac:dyDescent="0.35">
      <c r="A12" s="142" t="s">
        <v>6</v>
      </c>
      <c r="B12" s="144" t="s">
        <v>184</v>
      </c>
      <c r="C12" s="281">
        <v>82882</v>
      </c>
      <c r="D12" s="136"/>
      <c r="E12" s="220">
        <f>C12</f>
        <v>82882</v>
      </c>
      <c r="F12" s="186">
        <f>SUM(H12:AK12)</f>
        <v>74594</v>
      </c>
      <c r="G12" s="245">
        <f>E12-(F12+AL12+AM12)</f>
        <v>8288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>
        <v>1816.48</v>
      </c>
      <c r="S12" s="242">
        <f>72777.52</f>
        <v>72777.52</v>
      </c>
      <c r="T12" s="242"/>
      <c r="U12" s="242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</row>
    <row r="13" spans="1:39" s="3" customFormat="1" ht="19.5" thickBot="1" x14ac:dyDescent="0.35">
      <c r="A13" s="142" t="s">
        <v>7</v>
      </c>
      <c r="B13" s="144" t="s">
        <v>413</v>
      </c>
      <c r="C13" s="281">
        <v>313151</v>
      </c>
      <c r="D13" s="136"/>
      <c r="E13" s="220">
        <f t="shared" ref="E13:E76" si="0">C13</f>
        <v>313151</v>
      </c>
      <c r="F13" s="186">
        <f t="shared" ref="F13:F76" si="1">SUM(H13:AK13)</f>
        <v>162597.56</v>
      </c>
      <c r="G13" s="245">
        <f t="shared" ref="G13:G76" si="2">E13-(F13+AL13+AM13)</f>
        <v>150553.44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>
        <v>52748.1</v>
      </c>
      <c r="R13" s="238">
        <v>15241.79</v>
      </c>
      <c r="S13" s="238">
        <f>11905.47+54915.45</f>
        <v>66820.92</v>
      </c>
      <c r="T13" s="238"/>
      <c r="U13" s="238">
        <v>27786.75</v>
      </c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</row>
    <row r="14" spans="1:39" s="3" customFormat="1" ht="19.5" thickBot="1" x14ac:dyDescent="0.35">
      <c r="A14" s="142" t="s">
        <v>8</v>
      </c>
      <c r="B14" s="144" t="s">
        <v>186</v>
      </c>
      <c r="C14" s="281">
        <v>145008</v>
      </c>
      <c r="D14" s="136"/>
      <c r="E14" s="220">
        <f t="shared" si="0"/>
        <v>145008</v>
      </c>
      <c r="F14" s="186">
        <f t="shared" si="1"/>
        <v>11151.5</v>
      </c>
      <c r="G14" s="245">
        <f t="shared" si="2"/>
        <v>133856.5</v>
      </c>
      <c r="H14" s="238"/>
      <c r="I14" s="238"/>
      <c r="J14" s="238"/>
      <c r="K14" s="238"/>
      <c r="L14" s="238"/>
      <c r="M14" s="238"/>
      <c r="N14" s="238"/>
      <c r="O14" s="238"/>
      <c r="P14" s="238">
        <v>11151.5</v>
      </c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</row>
    <row r="15" spans="1:39" s="3" customFormat="1" ht="19.5" thickBot="1" x14ac:dyDescent="0.35">
      <c r="A15" s="142" t="s">
        <v>9</v>
      </c>
      <c r="B15" s="144" t="s">
        <v>396</v>
      </c>
      <c r="C15" s="281">
        <v>89957</v>
      </c>
      <c r="D15" s="136"/>
      <c r="E15" s="220">
        <f t="shared" si="0"/>
        <v>89957</v>
      </c>
      <c r="F15" s="186">
        <f t="shared" si="1"/>
        <v>0</v>
      </c>
      <c r="G15" s="245">
        <f t="shared" si="2"/>
        <v>89957</v>
      </c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pans="1:39" s="3" customFormat="1" ht="19.5" thickBot="1" x14ac:dyDescent="0.35">
      <c r="A16" s="142" t="s">
        <v>10</v>
      </c>
      <c r="B16" s="144" t="s">
        <v>188</v>
      </c>
      <c r="C16" s="281">
        <v>10000</v>
      </c>
      <c r="D16" s="136">
        <v>9025</v>
      </c>
      <c r="E16" s="270">
        <v>0</v>
      </c>
      <c r="F16" s="186">
        <f t="shared" si="1"/>
        <v>0</v>
      </c>
      <c r="G16" s="245">
        <f t="shared" si="2"/>
        <v>0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</row>
    <row r="17" spans="1:39" s="3" customFormat="1" ht="19.5" thickBot="1" x14ac:dyDescent="0.35">
      <c r="A17" s="142" t="s">
        <v>11</v>
      </c>
      <c r="B17" s="144" t="s">
        <v>189</v>
      </c>
      <c r="C17" s="281">
        <v>10000</v>
      </c>
      <c r="D17" s="136">
        <v>9025</v>
      </c>
      <c r="E17" s="270">
        <v>0</v>
      </c>
      <c r="F17" s="186">
        <f t="shared" si="1"/>
        <v>0</v>
      </c>
      <c r="G17" s="245">
        <f t="shared" si="2"/>
        <v>0</v>
      </c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</row>
    <row r="18" spans="1:39" s="3" customFormat="1" ht="19.5" thickBot="1" x14ac:dyDescent="0.35">
      <c r="A18" s="142" t="s">
        <v>12</v>
      </c>
      <c r="B18" s="144" t="s">
        <v>587</v>
      </c>
      <c r="C18" s="281">
        <v>180643</v>
      </c>
      <c r="D18" s="136"/>
      <c r="E18" s="220">
        <f t="shared" si="0"/>
        <v>180643</v>
      </c>
      <c r="F18" s="186">
        <f t="shared" si="1"/>
        <v>67470.67</v>
      </c>
      <c r="G18" s="245">
        <f t="shared" si="2"/>
        <v>113172.33</v>
      </c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>
        <v>67470.67</v>
      </c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</row>
    <row r="19" spans="1:39" s="3" customFormat="1" ht="19.5" thickBot="1" x14ac:dyDescent="0.35">
      <c r="A19" s="142" t="s">
        <v>13</v>
      </c>
      <c r="B19" s="144" t="s">
        <v>414</v>
      </c>
      <c r="C19" s="281">
        <v>58997</v>
      </c>
      <c r="D19" s="136"/>
      <c r="E19" s="220">
        <f t="shared" si="0"/>
        <v>58997</v>
      </c>
      <c r="F19" s="186">
        <f t="shared" si="1"/>
        <v>26944.67</v>
      </c>
      <c r="G19" s="245">
        <f t="shared" si="2"/>
        <v>32052.33</v>
      </c>
      <c r="H19" s="238"/>
      <c r="I19" s="238"/>
      <c r="J19" s="238"/>
      <c r="K19" s="238"/>
      <c r="L19" s="238"/>
      <c r="M19" s="238"/>
      <c r="N19" s="238">
        <v>3783.03</v>
      </c>
      <c r="O19" s="238">
        <v>4632.34</v>
      </c>
      <c r="P19" s="238">
        <v>4632.3100000000004</v>
      </c>
      <c r="Q19" s="238">
        <v>4632.34</v>
      </c>
      <c r="R19" s="238">
        <v>4632.46</v>
      </c>
      <c r="S19" s="238">
        <v>4632.1899999999996</v>
      </c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</row>
    <row r="20" spans="1:39" s="3" customFormat="1" ht="19.5" thickBot="1" x14ac:dyDescent="0.35">
      <c r="A20" s="142" t="s">
        <v>14</v>
      </c>
      <c r="B20" s="144" t="s">
        <v>416</v>
      </c>
      <c r="C20" s="281">
        <v>10000</v>
      </c>
      <c r="D20" s="136"/>
      <c r="E20" s="220">
        <f t="shared" si="0"/>
        <v>10000</v>
      </c>
      <c r="F20" s="186">
        <f t="shared" si="1"/>
        <v>10000</v>
      </c>
      <c r="G20" s="245">
        <f t="shared" si="2"/>
        <v>0</v>
      </c>
      <c r="H20" s="238"/>
      <c r="I20" s="238"/>
      <c r="J20" s="238"/>
      <c r="K20" s="238"/>
      <c r="L20" s="238"/>
      <c r="M20" s="238">
        <v>2551.8000000000002</v>
      </c>
      <c r="N20" s="238"/>
      <c r="O20" s="238"/>
      <c r="P20" s="238"/>
      <c r="Q20" s="238">
        <f>4471.25+2976.95</f>
        <v>7448.2</v>
      </c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</row>
    <row r="21" spans="1:39" s="3" customFormat="1" ht="19.5" thickBot="1" x14ac:dyDescent="0.35">
      <c r="A21" s="142" t="s">
        <v>15</v>
      </c>
      <c r="B21" s="144" t="s">
        <v>193</v>
      </c>
      <c r="C21" s="281">
        <v>43010</v>
      </c>
      <c r="D21" s="136"/>
      <c r="E21" s="220">
        <f t="shared" si="0"/>
        <v>43010</v>
      </c>
      <c r="F21" s="186">
        <f t="shared" si="1"/>
        <v>13125.04</v>
      </c>
      <c r="G21" s="245">
        <f t="shared" si="2"/>
        <v>29884.959999999999</v>
      </c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>
        <v>9204.86</v>
      </c>
      <c r="U21" s="238">
        <v>3356.52</v>
      </c>
      <c r="V21" s="238">
        <v>563.66</v>
      </c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</row>
    <row r="22" spans="1:39" s="3" customFormat="1" ht="19.5" thickBot="1" x14ac:dyDescent="0.35">
      <c r="A22" s="142" t="s">
        <v>16</v>
      </c>
      <c r="B22" s="144" t="s">
        <v>194</v>
      </c>
      <c r="C22" s="281">
        <v>53321</v>
      </c>
      <c r="D22" s="136"/>
      <c r="E22" s="220">
        <f t="shared" si="0"/>
        <v>53321</v>
      </c>
      <c r="F22" s="186">
        <f t="shared" si="1"/>
        <v>50454</v>
      </c>
      <c r="G22" s="245">
        <f t="shared" si="2"/>
        <v>2867</v>
      </c>
      <c r="H22" s="238"/>
      <c r="I22" s="238"/>
      <c r="J22" s="238"/>
      <c r="K22" s="238"/>
      <c r="L22" s="238">
        <v>6227.54</v>
      </c>
      <c r="M22" s="238">
        <v>3737.43</v>
      </c>
      <c r="N22" s="238">
        <v>3487.93</v>
      </c>
      <c r="O22" s="238">
        <v>15150.23</v>
      </c>
      <c r="P22" s="238"/>
      <c r="Q22" s="238">
        <v>4491.6099999999997</v>
      </c>
      <c r="R22" s="238">
        <v>4023.31</v>
      </c>
      <c r="S22" s="238">
        <v>2000.66</v>
      </c>
      <c r="T22" s="238"/>
      <c r="U22" s="238"/>
      <c r="V22" s="238">
        <v>11335.29</v>
      </c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</row>
    <row r="23" spans="1:39" s="3" customFormat="1" ht="19.5" thickBot="1" x14ac:dyDescent="0.35">
      <c r="A23" s="142" t="s">
        <v>17</v>
      </c>
      <c r="B23" s="144" t="s">
        <v>195</v>
      </c>
      <c r="C23" s="281">
        <v>318896</v>
      </c>
      <c r="D23" s="136"/>
      <c r="E23" s="220">
        <f t="shared" si="0"/>
        <v>318896</v>
      </c>
      <c r="F23" s="186">
        <f t="shared" si="1"/>
        <v>0</v>
      </c>
      <c r="G23" s="245">
        <f t="shared" si="2"/>
        <v>318896</v>
      </c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</row>
    <row r="24" spans="1:39" s="3" customFormat="1" ht="19.5" thickBot="1" x14ac:dyDescent="0.35">
      <c r="A24" s="142" t="s">
        <v>18</v>
      </c>
      <c r="B24" s="144" t="s">
        <v>196</v>
      </c>
      <c r="C24" s="281">
        <v>30827</v>
      </c>
      <c r="D24" s="136"/>
      <c r="E24" s="220">
        <f t="shared" si="0"/>
        <v>30827</v>
      </c>
      <c r="F24" s="186">
        <f t="shared" si="1"/>
        <v>0</v>
      </c>
      <c r="G24" s="245">
        <f t="shared" si="2"/>
        <v>30827</v>
      </c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</row>
    <row r="25" spans="1:39" s="3" customFormat="1" ht="19.5" thickBot="1" x14ac:dyDescent="0.35">
      <c r="A25" s="142" t="s">
        <v>19</v>
      </c>
      <c r="B25" s="144" t="s">
        <v>197</v>
      </c>
      <c r="C25" s="281">
        <v>10000</v>
      </c>
      <c r="D25" s="136">
        <v>9025</v>
      </c>
      <c r="E25" s="270">
        <v>0</v>
      </c>
      <c r="F25" s="186">
        <f t="shared" si="1"/>
        <v>0</v>
      </c>
      <c r="G25" s="245">
        <f t="shared" si="2"/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</row>
    <row r="26" spans="1:39" s="3" customFormat="1" ht="19.5" thickBot="1" x14ac:dyDescent="0.35">
      <c r="A26" s="142" t="s">
        <v>20</v>
      </c>
      <c r="B26" s="144" t="s">
        <v>198</v>
      </c>
      <c r="C26" s="281">
        <v>735486</v>
      </c>
      <c r="D26" s="136"/>
      <c r="E26" s="220">
        <f t="shared" si="0"/>
        <v>735486</v>
      </c>
      <c r="F26" s="186">
        <f t="shared" si="1"/>
        <v>339719.73</v>
      </c>
      <c r="G26" s="245">
        <f t="shared" si="2"/>
        <v>395766.27</v>
      </c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>
        <v>339719.73</v>
      </c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</row>
    <row r="27" spans="1:39" s="3" customFormat="1" ht="19.5" thickBot="1" x14ac:dyDescent="0.35">
      <c r="A27" s="142" t="s">
        <v>21</v>
      </c>
      <c r="B27" s="144" t="s">
        <v>199</v>
      </c>
      <c r="C27" s="281">
        <v>25623</v>
      </c>
      <c r="D27" s="136"/>
      <c r="E27" s="220">
        <f t="shared" si="0"/>
        <v>25623</v>
      </c>
      <c r="F27" s="186">
        <f t="shared" si="1"/>
        <v>25608</v>
      </c>
      <c r="G27" s="245">
        <f t="shared" si="2"/>
        <v>15</v>
      </c>
      <c r="H27" s="238"/>
      <c r="I27" s="238"/>
      <c r="J27" s="238"/>
      <c r="K27" s="238"/>
      <c r="L27" s="238"/>
      <c r="M27" s="238"/>
      <c r="N27" s="238"/>
      <c r="O27" s="238">
        <v>4070</v>
      </c>
      <c r="P27" s="238"/>
      <c r="Q27" s="238"/>
      <c r="R27" s="238"/>
      <c r="S27" s="238">
        <v>21538</v>
      </c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</row>
    <row r="28" spans="1:39" s="3" customFormat="1" ht="19.5" thickBot="1" x14ac:dyDescent="0.35">
      <c r="A28" s="142" t="s">
        <v>22</v>
      </c>
      <c r="B28" s="144" t="s">
        <v>418</v>
      </c>
      <c r="C28" s="281">
        <v>27098</v>
      </c>
      <c r="D28" s="136"/>
      <c r="E28" s="220">
        <f t="shared" si="0"/>
        <v>27098</v>
      </c>
      <c r="F28" s="186">
        <f t="shared" si="1"/>
        <v>13125.17</v>
      </c>
      <c r="G28" s="245">
        <f t="shared" si="2"/>
        <v>13972.83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>
        <v>13125.17</v>
      </c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</row>
    <row r="29" spans="1:39" s="3" customFormat="1" ht="19.5" thickBot="1" x14ac:dyDescent="0.35">
      <c r="A29" s="142" t="s">
        <v>23</v>
      </c>
      <c r="B29" s="144" t="s">
        <v>420</v>
      </c>
      <c r="C29" s="281">
        <v>10000</v>
      </c>
      <c r="D29" s="136"/>
      <c r="E29" s="220">
        <f t="shared" si="0"/>
        <v>10000</v>
      </c>
      <c r="F29" s="186">
        <f t="shared" si="1"/>
        <v>0</v>
      </c>
      <c r="G29" s="245">
        <f t="shared" si="2"/>
        <v>10000</v>
      </c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</row>
    <row r="30" spans="1:39" s="3" customFormat="1" ht="19.5" thickBot="1" x14ac:dyDescent="0.35">
      <c r="A30" s="142" t="s">
        <v>24</v>
      </c>
      <c r="B30" s="144" t="s">
        <v>422</v>
      </c>
      <c r="C30" s="281">
        <v>10000</v>
      </c>
      <c r="D30" s="136"/>
      <c r="E30" s="220">
        <f t="shared" si="0"/>
        <v>10000</v>
      </c>
      <c r="F30" s="186">
        <f t="shared" si="1"/>
        <v>0</v>
      </c>
      <c r="G30" s="245">
        <f t="shared" si="2"/>
        <v>10000</v>
      </c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</row>
    <row r="31" spans="1:39" s="3" customFormat="1" ht="19.5" thickBot="1" x14ac:dyDescent="0.35">
      <c r="A31" s="142" t="s">
        <v>25</v>
      </c>
      <c r="B31" s="144" t="s">
        <v>423</v>
      </c>
      <c r="C31" s="281">
        <v>10721</v>
      </c>
      <c r="D31" s="136"/>
      <c r="E31" s="220">
        <f t="shared" si="0"/>
        <v>10721</v>
      </c>
      <c r="F31" s="186">
        <f t="shared" si="1"/>
        <v>10721</v>
      </c>
      <c r="G31" s="245">
        <f t="shared" si="2"/>
        <v>0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>
        <v>2799.06</v>
      </c>
      <c r="R31" s="238"/>
      <c r="S31" s="238">
        <f>1235.52+6686.42</f>
        <v>7921.9400000000005</v>
      </c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</row>
    <row r="32" spans="1:39" s="3" customFormat="1" ht="19.5" thickBot="1" x14ac:dyDescent="0.35">
      <c r="A32" s="142" t="s">
        <v>26</v>
      </c>
      <c r="B32" s="144" t="s">
        <v>424</v>
      </c>
      <c r="C32" s="281">
        <v>10000</v>
      </c>
      <c r="D32" s="136"/>
      <c r="E32" s="220">
        <f t="shared" si="0"/>
        <v>10000</v>
      </c>
      <c r="F32" s="186">
        <f t="shared" si="1"/>
        <v>10000</v>
      </c>
      <c r="G32" s="245">
        <f t="shared" si="2"/>
        <v>0</v>
      </c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>
        <v>10000</v>
      </c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</row>
    <row r="33" spans="1:39" s="3" customFormat="1" ht="19.5" thickBot="1" x14ac:dyDescent="0.35">
      <c r="A33" s="142" t="s">
        <v>27</v>
      </c>
      <c r="B33" s="144" t="s">
        <v>425</v>
      </c>
      <c r="C33" s="281">
        <v>10000</v>
      </c>
      <c r="D33" s="136"/>
      <c r="E33" s="270">
        <f t="shared" si="0"/>
        <v>10000</v>
      </c>
      <c r="F33" s="186">
        <f t="shared" si="1"/>
        <v>8929.2899999999991</v>
      </c>
      <c r="G33" s="245">
        <f t="shared" si="2"/>
        <v>1070.7100000000009</v>
      </c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>
        <f>2007.04+5931.16</f>
        <v>7938.2</v>
      </c>
      <c r="T33" s="238"/>
      <c r="U33" s="238">
        <v>991.09</v>
      </c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</row>
    <row r="34" spans="1:39" s="3" customFormat="1" ht="19.5" thickBot="1" x14ac:dyDescent="0.35">
      <c r="A34" s="142" t="s">
        <v>28</v>
      </c>
      <c r="B34" s="144" t="s">
        <v>426</v>
      </c>
      <c r="C34" s="281">
        <v>46093</v>
      </c>
      <c r="D34" s="136"/>
      <c r="E34" s="220">
        <f t="shared" si="0"/>
        <v>46093</v>
      </c>
      <c r="F34" s="186">
        <f t="shared" si="1"/>
        <v>0</v>
      </c>
      <c r="G34" s="245">
        <f t="shared" si="2"/>
        <v>46093</v>
      </c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</row>
    <row r="35" spans="1:39" s="3" customFormat="1" ht="19.5" thickBot="1" x14ac:dyDescent="0.35">
      <c r="A35" s="142" t="s">
        <v>29</v>
      </c>
      <c r="B35" s="144" t="s">
        <v>428</v>
      </c>
      <c r="C35" s="281">
        <v>10000</v>
      </c>
      <c r="D35" s="136"/>
      <c r="E35" s="220">
        <f t="shared" si="0"/>
        <v>10000</v>
      </c>
      <c r="F35" s="186">
        <f t="shared" si="1"/>
        <v>10000</v>
      </c>
      <c r="G35" s="245">
        <f t="shared" si="2"/>
        <v>0</v>
      </c>
      <c r="H35" s="238"/>
      <c r="I35" s="238"/>
      <c r="J35" s="238"/>
      <c r="K35" s="238"/>
      <c r="L35" s="238"/>
      <c r="M35" s="238"/>
      <c r="N35" s="238"/>
      <c r="O35" s="238"/>
      <c r="P35" s="238">
        <v>4092.9</v>
      </c>
      <c r="Q35" s="238"/>
      <c r="R35" s="238"/>
      <c r="S35" s="238">
        <v>5907.1</v>
      </c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</row>
    <row r="36" spans="1:39" s="3" customFormat="1" ht="19.5" thickBot="1" x14ac:dyDescent="0.35">
      <c r="A36" s="142" t="s">
        <v>30</v>
      </c>
      <c r="B36" s="144" t="s">
        <v>208</v>
      </c>
      <c r="C36" s="281">
        <v>199372</v>
      </c>
      <c r="D36" s="136"/>
      <c r="E36" s="220">
        <f t="shared" si="0"/>
        <v>199372</v>
      </c>
      <c r="F36" s="186">
        <f t="shared" si="1"/>
        <v>0</v>
      </c>
      <c r="G36" s="245">
        <f t="shared" si="2"/>
        <v>199372</v>
      </c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</row>
    <row r="37" spans="1:39" s="3" customFormat="1" ht="19.5" thickBot="1" x14ac:dyDescent="0.35">
      <c r="A37" s="142" t="s">
        <v>31</v>
      </c>
      <c r="B37" s="144" t="s">
        <v>209</v>
      </c>
      <c r="C37" s="281">
        <v>133753</v>
      </c>
      <c r="D37" s="136"/>
      <c r="E37" s="220">
        <f t="shared" si="0"/>
        <v>133753</v>
      </c>
      <c r="F37" s="186">
        <f t="shared" si="1"/>
        <v>15221.47</v>
      </c>
      <c r="G37" s="245">
        <f t="shared" si="2"/>
        <v>118531.53</v>
      </c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>
        <f>3149.47+12072</f>
        <v>15221.47</v>
      </c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</row>
    <row r="38" spans="1:39" s="3" customFormat="1" ht="19.5" thickBot="1" x14ac:dyDescent="0.35">
      <c r="A38" s="142" t="s">
        <v>32</v>
      </c>
      <c r="B38" s="144" t="s">
        <v>210</v>
      </c>
      <c r="C38" s="281">
        <v>11217</v>
      </c>
      <c r="D38" s="136"/>
      <c r="E38" s="220">
        <f t="shared" si="0"/>
        <v>11217</v>
      </c>
      <c r="F38" s="186">
        <f t="shared" si="1"/>
        <v>11217</v>
      </c>
      <c r="G38" s="245">
        <f t="shared" si="2"/>
        <v>0</v>
      </c>
      <c r="H38" s="238"/>
      <c r="I38" s="238"/>
      <c r="J38" s="238"/>
      <c r="K38" s="238"/>
      <c r="L38" s="238"/>
      <c r="M38" s="238">
        <v>11211</v>
      </c>
      <c r="N38" s="238"/>
      <c r="O38" s="238"/>
      <c r="P38" s="238"/>
      <c r="Q38" s="238">
        <v>6</v>
      </c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</row>
    <row r="39" spans="1:39" s="3" customFormat="1" ht="19.5" thickBot="1" x14ac:dyDescent="0.35">
      <c r="A39" s="142" t="s">
        <v>33</v>
      </c>
      <c r="B39" s="144" t="s">
        <v>211</v>
      </c>
      <c r="C39" s="281">
        <v>11869</v>
      </c>
      <c r="D39" s="136"/>
      <c r="E39" s="220">
        <f t="shared" si="0"/>
        <v>11869</v>
      </c>
      <c r="F39" s="186">
        <f t="shared" si="1"/>
        <v>11869</v>
      </c>
      <c r="G39" s="245">
        <f t="shared" si="2"/>
        <v>0</v>
      </c>
      <c r="H39" s="238"/>
      <c r="I39" s="238"/>
      <c r="J39" s="238"/>
      <c r="K39" s="238"/>
      <c r="L39" s="238"/>
      <c r="M39" s="238"/>
      <c r="N39" s="238"/>
      <c r="O39" s="238">
        <v>1071.43</v>
      </c>
      <c r="P39" s="238">
        <v>1071.43</v>
      </c>
      <c r="Q39" s="238"/>
      <c r="R39" s="238">
        <f>1370.43+1071.43</f>
        <v>2441.86</v>
      </c>
      <c r="S39" s="238">
        <v>1071.43</v>
      </c>
      <c r="T39" s="238"/>
      <c r="U39" s="238">
        <v>6212.85</v>
      </c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</row>
    <row r="40" spans="1:39" s="3" customFormat="1" ht="19.5" thickBot="1" x14ac:dyDescent="0.35">
      <c r="A40" s="142" t="s">
        <v>34</v>
      </c>
      <c r="B40" s="144" t="s">
        <v>212</v>
      </c>
      <c r="C40" s="281">
        <v>10000</v>
      </c>
      <c r="D40" s="136">
        <v>9025</v>
      </c>
      <c r="E40" s="270">
        <v>0</v>
      </c>
      <c r="F40" s="186">
        <f t="shared" si="1"/>
        <v>0</v>
      </c>
      <c r="G40" s="245">
        <f t="shared" si="2"/>
        <v>0</v>
      </c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</row>
    <row r="41" spans="1:39" s="3" customFormat="1" ht="19.5" thickBot="1" x14ac:dyDescent="0.35">
      <c r="A41" s="142" t="s">
        <v>35</v>
      </c>
      <c r="B41" s="144" t="s">
        <v>434</v>
      </c>
      <c r="C41" s="281">
        <v>10000</v>
      </c>
      <c r="D41" s="136">
        <v>9025</v>
      </c>
      <c r="E41" s="270">
        <v>0</v>
      </c>
      <c r="F41" s="186">
        <f t="shared" si="1"/>
        <v>0</v>
      </c>
      <c r="G41" s="245">
        <f t="shared" si="2"/>
        <v>0</v>
      </c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</row>
    <row r="42" spans="1:39" s="3" customFormat="1" ht="19.5" thickBot="1" x14ac:dyDescent="0.35">
      <c r="A42" s="142" t="s">
        <v>36</v>
      </c>
      <c r="B42" s="144" t="s">
        <v>435</v>
      </c>
      <c r="C42" s="281">
        <v>10000</v>
      </c>
      <c r="D42" s="136"/>
      <c r="E42" s="220">
        <f t="shared" si="0"/>
        <v>10000</v>
      </c>
      <c r="F42" s="186">
        <f t="shared" si="1"/>
        <v>10000</v>
      </c>
      <c r="G42" s="245">
        <f t="shared" si="2"/>
        <v>0</v>
      </c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>
        <v>10000</v>
      </c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</row>
    <row r="43" spans="1:39" s="3" customFormat="1" ht="19.5" thickBot="1" x14ac:dyDescent="0.35">
      <c r="A43" s="142" t="s">
        <v>37</v>
      </c>
      <c r="B43" s="144" t="s">
        <v>437</v>
      </c>
      <c r="C43" s="281">
        <v>21551</v>
      </c>
      <c r="D43" s="136"/>
      <c r="E43" s="220">
        <f t="shared" si="0"/>
        <v>21551</v>
      </c>
      <c r="F43" s="186">
        <f t="shared" si="1"/>
        <v>21551</v>
      </c>
      <c r="G43" s="245">
        <f t="shared" si="2"/>
        <v>0</v>
      </c>
      <c r="H43" s="238"/>
      <c r="I43" s="238"/>
      <c r="J43" s="238"/>
      <c r="K43" s="238"/>
      <c r="L43" s="238"/>
      <c r="M43" s="238">
        <v>5422</v>
      </c>
      <c r="N43" s="238"/>
      <c r="O43" s="238">
        <v>8068</v>
      </c>
      <c r="P43" s="238"/>
      <c r="Q43" s="238">
        <v>8048</v>
      </c>
      <c r="R43" s="238"/>
      <c r="S43" s="238"/>
      <c r="T43" s="238"/>
      <c r="U43" s="238"/>
      <c r="V43" s="238">
        <v>13</v>
      </c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</row>
    <row r="44" spans="1:39" s="3" customFormat="1" ht="19.5" thickBot="1" x14ac:dyDescent="0.35">
      <c r="A44" s="142" t="s">
        <v>38</v>
      </c>
      <c r="B44" s="144" t="s">
        <v>216</v>
      </c>
      <c r="C44" s="281">
        <v>10000</v>
      </c>
      <c r="D44" s="136"/>
      <c r="E44" s="220">
        <f t="shared" si="0"/>
        <v>10000</v>
      </c>
      <c r="F44" s="186">
        <f t="shared" si="1"/>
        <v>10000</v>
      </c>
      <c r="G44" s="245">
        <f t="shared" si="2"/>
        <v>0</v>
      </c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>
        <v>10000</v>
      </c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</row>
    <row r="45" spans="1:39" s="3" customFormat="1" ht="19.5" thickBot="1" x14ac:dyDescent="0.35">
      <c r="A45" s="142" t="s">
        <v>39</v>
      </c>
      <c r="B45" s="144" t="s">
        <v>439</v>
      </c>
      <c r="C45" s="281">
        <v>10769</v>
      </c>
      <c r="D45" s="136"/>
      <c r="E45" s="220">
        <f t="shared" si="0"/>
        <v>10769</v>
      </c>
      <c r="F45" s="186">
        <f t="shared" si="1"/>
        <v>0</v>
      </c>
      <c r="G45" s="245">
        <f t="shared" si="2"/>
        <v>10769</v>
      </c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</row>
    <row r="46" spans="1:39" s="3" customFormat="1" ht="19.5" thickBot="1" x14ac:dyDescent="0.35">
      <c r="A46" s="142" t="s">
        <v>40</v>
      </c>
      <c r="B46" s="144" t="s">
        <v>218</v>
      </c>
      <c r="C46" s="281">
        <v>11743</v>
      </c>
      <c r="D46" s="136"/>
      <c r="E46" s="220">
        <f t="shared" si="0"/>
        <v>11743</v>
      </c>
      <c r="F46" s="186">
        <f t="shared" si="1"/>
        <v>11743</v>
      </c>
      <c r="G46" s="245">
        <f t="shared" si="2"/>
        <v>0</v>
      </c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>
        <v>11743</v>
      </c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</row>
    <row r="47" spans="1:39" s="3" customFormat="1" ht="19.5" thickBot="1" x14ac:dyDescent="0.35">
      <c r="A47" s="142" t="s">
        <v>41</v>
      </c>
      <c r="B47" s="144" t="s">
        <v>219</v>
      </c>
      <c r="C47" s="281">
        <v>12347</v>
      </c>
      <c r="D47" s="136"/>
      <c r="E47" s="220">
        <f t="shared" si="0"/>
        <v>12347</v>
      </c>
      <c r="F47" s="186">
        <f t="shared" si="1"/>
        <v>12347</v>
      </c>
      <c r="G47" s="245">
        <f t="shared" si="2"/>
        <v>0</v>
      </c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>
        <v>10887.04</v>
      </c>
      <c r="S47" s="238">
        <v>1459.96</v>
      </c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</row>
    <row r="48" spans="1:39" s="3" customFormat="1" ht="19.5" thickBot="1" x14ac:dyDescent="0.35">
      <c r="A48" s="142" t="s">
        <v>42</v>
      </c>
      <c r="B48" s="144" t="s">
        <v>441</v>
      </c>
      <c r="C48" s="281">
        <v>16650</v>
      </c>
      <c r="D48" s="136"/>
      <c r="E48" s="220">
        <f t="shared" si="0"/>
        <v>16650</v>
      </c>
      <c r="F48" s="186">
        <f t="shared" si="1"/>
        <v>0</v>
      </c>
      <c r="G48" s="245">
        <f t="shared" si="2"/>
        <v>16650</v>
      </c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</row>
    <row r="49" spans="1:39" s="3" customFormat="1" ht="19.5" thickBot="1" x14ac:dyDescent="0.35">
      <c r="A49" s="142" t="s">
        <v>43</v>
      </c>
      <c r="B49" s="144" t="s">
        <v>443</v>
      </c>
      <c r="C49" s="281">
        <v>10924</v>
      </c>
      <c r="D49" s="136"/>
      <c r="E49" s="220">
        <f t="shared" si="0"/>
        <v>10924</v>
      </c>
      <c r="F49" s="186">
        <f t="shared" si="1"/>
        <v>10924</v>
      </c>
      <c r="G49" s="245">
        <f t="shared" si="2"/>
        <v>0</v>
      </c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>
        <v>10924</v>
      </c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</row>
    <row r="50" spans="1:39" s="3" customFormat="1" ht="19.5" thickBot="1" x14ac:dyDescent="0.35">
      <c r="A50" s="142" t="s">
        <v>44</v>
      </c>
      <c r="B50" s="144" t="s">
        <v>222</v>
      </c>
      <c r="C50" s="281">
        <v>79903</v>
      </c>
      <c r="D50" s="136"/>
      <c r="E50" s="220">
        <f t="shared" si="0"/>
        <v>79903</v>
      </c>
      <c r="F50" s="186">
        <f t="shared" si="1"/>
        <v>25807.89</v>
      </c>
      <c r="G50" s="245">
        <f t="shared" si="2"/>
        <v>54095.11</v>
      </c>
      <c r="H50" s="238"/>
      <c r="I50" s="238"/>
      <c r="J50" s="238"/>
      <c r="K50" s="238"/>
      <c r="L50" s="238"/>
      <c r="M50" s="238"/>
      <c r="N50" s="238"/>
      <c r="O50" s="238"/>
      <c r="P50" s="238">
        <v>14444.96</v>
      </c>
      <c r="Q50" s="238"/>
      <c r="R50" s="238"/>
      <c r="S50" s="238">
        <v>4500</v>
      </c>
      <c r="T50" s="238"/>
      <c r="U50" s="238"/>
      <c r="V50" s="238">
        <v>6862.93</v>
      </c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</row>
    <row r="51" spans="1:39" s="3" customFormat="1" ht="19.5" thickBot="1" x14ac:dyDescent="0.35">
      <c r="A51" s="142" t="s">
        <v>45</v>
      </c>
      <c r="B51" s="144" t="s">
        <v>223</v>
      </c>
      <c r="C51" s="281">
        <v>1997655</v>
      </c>
      <c r="D51" s="136"/>
      <c r="E51" s="220">
        <f t="shared" si="0"/>
        <v>1997655</v>
      </c>
      <c r="F51" s="186">
        <f t="shared" si="1"/>
        <v>0</v>
      </c>
      <c r="G51" s="245">
        <f t="shared" si="2"/>
        <v>1997655</v>
      </c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</row>
    <row r="52" spans="1:39" s="3" customFormat="1" ht="19.5" thickBot="1" x14ac:dyDescent="0.35">
      <c r="A52" s="142" t="s">
        <v>46</v>
      </c>
      <c r="B52" s="144" t="s">
        <v>588</v>
      </c>
      <c r="C52" s="281">
        <v>10000</v>
      </c>
      <c r="D52" s="136"/>
      <c r="E52" s="220">
        <f t="shared" si="0"/>
        <v>10000</v>
      </c>
      <c r="F52" s="186">
        <f t="shared" si="1"/>
        <v>10000</v>
      </c>
      <c r="G52" s="245">
        <f t="shared" si="2"/>
        <v>0</v>
      </c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>
        <v>10000</v>
      </c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</row>
    <row r="53" spans="1:39" s="3" customFormat="1" ht="19.5" thickBot="1" x14ac:dyDescent="0.35">
      <c r="A53" s="142" t="s">
        <v>47</v>
      </c>
      <c r="B53" s="144" t="s">
        <v>449</v>
      </c>
      <c r="C53" s="281">
        <v>112163</v>
      </c>
      <c r="D53" s="136"/>
      <c r="E53" s="220">
        <f t="shared" si="0"/>
        <v>112163</v>
      </c>
      <c r="F53" s="186">
        <f t="shared" si="1"/>
        <v>0</v>
      </c>
      <c r="G53" s="245">
        <f t="shared" si="2"/>
        <v>112163</v>
      </c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</row>
    <row r="54" spans="1:39" s="3" customFormat="1" ht="19.5" thickBot="1" x14ac:dyDescent="0.35">
      <c r="A54" s="142" t="s">
        <v>48</v>
      </c>
      <c r="B54" s="144" t="s">
        <v>226</v>
      </c>
      <c r="C54" s="281">
        <v>37271</v>
      </c>
      <c r="D54" s="136"/>
      <c r="E54" s="220">
        <f t="shared" si="0"/>
        <v>37271</v>
      </c>
      <c r="F54" s="186">
        <f t="shared" si="1"/>
        <v>37271</v>
      </c>
      <c r="G54" s="245">
        <f t="shared" si="2"/>
        <v>0</v>
      </c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>
        <v>37271</v>
      </c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</row>
    <row r="55" spans="1:39" s="3" customFormat="1" ht="19.5" thickBot="1" x14ac:dyDescent="0.35">
      <c r="A55" s="142" t="s">
        <v>49</v>
      </c>
      <c r="B55" s="144" t="s">
        <v>227</v>
      </c>
      <c r="C55" s="281">
        <v>11008</v>
      </c>
      <c r="D55" s="136"/>
      <c r="E55" s="220">
        <f t="shared" si="0"/>
        <v>11008</v>
      </c>
      <c r="F55" s="186">
        <f t="shared" si="1"/>
        <v>11008</v>
      </c>
      <c r="G55" s="245">
        <f t="shared" si="2"/>
        <v>0</v>
      </c>
      <c r="H55" s="238"/>
      <c r="I55" s="238"/>
      <c r="J55" s="238"/>
      <c r="K55" s="238"/>
      <c r="L55" s="238"/>
      <c r="M55" s="238"/>
      <c r="N55" s="238"/>
      <c r="O55" s="238">
        <v>2464.65</v>
      </c>
      <c r="P55" s="238"/>
      <c r="Q55" s="238">
        <v>8537.35</v>
      </c>
      <c r="R55" s="238"/>
      <c r="S55" s="238"/>
      <c r="T55" s="238"/>
      <c r="U55" s="238">
        <v>6</v>
      </c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</row>
    <row r="56" spans="1:39" s="3" customFormat="1" ht="19.5" thickBot="1" x14ac:dyDescent="0.35">
      <c r="A56" s="142" t="s">
        <v>50</v>
      </c>
      <c r="B56" s="144" t="s">
        <v>228</v>
      </c>
      <c r="C56" s="281">
        <v>10000</v>
      </c>
      <c r="D56" s="136">
        <v>9025</v>
      </c>
      <c r="E56" s="270">
        <v>0</v>
      </c>
      <c r="F56" s="186">
        <f t="shared" si="1"/>
        <v>0</v>
      </c>
      <c r="G56" s="245">
        <f t="shared" si="2"/>
        <v>0</v>
      </c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</row>
    <row r="57" spans="1:39" s="3" customFormat="1" ht="19.5" thickBot="1" x14ac:dyDescent="0.35">
      <c r="A57" s="142" t="s">
        <v>51</v>
      </c>
      <c r="B57" s="144" t="s">
        <v>229</v>
      </c>
      <c r="C57" s="281">
        <v>10000</v>
      </c>
      <c r="D57" s="136"/>
      <c r="E57" s="220">
        <f t="shared" si="0"/>
        <v>10000</v>
      </c>
      <c r="F57" s="186">
        <f t="shared" si="1"/>
        <v>10000</v>
      </c>
      <c r="G57" s="245">
        <f t="shared" si="2"/>
        <v>0</v>
      </c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>
        <v>10000</v>
      </c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</row>
    <row r="58" spans="1:39" s="3" customFormat="1" ht="19.5" thickBot="1" x14ac:dyDescent="0.35">
      <c r="A58" s="142" t="s">
        <v>52</v>
      </c>
      <c r="B58" s="144" t="s">
        <v>230</v>
      </c>
      <c r="C58" s="281">
        <v>10000</v>
      </c>
      <c r="D58" s="136"/>
      <c r="E58" s="220">
        <f t="shared" si="0"/>
        <v>10000</v>
      </c>
      <c r="F58" s="186">
        <f t="shared" si="1"/>
        <v>10000</v>
      </c>
      <c r="G58" s="245">
        <f t="shared" si="2"/>
        <v>0</v>
      </c>
      <c r="H58" s="238"/>
      <c r="I58" s="238"/>
      <c r="J58" s="238"/>
      <c r="K58" s="238"/>
      <c r="L58" s="238"/>
      <c r="M58" s="238"/>
      <c r="N58" s="238"/>
      <c r="O58" s="238">
        <v>5000</v>
      </c>
      <c r="P58" s="238"/>
      <c r="Q58" s="238"/>
      <c r="R58" s="238"/>
      <c r="S58" s="238">
        <v>5000</v>
      </c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</row>
    <row r="59" spans="1:39" s="3" customFormat="1" ht="19.5" thickBot="1" x14ac:dyDescent="0.35">
      <c r="A59" s="142" t="s">
        <v>53</v>
      </c>
      <c r="B59" s="144" t="s">
        <v>231</v>
      </c>
      <c r="C59" s="281">
        <v>10000</v>
      </c>
      <c r="D59" s="136">
        <v>9025</v>
      </c>
      <c r="E59" s="270">
        <v>0</v>
      </c>
      <c r="F59" s="186">
        <f t="shared" si="1"/>
        <v>0</v>
      </c>
      <c r="G59" s="245">
        <f t="shared" si="2"/>
        <v>0</v>
      </c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</row>
    <row r="60" spans="1:39" s="3" customFormat="1" ht="19.5" thickBot="1" x14ac:dyDescent="0.35">
      <c r="A60" s="142" t="s">
        <v>54</v>
      </c>
      <c r="B60" s="144" t="s">
        <v>232</v>
      </c>
      <c r="C60" s="281">
        <v>10000</v>
      </c>
      <c r="D60" s="136"/>
      <c r="E60" s="220">
        <f t="shared" si="0"/>
        <v>10000</v>
      </c>
      <c r="F60" s="186">
        <f t="shared" si="1"/>
        <v>0</v>
      </c>
      <c r="G60" s="245">
        <f t="shared" si="2"/>
        <v>10000</v>
      </c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</row>
    <row r="61" spans="1:39" s="3" customFormat="1" ht="19.5" thickBot="1" x14ac:dyDescent="0.35">
      <c r="A61" s="142" t="s">
        <v>55</v>
      </c>
      <c r="B61" s="144" t="s">
        <v>233</v>
      </c>
      <c r="C61" s="281">
        <v>305554</v>
      </c>
      <c r="D61" s="136"/>
      <c r="E61" s="220">
        <f t="shared" si="0"/>
        <v>305554</v>
      </c>
      <c r="F61" s="186">
        <f t="shared" si="1"/>
        <v>94654.5</v>
      </c>
      <c r="G61" s="245">
        <f t="shared" si="2"/>
        <v>210899.5</v>
      </c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>
        <v>94654.5</v>
      </c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</row>
    <row r="62" spans="1:39" s="3" customFormat="1" ht="19.5" thickBot="1" x14ac:dyDescent="0.35">
      <c r="A62" s="142" t="s">
        <v>56</v>
      </c>
      <c r="B62" s="144" t="s">
        <v>234</v>
      </c>
      <c r="C62" s="281">
        <v>107061</v>
      </c>
      <c r="D62" s="136"/>
      <c r="E62" s="220">
        <f t="shared" si="0"/>
        <v>107061</v>
      </c>
      <c r="F62" s="186">
        <f t="shared" si="1"/>
        <v>99016.08</v>
      </c>
      <c r="G62" s="245">
        <f t="shared" si="2"/>
        <v>8044.9199999999983</v>
      </c>
      <c r="H62" s="238"/>
      <c r="I62" s="238"/>
      <c r="J62" s="238"/>
      <c r="K62" s="238"/>
      <c r="L62" s="238"/>
      <c r="M62" s="238">
        <v>11609.94</v>
      </c>
      <c r="N62" s="238"/>
      <c r="O62" s="238"/>
      <c r="P62" s="238"/>
      <c r="Q62" s="238">
        <v>44874.14</v>
      </c>
      <c r="R62" s="238"/>
      <c r="S62" s="238">
        <v>29670.52</v>
      </c>
      <c r="T62" s="238"/>
      <c r="U62" s="238">
        <v>12861.48</v>
      </c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</row>
    <row r="63" spans="1:39" s="3" customFormat="1" ht="19.5" thickBot="1" x14ac:dyDescent="0.35">
      <c r="A63" s="142" t="s">
        <v>57</v>
      </c>
      <c r="B63" s="144" t="s">
        <v>235</v>
      </c>
      <c r="C63" s="281">
        <v>94876</v>
      </c>
      <c r="D63" s="136"/>
      <c r="E63" s="220">
        <f t="shared" si="0"/>
        <v>94876</v>
      </c>
      <c r="F63" s="186">
        <f t="shared" si="1"/>
        <v>49289.36</v>
      </c>
      <c r="G63" s="245">
        <f t="shared" si="2"/>
        <v>45586.64</v>
      </c>
      <c r="H63" s="238"/>
      <c r="I63" s="238"/>
      <c r="J63" s="238"/>
      <c r="K63" s="238"/>
      <c r="L63" s="238"/>
      <c r="M63" s="238"/>
      <c r="N63" s="265"/>
      <c r="O63" s="238">
        <v>18793.36</v>
      </c>
      <c r="P63" s="238">
        <v>1552</v>
      </c>
      <c r="Q63" s="238">
        <v>3111</v>
      </c>
      <c r="R63" s="238">
        <v>1286</v>
      </c>
      <c r="S63" s="238">
        <v>24547</v>
      </c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</row>
    <row r="64" spans="1:39" s="3" customFormat="1" ht="19.5" thickBot="1" x14ac:dyDescent="0.35">
      <c r="A64" s="142" t="s">
        <v>58</v>
      </c>
      <c r="B64" s="144" t="s">
        <v>236</v>
      </c>
      <c r="C64" s="281">
        <v>570920</v>
      </c>
      <c r="D64" s="136"/>
      <c r="E64" s="220">
        <f t="shared" si="0"/>
        <v>570920</v>
      </c>
      <c r="F64" s="186">
        <f t="shared" si="1"/>
        <v>47812.14</v>
      </c>
      <c r="G64" s="245">
        <f t="shared" si="2"/>
        <v>523107.86</v>
      </c>
      <c r="H64" s="238"/>
      <c r="I64" s="238"/>
      <c r="J64" s="238"/>
      <c r="K64" s="238"/>
      <c r="L64" s="238"/>
      <c r="M64" s="238"/>
      <c r="N64" s="238"/>
      <c r="O64" s="238"/>
      <c r="P64" s="238"/>
      <c r="Q64" s="265"/>
      <c r="R64" s="238"/>
      <c r="S64" s="238"/>
      <c r="T64" s="238"/>
      <c r="U64" s="238"/>
      <c r="V64" s="238">
        <v>47812.14</v>
      </c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</row>
    <row r="65" spans="1:39" s="3" customFormat="1" ht="19.5" thickBot="1" x14ac:dyDescent="0.35">
      <c r="A65" s="142" t="s">
        <v>59</v>
      </c>
      <c r="B65" s="144" t="s">
        <v>237</v>
      </c>
      <c r="C65" s="281">
        <v>19207</v>
      </c>
      <c r="D65" s="136"/>
      <c r="E65" s="220">
        <f t="shared" si="0"/>
        <v>19207</v>
      </c>
      <c r="F65" s="186">
        <f t="shared" si="1"/>
        <v>19207</v>
      </c>
      <c r="G65" s="245">
        <f t="shared" si="2"/>
        <v>0</v>
      </c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>
        <v>19207</v>
      </c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</row>
    <row r="66" spans="1:39" s="3" customFormat="1" ht="19.5" thickBot="1" x14ac:dyDescent="0.35">
      <c r="A66" s="142" t="s">
        <v>60</v>
      </c>
      <c r="B66" s="144" t="s">
        <v>238</v>
      </c>
      <c r="C66" s="281">
        <v>10000</v>
      </c>
      <c r="D66" s="136"/>
      <c r="E66" s="220">
        <f t="shared" si="0"/>
        <v>10000</v>
      </c>
      <c r="F66" s="186">
        <f t="shared" si="1"/>
        <v>0</v>
      </c>
      <c r="G66" s="245">
        <f t="shared" si="2"/>
        <v>10000</v>
      </c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</row>
    <row r="67" spans="1:39" s="3" customFormat="1" ht="19.5" thickBot="1" x14ac:dyDescent="0.35">
      <c r="A67" s="142" t="s">
        <v>61</v>
      </c>
      <c r="B67" s="144" t="s">
        <v>239</v>
      </c>
      <c r="C67" s="281">
        <v>82903</v>
      </c>
      <c r="D67" s="136"/>
      <c r="E67" s="220">
        <f t="shared" si="0"/>
        <v>82903</v>
      </c>
      <c r="F67" s="186">
        <f t="shared" si="1"/>
        <v>38475.199999999997</v>
      </c>
      <c r="G67" s="245">
        <f t="shared" si="2"/>
        <v>44427.8</v>
      </c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>
        <v>2086.4699999999998</v>
      </c>
      <c r="S67" s="238"/>
      <c r="T67" s="238">
        <v>25957.73</v>
      </c>
      <c r="U67" s="238"/>
      <c r="V67" s="238">
        <v>10431</v>
      </c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</row>
    <row r="68" spans="1:39" s="3" customFormat="1" ht="19.5" thickBot="1" x14ac:dyDescent="0.35">
      <c r="A68" s="142" t="s">
        <v>62</v>
      </c>
      <c r="B68" s="144" t="s">
        <v>240</v>
      </c>
      <c r="C68" s="281">
        <v>13138</v>
      </c>
      <c r="D68" s="136"/>
      <c r="E68" s="220">
        <f t="shared" si="0"/>
        <v>13138</v>
      </c>
      <c r="F68" s="186">
        <f t="shared" si="1"/>
        <v>0</v>
      </c>
      <c r="G68" s="245">
        <f t="shared" si="2"/>
        <v>13138</v>
      </c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</row>
    <row r="69" spans="1:39" s="3" customFormat="1" ht="19.5" thickBot="1" x14ac:dyDescent="0.35">
      <c r="A69" s="142" t="s">
        <v>63</v>
      </c>
      <c r="B69" s="144" t="s">
        <v>456</v>
      </c>
      <c r="C69" s="281">
        <v>10000</v>
      </c>
      <c r="D69" s="136"/>
      <c r="E69" s="220">
        <f t="shared" si="0"/>
        <v>10000</v>
      </c>
      <c r="F69" s="186">
        <f t="shared" si="1"/>
        <v>0</v>
      </c>
      <c r="G69" s="245">
        <f t="shared" si="2"/>
        <v>10000</v>
      </c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</row>
    <row r="70" spans="1:39" s="3" customFormat="1" ht="19.5" thickBot="1" x14ac:dyDescent="0.35">
      <c r="A70" s="142" t="s">
        <v>64</v>
      </c>
      <c r="B70" s="144" t="s">
        <v>242</v>
      </c>
      <c r="C70" s="281">
        <v>10000</v>
      </c>
      <c r="D70" s="136"/>
      <c r="E70" s="220">
        <f t="shared" si="0"/>
        <v>10000</v>
      </c>
      <c r="F70" s="186">
        <f t="shared" si="1"/>
        <v>10000</v>
      </c>
      <c r="G70" s="245">
        <f t="shared" si="2"/>
        <v>0</v>
      </c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>
        <v>10000</v>
      </c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</row>
    <row r="71" spans="1:39" s="3" customFormat="1" ht="19.5" thickBot="1" x14ac:dyDescent="0.35">
      <c r="A71" s="142" t="s">
        <v>65</v>
      </c>
      <c r="B71" s="144" t="s">
        <v>243</v>
      </c>
      <c r="C71" s="281">
        <v>26818</v>
      </c>
      <c r="D71" s="136"/>
      <c r="E71" s="220">
        <f t="shared" si="0"/>
        <v>26818</v>
      </c>
      <c r="F71" s="186">
        <f t="shared" si="1"/>
        <v>20887.91</v>
      </c>
      <c r="G71" s="245">
        <f t="shared" si="2"/>
        <v>5930.09</v>
      </c>
      <c r="H71" s="238"/>
      <c r="I71" s="238"/>
      <c r="J71" s="238"/>
      <c r="K71" s="238"/>
      <c r="L71" s="238"/>
      <c r="M71" s="238"/>
      <c r="N71" s="238"/>
      <c r="O71" s="238"/>
      <c r="P71" s="238"/>
      <c r="Q71" s="238">
        <v>7178.92</v>
      </c>
      <c r="R71" s="238">
        <v>6675.62</v>
      </c>
      <c r="S71" s="238">
        <v>3412.1</v>
      </c>
      <c r="T71" s="238"/>
      <c r="U71" s="238">
        <v>3621.27</v>
      </c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</row>
    <row r="72" spans="1:39" s="3" customFormat="1" ht="19.5" thickBot="1" x14ac:dyDescent="0.35">
      <c r="A72" s="142" t="s">
        <v>66</v>
      </c>
      <c r="B72" s="144" t="s">
        <v>244</v>
      </c>
      <c r="C72" s="281">
        <v>147333</v>
      </c>
      <c r="D72" s="136"/>
      <c r="E72" s="220">
        <f t="shared" si="0"/>
        <v>147333</v>
      </c>
      <c r="F72" s="186">
        <f t="shared" si="1"/>
        <v>10187</v>
      </c>
      <c r="G72" s="245">
        <f t="shared" si="2"/>
        <v>137146</v>
      </c>
      <c r="H72" s="238"/>
      <c r="I72" s="238"/>
      <c r="J72" s="238"/>
      <c r="K72" s="238"/>
      <c r="L72" s="238"/>
      <c r="M72" s="238"/>
      <c r="N72" s="238"/>
      <c r="O72" s="238"/>
      <c r="P72" s="238"/>
      <c r="Q72" s="238">
        <v>1544</v>
      </c>
      <c r="R72" s="238"/>
      <c r="S72" s="238">
        <v>8643</v>
      </c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</row>
    <row r="73" spans="1:39" s="3" customFormat="1" ht="19.5" thickBot="1" x14ac:dyDescent="0.35">
      <c r="A73" s="142" t="s">
        <v>67</v>
      </c>
      <c r="B73" s="144" t="s">
        <v>457</v>
      </c>
      <c r="C73" s="281">
        <v>10000</v>
      </c>
      <c r="D73" s="136"/>
      <c r="E73" s="220">
        <f t="shared" si="0"/>
        <v>10000</v>
      </c>
      <c r="F73" s="186">
        <f t="shared" si="1"/>
        <v>2749.98</v>
      </c>
      <c r="G73" s="245">
        <f t="shared" si="2"/>
        <v>7250.02</v>
      </c>
      <c r="H73" s="238"/>
      <c r="I73" s="238"/>
      <c r="J73" s="238"/>
      <c r="K73" s="238"/>
      <c r="L73" s="238"/>
      <c r="M73" s="238"/>
      <c r="N73" s="238"/>
      <c r="O73" s="238">
        <v>2749.98</v>
      </c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</row>
    <row r="74" spans="1:39" s="3" customFormat="1" ht="19.5" thickBot="1" x14ac:dyDescent="0.35">
      <c r="A74" s="142" t="s">
        <v>68</v>
      </c>
      <c r="B74" s="144" t="s">
        <v>589</v>
      </c>
      <c r="C74" s="281">
        <v>10000</v>
      </c>
      <c r="D74" s="136"/>
      <c r="E74" s="220">
        <f t="shared" si="0"/>
        <v>10000</v>
      </c>
      <c r="F74" s="186">
        <f t="shared" si="1"/>
        <v>10000</v>
      </c>
      <c r="G74" s="245">
        <f t="shared" si="2"/>
        <v>0</v>
      </c>
      <c r="H74" s="238"/>
      <c r="I74" s="238"/>
      <c r="J74" s="238"/>
      <c r="K74" s="238"/>
      <c r="L74" s="238"/>
      <c r="M74" s="238"/>
      <c r="N74" s="238"/>
      <c r="O74" s="238">
        <v>5000</v>
      </c>
      <c r="P74" s="238"/>
      <c r="Q74" s="238">
        <v>5000</v>
      </c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</row>
    <row r="75" spans="1:39" s="3" customFormat="1" ht="19.5" thickBot="1" x14ac:dyDescent="0.35">
      <c r="A75" s="142" t="s">
        <v>69</v>
      </c>
      <c r="B75" s="144" t="s">
        <v>459</v>
      </c>
      <c r="C75" s="281">
        <v>72473</v>
      </c>
      <c r="D75" s="136"/>
      <c r="E75" s="220">
        <f t="shared" si="0"/>
        <v>72473</v>
      </c>
      <c r="F75" s="186">
        <f t="shared" si="1"/>
        <v>54815.88</v>
      </c>
      <c r="G75" s="245">
        <f t="shared" si="2"/>
        <v>17657.120000000003</v>
      </c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>
        <v>33522.81</v>
      </c>
      <c r="T75" s="238"/>
      <c r="U75" s="238"/>
      <c r="V75" s="238">
        <v>21293.07</v>
      </c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</row>
    <row r="76" spans="1:39" s="3" customFormat="1" ht="19.5" thickBot="1" x14ac:dyDescent="0.35">
      <c r="A76" s="142" t="s">
        <v>70</v>
      </c>
      <c r="B76" s="144" t="s">
        <v>461</v>
      </c>
      <c r="C76" s="281">
        <v>25221</v>
      </c>
      <c r="D76" s="136"/>
      <c r="E76" s="220">
        <f t="shared" si="0"/>
        <v>25221</v>
      </c>
      <c r="F76" s="186">
        <f t="shared" si="1"/>
        <v>2500.65</v>
      </c>
      <c r="G76" s="245">
        <f t="shared" si="2"/>
        <v>22720.35</v>
      </c>
      <c r="H76" s="238"/>
      <c r="I76" s="238"/>
      <c r="J76" s="238"/>
      <c r="K76" s="238"/>
      <c r="L76" s="238"/>
      <c r="M76" s="238"/>
      <c r="N76" s="238"/>
      <c r="O76" s="238">
        <v>1817.93</v>
      </c>
      <c r="P76" s="238"/>
      <c r="Q76" s="238"/>
      <c r="R76" s="238"/>
      <c r="S76" s="238">
        <v>682.72</v>
      </c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</row>
    <row r="77" spans="1:39" s="3" customFormat="1" ht="19.5" thickBot="1" x14ac:dyDescent="0.35">
      <c r="A77" s="142" t="s">
        <v>71</v>
      </c>
      <c r="B77" s="144" t="s">
        <v>462</v>
      </c>
      <c r="C77" s="281">
        <v>10000</v>
      </c>
      <c r="D77" s="136"/>
      <c r="E77" s="220">
        <f t="shared" ref="E77:E140" si="3">C77</f>
        <v>10000</v>
      </c>
      <c r="F77" s="186">
        <f t="shared" ref="F77:F140" si="4">SUM(H77:AK77)</f>
        <v>10000</v>
      </c>
      <c r="G77" s="245">
        <f t="shared" ref="G77:G140" si="5">E77-(F77+AL77+AM77)</f>
        <v>0</v>
      </c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>
        <v>10000</v>
      </c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</row>
    <row r="78" spans="1:39" s="3" customFormat="1" ht="19.5" thickBot="1" x14ac:dyDescent="0.35">
      <c r="A78" s="142" t="s">
        <v>72</v>
      </c>
      <c r="B78" s="144" t="s">
        <v>463</v>
      </c>
      <c r="C78" s="281">
        <v>41122</v>
      </c>
      <c r="D78" s="136"/>
      <c r="E78" s="220">
        <f t="shared" si="3"/>
        <v>41122</v>
      </c>
      <c r="F78" s="186">
        <f t="shared" si="4"/>
        <v>41122</v>
      </c>
      <c r="G78" s="245">
        <f t="shared" si="5"/>
        <v>0</v>
      </c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>
        <v>41122</v>
      </c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</row>
    <row r="79" spans="1:39" s="3" customFormat="1" ht="19.5" thickBot="1" x14ac:dyDescent="0.35">
      <c r="A79" s="142" t="s">
        <v>73</v>
      </c>
      <c r="B79" s="144" t="s">
        <v>465</v>
      </c>
      <c r="C79" s="281">
        <v>43640</v>
      </c>
      <c r="D79" s="136"/>
      <c r="E79" s="220">
        <f t="shared" si="3"/>
        <v>43640</v>
      </c>
      <c r="F79" s="186">
        <f t="shared" si="4"/>
        <v>0</v>
      </c>
      <c r="G79" s="245">
        <f t="shared" si="5"/>
        <v>43640</v>
      </c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</row>
    <row r="80" spans="1:39" s="3" customFormat="1" ht="19.5" thickBot="1" x14ac:dyDescent="0.35">
      <c r="A80" s="142" t="s">
        <v>74</v>
      </c>
      <c r="B80" s="144" t="s">
        <v>252</v>
      </c>
      <c r="C80" s="281">
        <v>11097</v>
      </c>
      <c r="D80" s="136"/>
      <c r="E80" s="220">
        <f t="shared" si="3"/>
        <v>11097</v>
      </c>
      <c r="F80" s="186">
        <f t="shared" si="4"/>
        <v>11097</v>
      </c>
      <c r="G80" s="245">
        <f t="shared" si="5"/>
        <v>0</v>
      </c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>
        <v>11097</v>
      </c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</row>
    <row r="81" spans="1:39" s="3" customFormat="1" ht="19.5" thickBot="1" x14ac:dyDescent="0.35">
      <c r="A81" s="142" t="s">
        <v>75</v>
      </c>
      <c r="B81" s="144" t="s">
        <v>466</v>
      </c>
      <c r="C81" s="281">
        <v>10000</v>
      </c>
      <c r="D81" s="136"/>
      <c r="E81" s="220">
        <f t="shared" si="3"/>
        <v>10000</v>
      </c>
      <c r="F81" s="186">
        <f t="shared" si="4"/>
        <v>0</v>
      </c>
      <c r="G81" s="245">
        <f t="shared" si="5"/>
        <v>10000</v>
      </c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</row>
    <row r="82" spans="1:39" s="3" customFormat="1" ht="19.5" thickBot="1" x14ac:dyDescent="0.35">
      <c r="A82" s="142" t="s">
        <v>76</v>
      </c>
      <c r="B82" s="144" t="s">
        <v>468</v>
      </c>
      <c r="C82" s="281">
        <v>10000</v>
      </c>
      <c r="D82" s="136"/>
      <c r="E82" s="220">
        <f t="shared" si="3"/>
        <v>10000</v>
      </c>
      <c r="F82" s="186">
        <f t="shared" si="4"/>
        <v>10000</v>
      </c>
      <c r="G82" s="245">
        <f t="shared" si="5"/>
        <v>0</v>
      </c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>
        <v>10000</v>
      </c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</row>
    <row r="83" spans="1:39" s="3" customFormat="1" ht="19.5" thickBot="1" x14ac:dyDescent="0.35">
      <c r="A83" s="142" t="s">
        <v>77</v>
      </c>
      <c r="B83" s="144" t="s">
        <v>255</v>
      </c>
      <c r="C83" s="281">
        <v>10000</v>
      </c>
      <c r="D83" s="136"/>
      <c r="E83" s="220">
        <f t="shared" si="3"/>
        <v>10000</v>
      </c>
      <c r="F83" s="186">
        <f t="shared" si="4"/>
        <v>8306.5</v>
      </c>
      <c r="G83" s="245">
        <f t="shared" si="5"/>
        <v>1693.5</v>
      </c>
      <c r="H83" s="238"/>
      <c r="I83" s="238"/>
      <c r="J83" s="238"/>
      <c r="K83" s="238"/>
      <c r="L83" s="238"/>
      <c r="M83" s="238">
        <v>2176.3200000000002</v>
      </c>
      <c r="N83" s="238"/>
      <c r="O83" s="238"/>
      <c r="P83" s="238"/>
      <c r="Q83" s="238"/>
      <c r="R83" s="238">
        <v>6130.18</v>
      </c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</row>
    <row r="84" spans="1:39" s="3" customFormat="1" ht="19.5" thickBot="1" x14ac:dyDescent="0.35">
      <c r="A84" s="142" t="s">
        <v>78</v>
      </c>
      <c r="B84" s="144" t="s">
        <v>256</v>
      </c>
      <c r="C84" s="281">
        <v>16277</v>
      </c>
      <c r="D84" s="136"/>
      <c r="E84" s="220">
        <f t="shared" si="3"/>
        <v>16277</v>
      </c>
      <c r="F84" s="186">
        <f t="shared" si="4"/>
        <v>16264</v>
      </c>
      <c r="G84" s="245">
        <f t="shared" si="5"/>
        <v>13</v>
      </c>
      <c r="H84" s="238"/>
      <c r="I84" s="238"/>
      <c r="J84" s="238"/>
      <c r="K84" s="238"/>
      <c r="L84" s="238"/>
      <c r="M84" s="238"/>
      <c r="N84" s="265"/>
      <c r="O84" s="238"/>
      <c r="P84" s="238"/>
      <c r="Q84" s="238"/>
      <c r="R84" s="238">
        <v>16264</v>
      </c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</row>
    <row r="85" spans="1:39" s="3" customFormat="1" ht="19.5" thickBot="1" x14ac:dyDescent="0.35">
      <c r="A85" s="142" t="s">
        <v>79</v>
      </c>
      <c r="B85" s="144" t="s">
        <v>257</v>
      </c>
      <c r="C85" s="281">
        <v>10000</v>
      </c>
      <c r="D85" s="136"/>
      <c r="E85" s="220">
        <f t="shared" si="3"/>
        <v>10000</v>
      </c>
      <c r="F85" s="186">
        <f t="shared" si="4"/>
        <v>10000</v>
      </c>
      <c r="G85" s="245">
        <f t="shared" si="5"/>
        <v>0</v>
      </c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>
        <v>10000</v>
      </c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</row>
    <row r="86" spans="1:39" s="3" customFormat="1" ht="19.5" thickBot="1" x14ac:dyDescent="0.35">
      <c r="A86" s="142" t="s">
        <v>80</v>
      </c>
      <c r="B86" s="144" t="s">
        <v>474</v>
      </c>
      <c r="C86" s="281">
        <v>20297</v>
      </c>
      <c r="D86" s="136"/>
      <c r="E86" s="220">
        <f t="shared" si="3"/>
        <v>20297</v>
      </c>
      <c r="F86" s="186">
        <f t="shared" si="4"/>
        <v>0</v>
      </c>
      <c r="G86" s="245">
        <f t="shared" si="5"/>
        <v>20297</v>
      </c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65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</row>
    <row r="87" spans="1:39" s="3" customFormat="1" ht="19.5" thickBot="1" x14ac:dyDescent="0.35">
      <c r="A87" s="142" t="s">
        <v>81</v>
      </c>
      <c r="B87" s="144" t="s">
        <v>476</v>
      </c>
      <c r="C87" s="281">
        <v>10000</v>
      </c>
      <c r="D87" s="136"/>
      <c r="E87" s="220">
        <f t="shared" si="3"/>
        <v>10000</v>
      </c>
      <c r="F87" s="186">
        <f t="shared" si="4"/>
        <v>9434.42</v>
      </c>
      <c r="G87" s="245">
        <f t="shared" si="5"/>
        <v>565.57999999999993</v>
      </c>
      <c r="H87" s="238"/>
      <c r="I87" s="238"/>
      <c r="J87" s="238"/>
      <c r="K87" s="238">
        <v>875</v>
      </c>
      <c r="L87" s="238">
        <v>951</v>
      </c>
      <c r="M87" s="238">
        <v>951.15</v>
      </c>
      <c r="N87" s="238">
        <v>951.01</v>
      </c>
      <c r="O87" s="238">
        <v>951.05</v>
      </c>
      <c r="P87" s="238">
        <v>951.05</v>
      </c>
      <c r="Q87" s="238">
        <v>951.05</v>
      </c>
      <c r="R87" s="238"/>
      <c r="S87" s="238"/>
      <c r="T87" s="238">
        <v>2853.11</v>
      </c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</row>
    <row r="88" spans="1:39" s="3" customFormat="1" ht="19.5" thickBot="1" x14ac:dyDescent="0.35">
      <c r="A88" s="142" t="s">
        <v>82</v>
      </c>
      <c r="B88" s="144" t="s">
        <v>260</v>
      </c>
      <c r="C88" s="281">
        <v>10000</v>
      </c>
      <c r="D88" s="136"/>
      <c r="E88" s="220">
        <f t="shared" si="3"/>
        <v>10000</v>
      </c>
      <c r="F88" s="186">
        <f t="shared" si="4"/>
        <v>10000</v>
      </c>
      <c r="G88" s="245">
        <f t="shared" si="5"/>
        <v>0</v>
      </c>
      <c r="H88" s="238"/>
      <c r="I88" s="238"/>
      <c r="J88" s="238"/>
      <c r="K88" s="238"/>
      <c r="L88" s="238"/>
      <c r="M88" s="238"/>
      <c r="N88" s="238"/>
      <c r="O88" s="238"/>
      <c r="P88" s="238"/>
      <c r="Q88" s="265"/>
      <c r="R88" s="238">
        <v>10000</v>
      </c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</row>
    <row r="89" spans="1:39" s="3" customFormat="1" ht="19.5" thickBot="1" x14ac:dyDescent="0.35">
      <c r="A89" s="142" t="s">
        <v>83</v>
      </c>
      <c r="B89" s="144" t="s">
        <v>261</v>
      </c>
      <c r="C89" s="281">
        <v>650805</v>
      </c>
      <c r="D89" s="136"/>
      <c r="E89" s="220">
        <f t="shared" si="3"/>
        <v>650805</v>
      </c>
      <c r="F89" s="186">
        <f t="shared" si="4"/>
        <v>284450.53000000003</v>
      </c>
      <c r="G89" s="245">
        <f t="shared" si="5"/>
        <v>366354.47</v>
      </c>
      <c r="H89" s="238"/>
      <c r="I89" s="238"/>
      <c r="J89" s="238"/>
      <c r="K89" s="238"/>
      <c r="L89" s="238"/>
      <c r="M89" s="238"/>
      <c r="N89" s="238"/>
      <c r="O89" s="238"/>
      <c r="P89" s="238">
        <v>30114.240000000002</v>
      </c>
      <c r="Q89" s="238">
        <v>54234.21</v>
      </c>
      <c r="R89" s="238">
        <v>50922.95</v>
      </c>
      <c r="S89" s="238">
        <f>67470.11+47676.94</f>
        <v>115147.05</v>
      </c>
      <c r="T89" s="238">
        <v>34032.080000000002</v>
      </c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</row>
    <row r="90" spans="1:39" s="3" customFormat="1" ht="19.5" thickBot="1" x14ac:dyDescent="0.35">
      <c r="A90" s="142" t="s">
        <v>84</v>
      </c>
      <c r="B90" s="144" t="s">
        <v>479</v>
      </c>
      <c r="C90" s="281">
        <v>10000</v>
      </c>
      <c r="D90" s="136"/>
      <c r="E90" s="220">
        <f t="shared" si="3"/>
        <v>10000</v>
      </c>
      <c r="F90" s="186">
        <f t="shared" si="4"/>
        <v>10000</v>
      </c>
      <c r="G90" s="245">
        <f t="shared" si="5"/>
        <v>0</v>
      </c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>
        <v>10000</v>
      </c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</row>
    <row r="91" spans="1:39" s="3" customFormat="1" ht="19.5" thickBot="1" x14ac:dyDescent="0.35">
      <c r="A91" s="142" t="s">
        <v>85</v>
      </c>
      <c r="B91" s="144" t="s">
        <v>481</v>
      </c>
      <c r="C91" s="281">
        <v>10000</v>
      </c>
      <c r="D91" s="136"/>
      <c r="E91" s="220">
        <f t="shared" si="3"/>
        <v>10000</v>
      </c>
      <c r="F91" s="186">
        <f t="shared" si="4"/>
        <v>246.65</v>
      </c>
      <c r="G91" s="245">
        <f t="shared" si="5"/>
        <v>9753.35</v>
      </c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>
        <v>246.65</v>
      </c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</row>
    <row r="92" spans="1:39" s="3" customFormat="1" ht="19.5" thickBot="1" x14ac:dyDescent="0.35">
      <c r="A92" s="142" t="s">
        <v>86</v>
      </c>
      <c r="B92" s="144" t="s">
        <v>264</v>
      </c>
      <c r="C92" s="281">
        <v>10000</v>
      </c>
      <c r="D92" s="136">
        <v>9025</v>
      </c>
      <c r="E92" s="270">
        <v>0</v>
      </c>
      <c r="F92" s="186">
        <f t="shared" si="4"/>
        <v>0</v>
      </c>
      <c r="G92" s="245">
        <f t="shared" si="5"/>
        <v>0</v>
      </c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</row>
    <row r="93" spans="1:39" s="3" customFormat="1" ht="19.5" thickBot="1" x14ac:dyDescent="0.35">
      <c r="A93" s="142" t="s">
        <v>87</v>
      </c>
      <c r="B93" s="144" t="s">
        <v>265</v>
      </c>
      <c r="C93" s="281">
        <v>10000</v>
      </c>
      <c r="D93" s="136">
        <v>9025</v>
      </c>
      <c r="E93" s="270">
        <v>0</v>
      </c>
      <c r="F93" s="186">
        <f t="shared" si="4"/>
        <v>0</v>
      </c>
      <c r="G93" s="245">
        <f t="shared" si="5"/>
        <v>0</v>
      </c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</row>
    <row r="94" spans="1:39" s="3" customFormat="1" ht="19.5" thickBot="1" x14ac:dyDescent="0.35">
      <c r="A94" s="142" t="s">
        <v>88</v>
      </c>
      <c r="B94" s="144" t="s">
        <v>266</v>
      </c>
      <c r="C94" s="281">
        <v>10000</v>
      </c>
      <c r="D94" s="136">
        <v>9025</v>
      </c>
      <c r="E94" s="270">
        <v>0</v>
      </c>
      <c r="F94" s="186">
        <f t="shared" si="4"/>
        <v>0</v>
      </c>
      <c r="G94" s="245">
        <f t="shared" si="5"/>
        <v>0</v>
      </c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</row>
    <row r="95" spans="1:39" s="3" customFormat="1" ht="19.5" thickBot="1" x14ac:dyDescent="0.35">
      <c r="A95" s="142" t="s">
        <v>89</v>
      </c>
      <c r="B95" s="144" t="s">
        <v>267</v>
      </c>
      <c r="C95" s="281">
        <v>10000</v>
      </c>
      <c r="D95" s="136">
        <v>9025</v>
      </c>
      <c r="E95" s="270">
        <v>0</v>
      </c>
      <c r="F95" s="186">
        <f t="shared" si="4"/>
        <v>0</v>
      </c>
      <c r="G95" s="245">
        <f t="shared" si="5"/>
        <v>0</v>
      </c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</row>
    <row r="96" spans="1:39" s="3" customFormat="1" ht="19.5" thickBot="1" x14ac:dyDescent="0.35">
      <c r="A96" s="142" t="s">
        <v>90</v>
      </c>
      <c r="B96" s="144" t="s">
        <v>483</v>
      </c>
      <c r="C96" s="281">
        <v>14927</v>
      </c>
      <c r="D96" s="136">
        <v>9025</v>
      </c>
      <c r="E96" s="270">
        <v>0</v>
      </c>
      <c r="F96" s="186">
        <f t="shared" si="4"/>
        <v>0</v>
      </c>
      <c r="G96" s="245">
        <f t="shared" si="5"/>
        <v>0</v>
      </c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</row>
    <row r="97" spans="1:39" s="3" customFormat="1" ht="19.5" thickBot="1" x14ac:dyDescent="0.35">
      <c r="A97" s="142" t="s">
        <v>91</v>
      </c>
      <c r="B97" s="144" t="s">
        <v>269</v>
      </c>
      <c r="C97" s="281">
        <v>17116</v>
      </c>
      <c r="D97" s="136"/>
      <c r="E97" s="220">
        <f t="shared" si="3"/>
        <v>17116</v>
      </c>
      <c r="F97" s="186">
        <f t="shared" si="4"/>
        <v>17116</v>
      </c>
      <c r="G97" s="245">
        <f t="shared" si="5"/>
        <v>0</v>
      </c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>
        <v>3135.35</v>
      </c>
      <c r="S97" s="238">
        <v>13980.65</v>
      </c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</row>
    <row r="98" spans="1:39" s="3" customFormat="1" ht="19.5" thickBot="1" x14ac:dyDescent="0.35">
      <c r="A98" s="142" t="s">
        <v>92</v>
      </c>
      <c r="B98" s="144" t="s">
        <v>270</v>
      </c>
      <c r="C98" s="281">
        <v>42840</v>
      </c>
      <c r="D98" s="136"/>
      <c r="E98" s="220">
        <f t="shared" si="3"/>
        <v>42840</v>
      </c>
      <c r="F98" s="186">
        <f t="shared" si="4"/>
        <v>10148.68</v>
      </c>
      <c r="G98" s="245">
        <f t="shared" si="5"/>
        <v>32691.32</v>
      </c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>
        <f>8477.07+1671.61</f>
        <v>10148.68</v>
      </c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</row>
    <row r="99" spans="1:39" s="3" customFormat="1" ht="19.5" thickBot="1" x14ac:dyDescent="0.35">
      <c r="A99" s="142" t="s">
        <v>93</v>
      </c>
      <c r="B99" s="144" t="s">
        <v>271</v>
      </c>
      <c r="C99" s="281">
        <v>10000</v>
      </c>
      <c r="D99" s="136"/>
      <c r="E99" s="220">
        <f t="shared" si="3"/>
        <v>10000</v>
      </c>
      <c r="F99" s="186">
        <f t="shared" si="4"/>
        <v>6867.07</v>
      </c>
      <c r="G99" s="245">
        <f t="shared" si="5"/>
        <v>3132.9300000000003</v>
      </c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>
        <v>6867.07</v>
      </c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</row>
    <row r="100" spans="1:39" s="3" customFormat="1" ht="19.5" thickBot="1" x14ac:dyDescent="0.35">
      <c r="A100" s="142" t="s">
        <v>94</v>
      </c>
      <c r="B100" s="144" t="s">
        <v>487</v>
      </c>
      <c r="C100" s="281">
        <v>10000</v>
      </c>
      <c r="D100" s="136"/>
      <c r="E100" s="220">
        <f t="shared" si="3"/>
        <v>10000</v>
      </c>
      <c r="F100" s="186">
        <f t="shared" si="4"/>
        <v>0</v>
      </c>
      <c r="G100" s="245">
        <f t="shared" si="5"/>
        <v>10000</v>
      </c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</row>
    <row r="101" spans="1:39" s="3" customFormat="1" ht="19.5" thickBot="1" x14ac:dyDescent="0.35">
      <c r="A101" s="142" t="s">
        <v>95</v>
      </c>
      <c r="B101" s="144" t="s">
        <v>273</v>
      </c>
      <c r="C101" s="281">
        <v>188955</v>
      </c>
      <c r="D101" s="136"/>
      <c r="E101" s="220">
        <f t="shared" si="3"/>
        <v>188955</v>
      </c>
      <c r="F101" s="186">
        <f t="shared" si="4"/>
        <v>0</v>
      </c>
      <c r="G101" s="245">
        <f t="shared" si="5"/>
        <v>188955</v>
      </c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</row>
    <row r="102" spans="1:39" s="3" customFormat="1" ht="19.5" thickBot="1" x14ac:dyDescent="0.35">
      <c r="A102" s="142" t="s">
        <v>96</v>
      </c>
      <c r="B102" s="144" t="s">
        <v>489</v>
      </c>
      <c r="C102" s="281">
        <v>114464</v>
      </c>
      <c r="D102" s="136"/>
      <c r="E102" s="220">
        <f t="shared" si="3"/>
        <v>114464</v>
      </c>
      <c r="F102" s="186">
        <f t="shared" si="4"/>
        <v>0</v>
      </c>
      <c r="G102" s="245">
        <f t="shared" si="5"/>
        <v>114464</v>
      </c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</row>
    <row r="103" spans="1:39" s="3" customFormat="1" ht="19.5" thickBot="1" x14ac:dyDescent="0.35">
      <c r="A103" s="142" t="s">
        <v>97</v>
      </c>
      <c r="B103" s="144" t="s">
        <v>490</v>
      </c>
      <c r="C103" s="281">
        <v>20580</v>
      </c>
      <c r="D103" s="136"/>
      <c r="E103" s="220">
        <f t="shared" si="3"/>
        <v>20580</v>
      </c>
      <c r="F103" s="186">
        <f t="shared" si="4"/>
        <v>0</v>
      </c>
      <c r="G103" s="245">
        <f t="shared" si="5"/>
        <v>20580</v>
      </c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</row>
    <row r="104" spans="1:39" s="3" customFormat="1" ht="19.5" thickBot="1" x14ac:dyDescent="0.35">
      <c r="A104" s="142" t="s">
        <v>98</v>
      </c>
      <c r="B104" s="144" t="s">
        <v>276</v>
      </c>
      <c r="C104" s="281">
        <v>29733</v>
      </c>
      <c r="D104" s="136"/>
      <c r="E104" s="220">
        <f t="shared" si="3"/>
        <v>29733</v>
      </c>
      <c r="F104" s="186">
        <f t="shared" si="4"/>
        <v>21716.65</v>
      </c>
      <c r="G104" s="245">
        <f t="shared" si="5"/>
        <v>8016.3499999999985</v>
      </c>
      <c r="H104" s="238"/>
      <c r="I104" s="238"/>
      <c r="J104" s="238"/>
      <c r="K104" s="238"/>
      <c r="L104" s="238"/>
      <c r="M104" s="238"/>
      <c r="N104" s="238"/>
      <c r="O104" s="238"/>
      <c r="P104" s="238">
        <v>21603</v>
      </c>
      <c r="Q104" s="238"/>
      <c r="R104" s="238"/>
      <c r="S104" s="238"/>
      <c r="T104" s="238"/>
      <c r="U104" s="238">
        <v>113.65</v>
      </c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</row>
    <row r="105" spans="1:39" s="3" customFormat="1" ht="19.5" thickBot="1" x14ac:dyDescent="0.35">
      <c r="A105" s="142" t="s">
        <v>99</v>
      </c>
      <c r="B105" s="144" t="s">
        <v>277</v>
      </c>
      <c r="C105" s="281">
        <v>10000</v>
      </c>
      <c r="D105" s="136"/>
      <c r="E105" s="220">
        <f t="shared" si="3"/>
        <v>10000</v>
      </c>
      <c r="F105" s="186">
        <f t="shared" si="4"/>
        <v>10000</v>
      </c>
      <c r="G105" s="245">
        <f t="shared" si="5"/>
        <v>0</v>
      </c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>
        <v>4686</v>
      </c>
      <c r="T105" s="238">
        <v>5314</v>
      </c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</row>
    <row r="106" spans="1:39" s="3" customFormat="1" ht="19.5" thickBot="1" x14ac:dyDescent="0.35">
      <c r="A106" s="142" t="s">
        <v>100</v>
      </c>
      <c r="B106" s="144" t="s">
        <v>278</v>
      </c>
      <c r="C106" s="281">
        <v>10000</v>
      </c>
      <c r="D106" s="136"/>
      <c r="E106" s="220">
        <f t="shared" si="3"/>
        <v>10000</v>
      </c>
      <c r="F106" s="186">
        <f t="shared" si="4"/>
        <v>10000</v>
      </c>
      <c r="G106" s="245">
        <f t="shared" si="5"/>
        <v>0</v>
      </c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>
        <v>10000</v>
      </c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</row>
    <row r="107" spans="1:39" s="3" customFormat="1" ht="19.5" thickBot="1" x14ac:dyDescent="0.35">
      <c r="A107" s="142" t="s">
        <v>101</v>
      </c>
      <c r="B107" s="144" t="s">
        <v>492</v>
      </c>
      <c r="C107" s="281">
        <v>10000</v>
      </c>
      <c r="D107" s="136"/>
      <c r="E107" s="220">
        <f t="shared" si="3"/>
        <v>10000</v>
      </c>
      <c r="F107" s="186">
        <f t="shared" si="4"/>
        <v>10000</v>
      </c>
      <c r="G107" s="245">
        <f t="shared" si="5"/>
        <v>0</v>
      </c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>
        <v>10000</v>
      </c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</row>
    <row r="108" spans="1:39" s="3" customFormat="1" ht="19.5" thickBot="1" x14ac:dyDescent="0.35">
      <c r="A108" s="142" t="s">
        <v>102</v>
      </c>
      <c r="B108" s="144" t="s">
        <v>280</v>
      </c>
      <c r="C108" s="281">
        <v>10000</v>
      </c>
      <c r="D108" s="136"/>
      <c r="E108" s="220">
        <f t="shared" si="3"/>
        <v>10000</v>
      </c>
      <c r="F108" s="186">
        <f t="shared" si="4"/>
        <v>10000</v>
      </c>
      <c r="G108" s="245">
        <f t="shared" si="5"/>
        <v>0</v>
      </c>
      <c r="H108" s="238"/>
      <c r="I108" s="238"/>
      <c r="J108" s="238"/>
      <c r="K108" s="238">
        <v>815.69</v>
      </c>
      <c r="L108" s="238">
        <v>812.18</v>
      </c>
      <c r="M108" s="238">
        <v>814.76</v>
      </c>
      <c r="N108" s="238">
        <v>813.1</v>
      </c>
      <c r="O108" s="238">
        <v>813.11</v>
      </c>
      <c r="P108" s="238">
        <v>812.17</v>
      </c>
      <c r="Q108" s="238">
        <v>812.21</v>
      </c>
      <c r="R108" s="238">
        <v>848.9</v>
      </c>
      <c r="S108" s="238">
        <v>848.92</v>
      </c>
      <c r="T108" s="238">
        <v>2608.96</v>
      </c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</row>
    <row r="109" spans="1:39" s="3" customFormat="1" ht="19.5" thickBot="1" x14ac:dyDescent="0.35">
      <c r="A109" s="142" t="s">
        <v>103</v>
      </c>
      <c r="B109" s="144" t="s">
        <v>281</v>
      </c>
      <c r="C109" s="281">
        <v>10000</v>
      </c>
      <c r="D109" s="136"/>
      <c r="E109" s="220">
        <f t="shared" si="3"/>
        <v>10000</v>
      </c>
      <c r="F109" s="186">
        <f t="shared" si="4"/>
        <v>10000</v>
      </c>
      <c r="G109" s="245">
        <f t="shared" si="5"/>
        <v>0</v>
      </c>
      <c r="H109" s="238"/>
      <c r="I109" s="238"/>
      <c r="J109" s="238"/>
      <c r="K109" s="238"/>
      <c r="L109" s="238"/>
      <c r="M109" s="238">
        <v>10000</v>
      </c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</row>
    <row r="110" spans="1:39" s="3" customFormat="1" ht="19.5" thickBot="1" x14ac:dyDescent="0.35">
      <c r="A110" s="142" t="s">
        <v>104</v>
      </c>
      <c r="B110" s="144" t="s">
        <v>282</v>
      </c>
      <c r="C110" s="281">
        <v>10000</v>
      </c>
      <c r="D110" s="136">
        <v>9025</v>
      </c>
      <c r="E110" s="270">
        <v>0</v>
      </c>
      <c r="F110" s="186">
        <f t="shared" si="4"/>
        <v>0</v>
      </c>
      <c r="G110" s="245">
        <f t="shared" si="5"/>
        <v>0</v>
      </c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</row>
    <row r="111" spans="1:39" s="3" customFormat="1" ht="19.5" thickBot="1" x14ac:dyDescent="0.35">
      <c r="A111" s="142" t="s">
        <v>105</v>
      </c>
      <c r="B111" s="144" t="s">
        <v>494</v>
      </c>
      <c r="C111" s="281">
        <v>10000</v>
      </c>
      <c r="D111" s="136">
        <v>9025</v>
      </c>
      <c r="E111" s="270">
        <v>0</v>
      </c>
      <c r="F111" s="186">
        <f t="shared" si="4"/>
        <v>0</v>
      </c>
      <c r="G111" s="245">
        <f t="shared" si="5"/>
        <v>0</v>
      </c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</row>
    <row r="112" spans="1:39" s="3" customFormat="1" ht="19.5" thickBot="1" x14ac:dyDescent="0.35">
      <c r="A112" s="142" t="s">
        <v>106</v>
      </c>
      <c r="B112" s="144" t="s">
        <v>495</v>
      </c>
      <c r="C112" s="281">
        <v>10000</v>
      </c>
      <c r="D112" s="136">
        <v>9025</v>
      </c>
      <c r="E112" s="270">
        <v>0</v>
      </c>
      <c r="F112" s="186">
        <f t="shared" si="4"/>
        <v>0</v>
      </c>
      <c r="G112" s="245">
        <f t="shared" si="5"/>
        <v>0</v>
      </c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</row>
    <row r="113" spans="1:39" s="3" customFormat="1" ht="19.5" thickBot="1" x14ac:dyDescent="0.35">
      <c r="A113" s="142" t="s">
        <v>107</v>
      </c>
      <c r="B113" s="144" t="s">
        <v>496</v>
      </c>
      <c r="C113" s="281">
        <v>32439</v>
      </c>
      <c r="D113" s="136">
        <v>9035</v>
      </c>
      <c r="E113" s="270">
        <v>0</v>
      </c>
      <c r="F113" s="186">
        <f t="shared" si="4"/>
        <v>0</v>
      </c>
      <c r="G113" s="245">
        <f t="shared" si="5"/>
        <v>0</v>
      </c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</row>
    <row r="114" spans="1:39" s="3" customFormat="1" ht="18" customHeight="1" thickBot="1" x14ac:dyDescent="0.35">
      <c r="A114" s="142" t="s">
        <v>108</v>
      </c>
      <c r="B114" s="144" t="s">
        <v>498</v>
      </c>
      <c r="C114" s="281">
        <v>10000</v>
      </c>
      <c r="D114" s="136">
        <v>9040</v>
      </c>
      <c r="E114" s="270">
        <v>0</v>
      </c>
      <c r="F114" s="186">
        <f t="shared" si="4"/>
        <v>0</v>
      </c>
      <c r="G114" s="245">
        <f t="shared" si="5"/>
        <v>0</v>
      </c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</row>
    <row r="115" spans="1:39" s="3" customFormat="1" ht="18" customHeight="1" thickBot="1" x14ac:dyDescent="0.35">
      <c r="A115" s="142" t="s">
        <v>109</v>
      </c>
      <c r="B115" s="144" t="s">
        <v>499</v>
      </c>
      <c r="C115" s="281">
        <v>10000</v>
      </c>
      <c r="D115" s="136">
        <v>9040</v>
      </c>
      <c r="E115" s="270">
        <v>0</v>
      </c>
      <c r="F115" s="186">
        <f t="shared" si="4"/>
        <v>0</v>
      </c>
      <c r="G115" s="245">
        <f t="shared" si="5"/>
        <v>0</v>
      </c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</row>
    <row r="116" spans="1:39" s="3" customFormat="1" ht="18" customHeight="1" thickBot="1" x14ac:dyDescent="0.35">
      <c r="A116" s="142" t="s">
        <v>110</v>
      </c>
      <c r="B116" s="144" t="s">
        <v>500</v>
      </c>
      <c r="C116" s="281">
        <v>10000</v>
      </c>
      <c r="D116" s="136">
        <v>9040</v>
      </c>
      <c r="E116" s="270">
        <v>0</v>
      </c>
      <c r="F116" s="186">
        <f t="shared" si="4"/>
        <v>0</v>
      </c>
      <c r="G116" s="245">
        <f t="shared" si="5"/>
        <v>0</v>
      </c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</row>
    <row r="117" spans="1:39" s="3" customFormat="1" ht="18" customHeight="1" thickBot="1" x14ac:dyDescent="0.35">
      <c r="A117" s="142" t="s">
        <v>111</v>
      </c>
      <c r="B117" s="144" t="s">
        <v>501</v>
      </c>
      <c r="C117" s="281">
        <v>10000</v>
      </c>
      <c r="D117" s="136"/>
      <c r="E117" s="220">
        <f t="shared" si="3"/>
        <v>10000</v>
      </c>
      <c r="F117" s="186">
        <f t="shared" si="4"/>
        <v>10000</v>
      </c>
      <c r="G117" s="245">
        <f t="shared" si="5"/>
        <v>0</v>
      </c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>
        <v>10000</v>
      </c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</row>
    <row r="118" spans="1:39" s="3" customFormat="1" ht="18" customHeight="1" thickBot="1" x14ac:dyDescent="0.35">
      <c r="A118" s="142" t="s">
        <v>112</v>
      </c>
      <c r="B118" s="144" t="s">
        <v>290</v>
      </c>
      <c r="C118" s="281">
        <v>10000</v>
      </c>
      <c r="D118" s="136"/>
      <c r="E118" s="220">
        <f t="shared" si="3"/>
        <v>10000</v>
      </c>
      <c r="F118" s="186">
        <f t="shared" si="4"/>
        <v>6921.2599999999993</v>
      </c>
      <c r="G118" s="245">
        <f t="shared" si="5"/>
        <v>3078.7400000000007</v>
      </c>
      <c r="H118" s="238"/>
      <c r="I118" s="238"/>
      <c r="J118" s="238"/>
      <c r="K118" s="238"/>
      <c r="L118" s="238"/>
      <c r="M118" s="238"/>
      <c r="N118" s="238">
        <v>3461.08</v>
      </c>
      <c r="O118" s="238"/>
      <c r="P118" s="238"/>
      <c r="Q118" s="238">
        <v>2595.14</v>
      </c>
      <c r="R118" s="238">
        <v>865.04</v>
      </c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</row>
    <row r="119" spans="1:39" s="3" customFormat="1" ht="18" customHeight="1" thickBot="1" x14ac:dyDescent="0.35">
      <c r="A119" s="142" t="s">
        <v>113</v>
      </c>
      <c r="B119" s="144" t="s">
        <v>291</v>
      </c>
      <c r="C119" s="281">
        <v>434332</v>
      </c>
      <c r="D119" s="136"/>
      <c r="E119" s="220">
        <f t="shared" si="3"/>
        <v>434332</v>
      </c>
      <c r="F119" s="186">
        <f t="shared" si="4"/>
        <v>320464.42000000004</v>
      </c>
      <c r="G119" s="245">
        <f t="shared" si="5"/>
        <v>113867.57999999996</v>
      </c>
      <c r="H119" s="238"/>
      <c r="I119" s="238"/>
      <c r="J119" s="238"/>
      <c r="K119" s="238"/>
      <c r="L119" s="238"/>
      <c r="M119" s="238"/>
      <c r="N119" s="238"/>
      <c r="O119" s="238">
        <v>104273.13</v>
      </c>
      <c r="P119" s="238">
        <v>19318.59</v>
      </c>
      <c r="Q119" s="238">
        <v>19496.689999999999</v>
      </c>
      <c r="R119" s="238">
        <v>24487.35</v>
      </c>
      <c r="S119" s="238">
        <v>51429.7</v>
      </c>
      <c r="T119" s="238"/>
      <c r="U119" s="238"/>
      <c r="V119" s="238">
        <v>101458.96</v>
      </c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</row>
    <row r="120" spans="1:39" s="3" customFormat="1" ht="18" customHeight="1" thickBot="1" x14ac:dyDescent="0.35">
      <c r="A120" s="142" t="s">
        <v>114</v>
      </c>
      <c r="B120" s="144" t="s">
        <v>503</v>
      </c>
      <c r="C120" s="281">
        <v>10000</v>
      </c>
      <c r="D120" s="136"/>
      <c r="E120" s="220">
        <f t="shared" si="3"/>
        <v>10000</v>
      </c>
      <c r="F120" s="186">
        <f t="shared" si="4"/>
        <v>10000</v>
      </c>
      <c r="G120" s="245">
        <f t="shared" si="5"/>
        <v>0</v>
      </c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>
        <v>10000</v>
      </c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</row>
    <row r="121" spans="1:39" s="3" customFormat="1" ht="18" customHeight="1" thickBot="1" x14ac:dyDescent="0.35">
      <c r="A121" s="142" t="s">
        <v>115</v>
      </c>
      <c r="B121" s="144" t="s">
        <v>590</v>
      </c>
      <c r="C121" s="281">
        <v>28427</v>
      </c>
      <c r="D121" s="136"/>
      <c r="E121" s="220">
        <f t="shared" si="3"/>
        <v>28427</v>
      </c>
      <c r="F121" s="186">
        <f t="shared" si="4"/>
        <v>28427</v>
      </c>
      <c r="G121" s="245">
        <f t="shared" si="5"/>
        <v>0</v>
      </c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>
        <v>28427</v>
      </c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</row>
    <row r="122" spans="1:39" s="3" customFormat="1" ht="18" customHeight="1" thickBot="1" x14ac:dyDescent="0.35">
      <c r="A122" s="142" t="s">
        <v>116</v>
      </c>
      <c r="B122" s="144" t="s">
        <v>507</v>
      </c>
      <c r="C122" s="281">
        <v>93463</v>
      </c>
      <c r="D122" s="136"/>
      <c r="E122" s="220">
        <f t="shared" si="3"/>
        <v>93463</v>
      </c>
      <c r="F122" s="186">
        <f t="shared" si="4"/>
        <v>0</v>
      </c>
      <c r="G122" s="245">
        <f t="shared" si="5"/>
        <v>93463</v>
      </c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</row>
    <row r="123" spans="1:39" s="3" customFormat="1" ht="18" customHeight="1" thickBot="1" x14ac:dyDescent="0.35">
      <c r="A123" s="142" t="s">
        <v>117</v>
      </c>
      <c r="B123" s="144" t="s">
        <v>591</v>
      </c>
      <c r="C123" s="281">
        <v>10000</v>
      </c>
      <c r="D123" s="136"/>
      <c r="E123" s="220">
        <f t="shared" si="3"/>
        <v>10000</v>
      </c>
      <c r="F123" s="186">
        <f t="shared" si="4"/>
        <v>10000</v>
      </c>
      <c r="G123" s="245">
        <f t="shared" si="5"/>
        <v>0</v>
      </c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>
        <v>10000</v>
      </c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</row>
    <row r="124" spans="1:39" s="3" customFormat="1" ht="18" customHeight="1" thickBot="1" x14ac:dyDescent="0.35">
      <c r="A124" s="142" t="s">
        <v>118</v>
      </c>
      <c r="B124" s="144" t="s">
        <v>510</v>
      </c>
      <c r="C124" s="281">
        <v>10000</v>
      </c>
      <c r="D124" s="136"/>
      <c r="E124" s="220">
        <f t="shared" si="3"/>
        <v>10000</v>
      </c>
      <c r="F124" s="186">
        <f t="shared" si="4"/>
        <v>10000</v>
      </c>
      <c r="G124" s="245">
        <f t="shared" si="5"/>
        <v>0</v>
      </c>
      <c r="H124" s="238"/>
      <c r="I124" s="238"/>
      <c r="J124" s="238"/>
      <c r="K124" s="238"/>
      <c r="L124" s="238"/>
      <c r="M124" s="238"/>
      <c r="N124" s="238"/>
      <c r="O124" s="238">
        <v>8500</v>
      </c>
      <c r="P124" s="238"/>
      <c r="Q124" s="238"/>
      <c r="R124" s="238"/>
      <c r="S124" s="238">
        <v>1500</v>
      </c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</row>
    <row r="125" spans="1:39" s="3" customFormat="1" ht="18" customHeight="1" thickBot="1" x14ac:dyDescent="0.35">
      <c r="A125" s="142" t="s">
        <v>119</v>
      </c>
      <c r="B125" s="144" t="s">
        <v>511</v>
      </c>
      <c r="C125" s="281">
        <v>88405</v>
      </c>
      <c r="D125" s="136"/>
      <c r="E125" s="220">
        <f t="shared" si="3"/>
        <v>88405</v>
      </c>
      <c r="F125" s="186">
        <f t="shared" si="4"/>
        <v>51649.719999999994</v>
      </c>
      <c r="G125" s="245">
        <f t="shared" si="5"/>
        <v>36755.280000000006</v>
      </c>
      <c r="H125" s="238"/>
      <c r="I125" s="238"/>
      <c r="J125" s="238"/>
      <c r="K125" s="238"/>
      <c r="L125" s="238"/>
      <c r="M125" s="238">
        <v>641.15</v>
      </c>
      <c r="N125" s="238">
        <v>7160.6</v>
      </c>
      <c r="O125" s="238">
        <v>9386.75</v>
      </c>
      <c r="P125" s="238">
        <v>9326.75</v>
      </c>
      <c r="Q125" s="238">
        <v>3080.47</v>
      </c>
      <c r="R125" s="238">
        <v>3487.31</v>
      </c>
      <c r="S125" s="238">
        <v>3461.92</v>
      </c>
      <c r="T125" s="238">
        <v>5085.4799999999996</v>
      </c>
      <c r="U125" s="238"/>
      <c r="V125" s="238">
        <v>10019.290000000001</v>
      </c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</row>
    <row r="126" spans="1:39" s="3" customFormat="1" ht="18" customHeight="1" thickBot="1" x14ac:dyDescent="0.35">
      <c r="A126" s="142" t="s">
        <v>120</v>
      </c>
      <c r="B126" s="144" t="s">
        <v>513</v>
      </c>
      <c r="C126" s="281">
        <v>10000</v>
      </c>
      <c r="D126" s="136"/>
      <c r="E126" s="220">
        <f t="shared" si="3"/>
        <v>10000</v>
      </c>
      <c r="F126" s="186">
        <f t="shared" si="4"/>
        <v>8800.0499999999993</v>
      </c>
      <c r="G126" s="245">
        <f t="shared" si="5"/>
        <v>1199.9500000000007</v>
      </c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>
        <v>8800.0499999999993</v>
      </c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</row>
    <row r="127" spans="1:39" s="3" customFormat="1" ht="18" customHeight="1" thickBot="1" x14ac:dyDescent="0.35">
      <c r="A127" s="142" t="s">
        <v>121</v>
      </c>
      <c r="B127" s="144" t="s">
        <v>514</v>
      </c>
      <c r="C127" s="281">
        <v>15886</v>
      </c>
      <c r="D127" s="136">
        <v>9035</v>
      </c>
      <c r="E127" s="270">
        <v>0</v>
      </c>
      <c r="F127" s="186">
        <f t="shared" si="4"/>
        <v>0</v>
      </c>
      <c r="G127" s="245">
        <f t="shared" si="5"/>
        <v>0</v>
      </c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</row>
    <row r="128" spans="1:39" s="3" customFormat="1" ht="18" customHeight="1" thickBot="1" x14ac:dyDescent="0.35">
      <c r="A128" s="142" t="s">
        <v>122</v>
      </c>
      <c r="B128" s="144" t="s">
        <v>516</v>
      </c>
      <c r="C128" s="281">
        <v>35663</v>
      </c>
      <c r="D128" s="136"/>
      <c r="E128" s="220">
        <f t="shared" si="3"/>
        <v>35663</v>
      </c>
      <c r="F128" s="186">
        <f t="shared" si="4"/>
        <v>35663</v>
      </c>
      <c r="G128" s="245">
        <f t="shared" si="5"/>
        <v>0</v>
      </c>
      <c r="H128" s="238"/>
      <c r="I128" s="238"/>
      <c r="J128" s="238"/>
      <c r="K128" s="238">
        <v>11542.05</v>
      </c>
      <c r="L128" s="238">
        <v>1627.96</v>
      </c>
      <c r="M128" s="238">
        <v>1627.98</v>
      </c>
      <c r="N128" s="238">
        <v>1627.98</v>
      </c>
      <c r="O128" s="238">
        <v>1630.4</v>
      </c>
      <c r="P128" s="238">
        <v>5380.47</v>
      </c>
      <c r="Q128" s="238">
        <v>1630.37</v>
      </c>
      <c r="R128" s="238">
        <v>1630.36</v>
      </c>
      <c r="S128" s="238">
        <v>2022.91</v>
      </c>
      <c r="T128" s="238"/>
      <c r="U128" s="238">
        <f>3141.07+1637.05+2164.4</f>
        <v>6942.52</v>
      </c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</row>
    <row r="129" spans="1:39" s="3" customFormat="1" ht="18" customHeight="1" thickBot="1" x14ac:dyDescent="0.35">
      <c r="A129" s="142" t="s">
        <v>123</v>
      </c>
      <c r="B129" s="144" t="s">
        <v>517</v>
      </c>
      <c r="C129" s="281">
        <v>10000</v>
      </c>
      <c r="D129" s="136">
        <v>9035</v>
      </c>
      <c r="E129" s="270">
        <v>0</v>
      </c>
      <c r="F129" s="186">
        <f t="shared" si="4"/>
        <v>0</v>
      </c>
      <c r="G129" s="245">
        <f t="shared" si="5"/>
        <v>0</v>
      </c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</row>
    <row r="130" spans="1:39" s="3" customFormat="1" ht="19.5" thickBot="1" x14ac:dyDescent="0.35">
      <c r="A130" s="142" t="s">
        <v>124</v>
      </c>
      <c r="B130" s="144" t="s">
        <v>518</v>
      </c>
      <c r="C130" s="281">
        <v>10000</v>
      </c>
      <c r="D130" s="136">
        <v>9035</v>
      </c>
      <c r="E130" s="270">
        <v>0</v>
      </c>
      <c r="F130" s="186">
        <f t="shared" si="4"/>
        <v>0</v>
      </c>
      <c r="G130" s="245">
        <f t="shared" si="5"/>
        <v>0</v>
      </c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</row>
    <row r="131" spans="1:39" s="3" customFormat="1" ht="19.5" thickBot="1" x14ac:dyDescent="0.35">
      <c r="A131" s="142" t="s">
        <v>125</v>
      </c>
      <c r="B131" s="144" t="s">
        <v>303</v>
      </c>
      <c r="C131" s="281">
        <v>43224</v>
      </c>
      <c r="D131" s="136"/>
      <c r="E131" s="220">
        <f t="shared" si="3"/>
        <v>43224</v>
      </c>
      <c r="F131" s="186">
        <f t="shared" si="4"/>
        <v>0</v>
      </c>
      <c r="G131" s="245">
        <f t="shared" si="5"/>
        <v>43224</v>
      </c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</row>
    <row r="132" spans="1:39" s="3" customFormat="1" ht="19.5" thickBot="1" x14ac:dyDescent="0.35">
      <c r="A132" s="142" t="s">
        <v>126</v>
      </c>
      <c r="B132" s="144" t="s">
        <v>304</v>
      </c>
      <c r="C132" s="281">
        <v>25912</v>
      </c>
      <c r="D132" s="136"/>
      <c r="E132" s="220">
        <f t="shared" si="3"/>
        <v>25912</v>
      </c>
      <c r="F132" s="186">
        <f t="shared" si="4"/>
        <v>8654.32</v>
      </c>
      <c r="G132" s="245">
        <f t="shared" si="5"/>
        <v>17257.68</v>
      </c>
      <c r="H132" s="238"/>
      <c r="I132" s="238"/>
      <c r="J132" s="238"/>
      <c r="K132" s="238"/>
      <c r="L132" s="238"/>
      <c r="M132" s="238"/>
      <c r="N132" s="238"/>
      <c r="O132" s="238"/>
      <c r="P132" s="238">
        <v>3674.39</v>
      </c>
      <c r="Q132" s="238"/>
      <c r="R132" s="238"/>
      <c r="S132" s="238">
        <v>4979.93</v>
      </c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</row>
    <row r="133" spans="1:39" s="3" customFormat="1" ht="19.5" thickBot="1" x14ac:dyDescent="0.35">
      <c r="A133" s="142" t="s">
        <v>127</v>
      </c>
      <c r="B133" s="144" t="s">
        <v>305</v>
      </c>
      <c r="C133" s="281">
        <v>10000</v>
      </c>
      <c r="D133" s="136"/>
      <c r="E133" s="220">
        <f t="shared" si="3"/>
        <v>10000</v>
      </c>
      <c r="F133" s="186">
        <f t="shared" si="4"/>
        <v>10000</v>
      </c>
      <c r="G133" s="245">
        <f t="shared" si="5"/>
        <v>0</v>
      </c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>
        <v>10000</v>
      </c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</row>
    <row r="134" spans="1:39" s="3" customFormat="1" ht="19.5" thickBot="1" x14ac:dyDescent="0.35">
      <c r="A134" s="142" t="s">
        <v>128</v>
      </c>
      <c r="B134" s="144" t="s">
        <v>306</v>
      </c>
      <c r="C134" s="281">
        <v>10000</v>
      </c>
      <c r="D134" s="136"/>
      <c r="E134" s="220">
        <f t="shared" si="3"/>
        <v>10000</v>
      </c>
      <c r="F134" s="186">
        <f t="shared" si="4"/>
        <v>10000</v>
      </c>
      <c r="G134" s="245">
        <f t="shared" si="5"/>
        <v>0</v>
      </c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>
        <v>10000</v>
      </c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</row>
    <row r="135" spans="1:39" s="3" customFormat="1" ht="19.5" thickBot="1" x14ac:dyDescent="0.35">
      <c r="A135" s="142" t="s">
        <v>129</v>
      </c>
      <c r="B135" s="144" t="s">
        <v>307</v>
      </c>
      <c r="C135" s="281">
        <v>10000</v>
      </c>
      <c r="D135" s="136"/>
      <c r="E135" s="220">
        <f t="shared" si="3"/>
        <v>10000</v>
      </c>
      <c r="F135" s="186">
        <f t="shared" si="4"/>
        <v>10000</v>
      </c>
      <c r="G135" s="245">
        <f t="shared" si="5"/>
        <v>0</v>
      </c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>
        <v>10000</v>
      </c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</row>
    <row r="136" spans="1:39" s="3" customFormat="1" ht="19.5" thickBot="1" x14ac:dyDescent="0.35">
      <c r="A136" s="142" t="s">
        <v>130</v>
      </c>
      <c r="B136" s="144" t="s">
        <v>308</v>
      </c>
      <c r="C136" s="281">
        <v>10000</v>
      </c>
      <c r="D136" s="136"/>
      <c r="E136" s="220">
        <f t="shared" si="3"/>
        <v>10000</v>
      </c>
      <c r="F136" s="186">
        <f t="shared" si="4"/>
        <v>10000</v>
      </c>
      <c r="G136" s="245">
        <f t="shared" si="5"/>
        <v>0</v>
      </c>
      <c r="H136" s="238"/>
      <c r="I136" s="238"/>
      <c r="J136" s="238"/>
      <c r="K136" s="238">
        <v>1000</v>
      </c>
      <c r="L136" s="238">
        <v>1000</v>
      </c>
      <c r="M136" s="238">
        <v>1000</v>
      </c>
      <c r="N136" s="238">
        <v>1000</v>
      </c>
      <c r="O136" s="238">
        <v>1000</v>
      </c>
      <c r="P136" s="238">
        <v>1000</v>
      </c>
      <c r="Q136" s="238">
        <v>1000</v>
      </c>
      <c r="R136" s="238">
        <v>1000</v>
      </c>
      <c r="S136" s="238">
        <v>2000</v>
      </c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</row>
    <row r="137" spans="1:39" s="3" customFormat="1" ht="19.5" thickBot="1" x14ac:dyDescent="0.35">
      <c r="A137" s="142" t="s">
        <v>131</v>
      </c>
      <c r="B137" s="144" t="s">
        <v>309</v>
      </c>
      <c r="C137" s="281">
        <v>10000</v>
      </c>
      <c r="D137" s="136"/>
      <c r="E137" s="220">
        <f t="shared" si="3"/>
        <v>10000</v>
      </c>
      <c r="F137" s="186">
        <f t="shared" si="4"/>
        <v>0</v>
      </c>
      <c r="G137" s="245">
        <f t="shared" si="5"/>
        <v>10000</v>
      </c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</row>
    <row r="138" spans="1:39" s="3" customFormat="1" ht="19.5" thickBot="1" x14ac:dyDescent="0.35">
      <c r="A138" s="142" t="s">
        <v>132</v>
      </c>
      <c r="B138" s="144" t="s">
        <v>310</v>
      </c>
      <c r="C138" s="281">
        <v>10000</v>
      </c>
      <c r="D138" s="136"/>
      <c r="E138" s="220">
        <f t="shared" si="3"/>
        <v>10000</v>
      </c>
      <c r="F138" s="186">
        <f t="shared" si="4"/>
        <v>10000</v>
      </c>
      <c r="G138" s="245">
        <f t="shared" si="5"/>
        <v>0</v>
      </c>
      <c r="H138" s="238"/>
      <c r="I138" s="238"/>
      <c r="J138" s="238"/>
      <c r="K138" s="238"/>
      <c r="L138" s="238"/>
      <c r="M138" s="238"/>
      <c r="N138" s="238"/>
      <c r="O138" s="238"/>
      <c r="P138" s="238"/>
      <c r="Q138" s="238">
        <v>10000</v>
      </c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</row>
    <row r="139" spans="1:39" s="3" customFormat="1" ht="19.5" thickBot="1" x14ac:dyDescent="0.35">
      <c r="A139" s="142" t="s">
        <v>133</v>
      </c>
      <c r="B139" s="144" t="s">
        <v>311</v>
      </c>
      <c r="C139" s="281">
        <v>10000</v>
      </c>
      <c r="D139" s="136"/>
      <c r="E139" s="220">
        <f t="shared" si="3"/>
        <v>10000</v>
      </c>
      <c r="F139" s="186">
        <f t="shared" si="4"/>
        <v>10000</v>
      </c>
      <c r="G139" s="245">
        <f t="shared" si="5"/>
        <v>0</v>
      </c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>
        <v>10000</v>
      </c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</row>
    <row r="140" spans="1:39" s="3" customFormat="1" ht="19.5" thickBot="1" x14ac:dyDescent="0.35">
      <c r="A140" s="142" t="s">
        <v>134</v>
      </c>
      <c r="B140" s="144" t="s">
        <v>522</v>
      </c>
      <c r="C140" s="281">
        <v>10000</v>
      </c>
      <c r="D140" s="136"/>
      <c r="E140" s="220">
        <f t="shared" si="3"/>
        <v>10000</v>
      </c>
      <c r="F140" s="186">
        <f t="shared" si="4"/>
        <v>10000</v>
      </c>
      <c r="G140" s="245">
        <f t="shared" si="5"/>
        <v>0</v>
      </c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>
        <v>10000</v>
      </c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</row>
    <row r="141" spans="1:39" s="3" customFormat="1" ht="19.5" thickBot="1" x14ac:dyDescent="0.35">
      <c r="A141" s="142" t="s">
        <v>135</v>
      </c>
      <c r="B141" s="144" t="s">
        <v>523</v>
      </c>
      <c r="C141" s="281">
        <v>10000</v>
      </c>
      <c r="D141" s="136"/>
      <c r="E141" s="220">
        <f t="shared" ref="E141:E187" si="6">C141</f>
        <v>10000</v>
      </c>
      <c r="F141" s="186">
        <f t="shared" ref="F141:F194" si="7">SUM(H141:AK141)</f>
        <v>9550</v>
      </c>
      <c r="G141" s="245">
        <f t="shared" ref="G141:G194" si="8">E141-(F141+AL141+AM141)</f>
        <v>450</v>
      </c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>
        <v>9550</v>
      </c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</row>
    <row r="142" spans="1:39" s="3" customFormat="1" ht="19.5" thickBot="1" x14ac:dyDescent="0.35">
      <c r="A142" s="142" t="s">
        <v>136</v>
      </c>
      <c r="B142" s="144" t="s">
        <v>525</v>
      </c>
      <c r="C142" s="281">
        <v>10000</v>
      </c>
      <c r="D142" s="136">
        <v>9040</v>
      </c>
      <c r="E142" s="270">
        <v>0</v>
      </c>
      <c r="F142" s="186">
        <f t="shared" si="7"/>
        <v>0</v>
      </c>
      <c r="G142" s="245">
        <f t="shared" si="8"/>
        <v>0</v>
      </c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</row>
    <row r="143" spans="1:39" s="3" customFormat="1" ht="19.5" thickBot="1" x14ac:dyDescent="0.35">
      <c r="A143" s="142" t="s">
        <v>137</v>
      </c>
      <c r="B143" s="144" t="s">
        <v>315</v>
      </c>
      <c r="C143" s="281">
        <v>10000</v>
      </c>
      <c r="D143" s="136"/>
      <c r="E143" s="220">
        <f t="shared" si="6"/>
        <v>10000</v>
      </c>
      <c r="F143" s="186">
        <f t="shared" si="7"/>
        <v>0</v>
      </c>
      <c r="G143" s="245">
        <f t="shared" si="8"/>
        <v>10000</v>
      </c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</row>
    <row r="144" spans="1:39" s="3" customFormat="1" ht="19.5" thickBot="1" x14ac:dyDescent="0.35">
      <c r="A144" s="142" t="s">
        <v>138</v>
      </c>
      <c r="B144" s="144" t="s">
        <v>527</v>
      </c>
      <c r="C144" s="281">
        <v>10000</v>
      </c>
      <c r="D144" s="136"/>
      <c r="E144" s="220">
        <f t="shared" si="6"/>
        <v>10000</v>
      </c>
      <c r="F144" s="186">
        <f t="shared" si="7"/>
        <v>5000</v>
      </c>
      <c r="G144" s="245">
        <f t="shared" si="8"/>
        <v>5000</v>
      </c>
      <c r="H144" s="238"/>
      <c r="I144" s="238"/>
      <c r="J144" s="238"/>
      <c r="K144" s="238"/>
      <c r="L144" s="238"/>
      <c r="M144" s="238"/>
      <c r="N144" s="238"/>
      <c r="O144" s="238"/>
      <c r="P144" s="238"/>
      <c r="Q144" s="238">
        <v>5000</v>
      </c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</row>
    <row r="145" spans="1:39" s="3" customFormat="1" ht="19.5" thickBot="1" x14ac:dyDescent="0.35">
      <c r="A145" s="142" t="s">
        <v>139</v>
      </c>
      <c r="B145" s="144" t="s">
        <v>529</v>
      </c>
      <c r="C145" s="281">
        <v>38789</v>
      </c>
      <c r="D145" s="136"/>
      <c r="E145" s="220">
        <f t="shared" si="6"/>
        <v>38789</v>
      </c>
      <c r="F145" s="186">
        <f t="shared" si="7"/>
        <v>32122</v>
      </c>
      <c r="G145" s="245">
        <f t="shared" si="8"/>
        <v>6667</v>
      </c>
      <c r="H145" s="238"/>
      <c r="I145" s="238"/>
      <c r="J145" s="238"/>
      <c r="K145" s="238"/>
      <c r="L145" s="238">
        <v>1783</v>
      </c>
      <c r="M145" s="238">
        <v>2765</v>
      </c>
      <c r="N145" s="238">
        <v>2766</v>
      </c>
      <c r="O145" s="238">
        <v>2685</v>
      </c>
      <c r="P145" s="238">
        <f>2766+2766+2170</f>
        <v>7702</v>
      </c>
      <c r="Q145" s="238">
        <v>2766</v>
      </c>
      <c r="R145" s="238"/>
      <c r="S145" s="238">
        <f>595+2767</f>
        <v>3362</v>
      </c>
      <c r="T145" s="238"/>
      <c r="U145" s="238">
        <v>8293</v>
      </c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</row>
    <row r="146" spans="1:39" s="3" customFormat="1" ht="19.5" thickBot="1" x14ac:dyDescent="0.35">
      <c r="A146" s="142" t="s">
        <v>140</v>
      </c>
      <c r="B146" s="144" t="s">
        <v>530</v>
      </c>
      <c r="C146" s="281">
        <v>10000</v>
      </c>
      <c r="D146" s="136"/>
      <c r="E146" s="220">
        <f t="shared" si="6"/>
        <v>10000</v>
      </c>
      <c r="F146" s="186">
        <f t="shared" si="7"/>
        <v>10000</v>
      </c>
      <c r="G146" s="245">
        <f t="shared" si="8"/>
        <v>0</v>
      </c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>
        <v>10000</v>
      </c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238"/>
    </row>
    <row r="147" spans="1:39" s="3" customFormat="1" ht="19.5" thickBot="1" x14ac:dyDescent="0.35">
      <c r="A147" s="142" t="s">
        <v>141</v>
      </c>
      <c r="B147" s="144" t="s">
        <v>531</v>
      </c>
      <c r="C147" s="281">
        <v>10000</v>
      </c>
      <c r="D147" s="136"/>
      <c r="E147" s="220">
        <f t="shared" si="6"/>
        <v>10000</v>
      </c>
      <c r="F147" s="186">
        <f t="shared" si="7"/>
        <v>0</v>
      </c>
      <c r="G147" s="245">
        <f t="shared" si="8"/>
        <v>10000</v>
      </c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8"/>
      <c r="AM147" s="238"/>
    </row>
    <row r="148" spans="1:39" s="3" customFormat="1" ht="19.5" thickBot="1" x14ac:dyDescent="0.35">
      <c r="A148" s="142" t="s">
        <v>142</v>
      </c>
      <c r="B148" s="144" t="s">
        <v>320</v>
      </c>
      <c r="C148" s="281">
        <v>410099</v>
      </c>
      <c r="D148" s="136"/>
      <c r="E148" s="220">
        <f t="shared" si="6"/>
        <v>410099</v>
      </c>
      <c r="F148" s="186">
        <f t="shared" si="7"/>
        <v>235832.87</v>
      </c>
      <c r="G148" s="245">
        <f t="shared" si="8"/>
        <v>174266.13</v>
      </c>
      <c r="H148" s="238"/>
      <c r="I148" s="238"/>
      <c r="J148" s="238"/>
      <c r="K148" s="238"/>
      <c r="L148" s="238">
        <v>8731.9599999999991</v>
      </c>
      <c r="M148" s="238">
        <v>40747.19</v>
      </c>
      <c r="N148" s="238"/>
      <c r="O148" s="238">
        <v>55990.080000000002</v>
      </c>
      <c r="P148" s="238">
        <v>21676.7</v>
      </c>
      <c r="Q148" s="238">
        <v>20373.32</v>
      </c>
      <c r="R148" s="238">
        <v>27351.14</v>
      </c>
      <c r="S148" s="238">
        <v>24725.15</v>
      </c>
      <c r="T148" s="238"/>
      <c r="U148" s="238">
        <v>36237.33</v>
      </c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8"/>
    </row>
    <row r="149" spans="1:39" s="3" customFormat="1" ht="18" customHeight="1" thickBot="1" x14ac:dyDescent="0.35">
      <c r="A149" s="142" t="s">
        <v>143</v>
      </c>
      <c r="B149" s="144" t="s">
        <v>533</v>
      </c>
      <c r="C149" s="281">
        <v>74254</v>
      </c>
      <c r="D149" s="136"/>
      <c r="E149" s="220">
        <f t="shared" si="6"/>
        <v>74254</v>
      </c>
      <c r="F149" s="186">
        <f t="shared" si="7"/>
        <v>63324.93</v>
      </c>
      <c r="G149" s="245">
        <f t="shared" si="8"/>
        <v>10929.07</v>
      </c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>
        <v>14336.95</v>
      </c>
      <c r="T149" s="238"/>
      <c r="U149" s="238">
        <v>19354.16</v>
      </c>
      <c r="V149" s="238">
        <v>29633.82</v>
      </c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8"/>
    </row>
    <row r="150" spans="1:39" s="3" customFormat="1" ht="19.5" thickBot="1" x14ac:dyDescent="0.35">
      <c r="A150" s="142" t="s">
        <v>144</v>
      </c>
      <c r="B150" s="144" t="s">
        <v>322</v>
      </c>
      <c r="C150" s="281">
        <v>10000</v>
      </c>
      <c r="D150" s="136"/>
      <c r="E150" s="220">
        <f t="shared" si="6"/>
        <v>10000</v>
      </c>
      <c r="F150" s="186">
        <f t="shared" si="7"/>
        <v>10000</v>
      </c>
      <c r="G150" s="245">
        <f t="shared" si="8"/>
        <v>0</v>
      </c>
      <c r="H150" s="238"/>
      <c r="I150" s="238"/>
      <c r="J150" s="238"/>
      <c r="K150" s="238">
        <v>10000</v>
      </c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38"/>
      <c r="AM150" s="238"/>
    </row>
    <row r="151" spans="1:39" s="3" customFormat="1" ht="19.5" thickBot="1" x14ac:dyDescent="0.35">
      <c r="A151" s="142" t="s">
        <v>145</v>
      </c>
      <c r="B151" s="144" t="s">
        <v>536</v>
      </c>
      <c r="C151" s="281">
        <v>10000</v>
      </c>
      <c r="D151" s="136"/>
      <c r="E151" s="220">
        <f t="shared" si="6"/>
        <v>10000</v>
      </c>
      <c r="F151" s="186">
        <f t="shared" si="7"/>
        <v>10000</v>
      </c>
      <c r="G151" s="245">
        <f t="shared" si="8"/>
        <v>0</v>
      </c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>
        <v>10000</v>
      </c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</row>
    <row r="152" spans="1:39" s="3" customFormat="1" ht="19.5" thickBot="1" x14ac:dyDescent="0.35">
      <c r="A152" s="142" t="s">
        <v>146</v>
      </c>
      <c r="B152" s="144" t="s">
        <v>324</v>
      </c>
      <c r="C152" s="281">
        <v>14580</v>
      </c>
      <c r="D152" s="136"/>
      <c r="E152" s="220">
        <f t="shared" si="6"/>
        <v>14580</v>
      </c>
      <c r="F152" s="186">
        <f t="shared" si="7"/>
        <v>8695.33</v>
      </c>
      <c r="G152" s="245">
        <f t="shared" si="8"/>
        <v>5884.67</v>
      </c>
      <c r="H152" s="238"/>
      <c r="I152" s="238"/>
      <c r="J152" s="238"/>
      <c r="K152" s="238"/>
      <c r="L152" s="238"/>
      <c r="M152" s="238"/>
      <c r="N152" s="238"/>
      <c r="O152" s="238"/>
      <c r="P152" s="238">
        <v>8695.33</v>
      </c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238"/>
      <c r="AM152" s="238"/>
    </row>
    <row r="153" spans="1:39" s="3" customFormat="1" ht="19.5" thickBot="1" x14ac:dyDescent="0.35">
      <c r="A153" s="142" t="s">
        <v>147</v>
      </c>
      <c r="B153" s="144" t="s">
        <v>325</v>
      </c>
      <c r="C153" s="281">
        <v>26018</v>
      </c>
      <c r="D153" s="136"/>
      <c r="E153" s="220">
        <f t="shared" si="6"/>
        <v>26018</v>
      </c>
      <c r="F153" s="186">
        <f t="shared" si="7"/>
        <v>19900</v>
      </c>
      <c r="G153" s="245">
        <f t="shared" si="8"/>
        <v>6118</v>
      </c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>
        <v>17533</v>
      </c>
      <c r="T153" s="238">
        <v>2367</v>
      </c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238"/>
      <c r="AK153" s="238"/>
      <c r="AL153" s="238"/>
      <c r="AM153" s="238"/>
    </row>
    <row r="154" spans="1:39" s="3" customFormat="1" ht="19.5" thickBot="1" x14ac:dyDescent="0.35">
      <c r="A154" s="142" t="s">
        <v>148</v>
      </c>
      <c r="B154" s="144" t="s">
        <v>538</v>
      </c>
      <c r="C154" s="281">
        <v>10000</v>
      </c>
      <c r="D154" s="136"/>
      <c r="E154" s="220">
        <f t="shared" si="6"/>
        <v>10000</v>
      </c>
      <c r="F154" s="186">
        <f t="shared" si="7"/>
        <v>8254</v>
      </c>
      <c r="G154" s="245">
        <f t="shared" si="8"/>
        <v>1746</v>
      </c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>
        <v>8254</v>
      </c>
      <c r="T154" s="238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  <c r="AJ154" s="238"/>
      <c r="AK154" s="238"/>
      <c r="AL154" s="238"/>
      <c r="AM154" s="238"/>
    </row>
    <row r="155" spans="1:39" s="3" customFormat="1" ht="19.5" thickBot="1" x14ac:dyDescent="0.35">
      <c r="A155" s="142" t="s">
        <v>149</v>
      </c>
      <c r="B155" s="144" t="s">
        <v>539</v>
      </c>
      <c r="C155" s="281">
        <v>0</v>
      </c>
      <c r="D155" s="136"/>
      <c r="E155" s="220">
        <f t="shared" si="6"/>
        <v>0</v>
      </c>
      <c r="F155" s="186">
        <f t="shared" si="7"/>
        <v>0</v>
      </c>
      <c r="G155" s="245">
        <f t="shared" si="8"/>
        <v>0</v>
      </c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F155" s="238"/>
      <c r="AG155" s="238"/>
      <c r="AH155" s="238"/>
      <c r="AI155" s="238"/>
      <c r="AJ155" s="238"/>
      <c r="AK155" s="238"/>
      <c r="AL155" s="238"/>
      <c r="AM155" s="238"/>
    </row>
    <row r="156" spans="1:39" s="3" customFormat="1" ht="19.5" thickBot="1" x14ac:dyDescent="0.35">
      <c r="A156" s="142" t="s">
        <v>150</v>
      </c>
      <c r="B156" s="144" t="s">
        <v>541</v>
      </c>
      <c r="C156" s="281">
        <v>13698</v>
      </c>
      <c r="D156" s="136"/>
      <c r="E156" s="220">
        <f t="shared" si="6"/>
        <v>13698</v>
      </c>
      <c r="F156" s="186">
        <f t="shared" si="7"/>
        <v>13698</v>
      </c>
      <c r="G156" s="245">
        <f t="shared" si="8"/>
        <v>0</v>
      </c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>
        <v>13698</v>
      </c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  <c r="AJ156" s="238"/>
      <c r="AK156" s="238"/>
      <c r="AL156" s="238"/>
      <c r="AM156" s="238"/>
    </row>
    <row r="157" spans="1:39" s="3" customFormat="1" ht="19.5" thickBot="1" x14ac:dyDescent="0.35">
      <c r="A157" s="142" t="s">
        <v>151</v>
      </c>
      <c r="B157" s="144" t="s">
        <v>329</v>
      </c>
      <c r="C157" s="281">
        <v>10000</v>
      </c>
      <c r="D157" s="136"/>
      <c r="E157" s="220">
        <f t="shared" si="6"/>
        <v>10000</v>
      </c>
      <c r="F157" s="186">
        <f t="shared" si="7"/>
        <v>0</v>
      </c>
      <c r="G157" s="245">
        <f t="shared" si="8"/>
        <v>10000</v>
      </c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</row>
    <row r="158" spans="1:39" s="3" customFormat="1" ht="19.5" thickBot="1" x14ac:dyDescent="0.35">
      <c r="A158" s="142" t="s">
        <v>152</v>
      </c>
      <c r="B158" s="144" t="s">
        <v>330</v>
      </c>
      <c r="C158" s="281">
        <v>10000</v>
      </c>
      <c r="D158" s="136"/>
      <c r="E158" s="220">
        <f t="shared" si="6"/>
        <v>10000</v>
      </c>
      <c r="F158" s="186">
        <f t="shared" si="7"/>
        <v>10000</v>
      </c>
      <c r="G158" s="245">
        <f t="shared" si="8"/>
        <v>0</v>
      </c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>
        <v>10000</v>
      </c>
      <c r="S158" s="238"/>
      <c r="T158" s="238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  <c r="AJ158" s="238"/>
      <c r="AK158" s="238"/>
      <c r="AL158" s="238"/>
      <c r="AM158" s="238"/>
    </row>
    <row r="159" spans="1:39" s="3" customFormat="1" ht="19.5" thickBot="1" x14ac:dyDescent="0.35">
      <c r="A159" s="142" t="s">
        <v>153</v>
      </c>
      <c r="B159" s="144" t="s">
        <v>331</v>
      </c>
      <c r="C159" s="281">
        <v>10840</v>
      </c>
      <c r="D159" s="136"/>
      <c r="E159" s="220">
        <f t="shared" si="6"/>
        <v>10840</v>
      </c>
      <c r="F159" s="186">
        <f t="shared" si="7"/>
        <v>4154.4400000000005</v>
      </c>
      <c r="G159" s="245">
        <f t="shared" si="8"/>
        <v>6685.5599999999995</v>
      </c>
      <c r="H159" s="238"/>
      <c r="I159" s="238"/>
      <c r="J159" s="238"/>
      <c r="K159" s="238"/>
      <c r="L159" s="238"/>
      <c r="M159" s="238"/>
      <c r="N159" s="238"/>
      <c r="O159" s="238"/>
      <c r="P159" s="238">
        <v>150.03</v>
      </c>
      <c r="Q159" s="238">
        <v>1140.28</v>
      </c>
      <c r="R159" s="238"/>
      <c r="S159" s="238">
        <v>1851.57</v>
      </c>
      <c r="T159" s="238">
        <v>1012.56</v>
      </c>
      <c r="U159" s="238"/>
      <c r="V159" s="238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38"/>
      <c r="AK159" s="238"/>
      <c r="AL159" s="238"/>
      <c r="AM159" s="238"/>
    </row>
    <row r="160" spans="1:39" s="3" customFormat="1" ht="19.5" thickBot="1" x14ac:dyDescent="0.35">
      <c r="A160" s="142" t="s">
        <v>154</v>
      </c>
      <c r="B160" s="144" t="s">
        <v>545</v>
      </c>
      <c r="C160" s="281">
        <v>26910</v>
      </c>
      <c r="D160" s="136"/>
      <c r="E160" s="220">
        <f t="shared" si="6"/>
        <v>26910</v>
      </c>
      <c r="F160" s="186">
        <f t="shared" si="7"/>
        <v>26910</v>
      </c>
      <c r="G160" s="245">
        <f t="shared" si="8"/>
        <v>0</v>
      </c>
      <c r="H160" s="238"/>
      <c r="I160" s="238"/>
      <c r="J160" s="238"/>
      <c r="K160" s="238"/>
      <c r="L160" s="238">
        <v>26894</v>
      </c>
      <c r="M160" s="238"/>
      <c r="N160" s="238"/>
      <c r="O160" s="238"/>
      <c r="P160" s="238"/>
      <c r="Q160" s="238"/>
      <c r="R160" s="238"/>
      <c r="S160" s="238"/>
      <c r="T160" s="238"/>
      <c r="U160" s="238">
        <v>16</v>
      </c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38"/>
      <c r="AK160" s="238"/>
      <c r="AL160" s="238"/>
      <c r="AM160" s="238"/>
    </row>
    <row r="161" spans="1:39" s="3" customFormat="1" ht="19.5" thickBot="1" x14ac:dyDescent="0.35">
      <c r="A161" s="142" t="s">
        <v>155</v>
      </c>
      <c r="B161" s="144" t="s">
        <v>333</v>
      </c>
      <c r="C161" s="281">
        <v>10000</v>
      </c>
      <c r="D161" s="136"/>
      <c r="E161" s="220">
        <f t="shared" si="6"/>
        <v>10000</v>
      </c>
      <c r="F161" s="186">
        <f t="shared" si="7"/>
        <v>10000</v>
      </c>
      <c r="G161" s="245">
        <f t="shared" si="8"/>
        <v>0</v>
      </c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>
        <v>10000</v>
      </c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238"/>
      <c r="AK161" s="238"/>
      <c r="AL161" s="238"/>
      <c r="AM161" s="238"/>
    </row>
    <row r="162" spans="1:39" s="3" customFormat="1" ht="19.5" thickBot="1" x14ac:dyDescent="0.35">
      <c r="A162" s="142" t="s">
        <v>156</v>
      </c>
      <c r="B162" s="144" t="s">
        <v>334</v>
      </c>
      <c r="C162" s="281">
        <v>10000</v>
      </c>
      <c r="D162" s="136"/>
      <c r="E162" s="220">
        <f t="shared" si="6"/>
        <v>10000</v>
      </c>
      <c r="F162" s="186">
        <f t="shared" si="7"/>
        <v>9046</v>
      </c>
      <c r="G162" s="245">
        <f t="shared" si="8"/>
        <v>954</v>
      </c>
      <c r="H162" s="238"/>
      <c r="I162" s="238"/>
      <c r="J162" s="238"/>
      <c r="K162" s="238"/>
      <c r="L162" s="238"/>
      <c r="M162" s="238"/>
      <c r="N162" s="238"/>
      <c r="O162" s="238"/>
      <c r="P162" s="238"/>
      <c r="Q162" s="238">
        <v>3943</v>
      </c>
      <c r="R162" s="238"/>
      <c r="S162" s="238">
        <v>4458</v>
      </c>
      <c r="T162" s="238">
        <v>645</v>
      </c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</row>
    <row r="163" spans="1:39" s="3" customFormat="1" ht="19.5" thickBot="1" x14ac:dyDescent="0.35">
      <c r="A163" s="142" t="s">
        <v>157</v>
      </c>
      <c r="B163" s="144" t="s">
        <v>335</v>
      </c>
      <c r="C163" s="281">
        <v>10000</v>
      </c>
      <c r="D163" s="136"/>
      <c r="E163" s="220">
        <f t="shared" si="6"/>
        <v>10000</v>
      </c>
      <c r="F163" s="186">
        <f t="shared" si="7"/>
        <v>10000</v>
      </c>
      <c r="G163" s="245">
        <f t="shared" si="8"/>
        <v>0</v>
      </c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>
        <v>10000</v>
      </c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238"/>
      <c r="AM163" s="238"/>
    </row>
    <row r="164" spans="1:39" s="3" customFormat="1" ht="19.5" thickBot="1" x14ac:dyDescent="0.35">
      <c r="A164" s="142" t="s">
        <v>158</v>
      </c>
      <c r="B164" s="144" t="s">
        <v>548</v>
      </c>
      <c r="C164" s="281">
        <v>11166</v>
      </c>
      <c r="D164" s="136">
        <v>9040</v>
      </c>
      <c r="E164" s="270">
        <v>0</v>
      </c>
      <c r="F164" s="186">
        <f t="shared" si="7"/>
        <v>0</v>
      </c>
      <c r="G164" s="245">
        <f t="shared" si="8"/>
        <v>0</v>
      </c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8"/>
      <c r="AL164" s="238"/>
      <c r="AM164" s="238"/>
    </row>
    <row r="165" spans="1:39" s="3" customFormat="1" ht="19.5" thickBot="1" x14ac:dyDescent="0.35">
      <c r="A165" s="142" t="s">
        <v>159</v>
      </c>
      <c r="B165" s="144" t="s">
        <v>397</v>
      </c>
      <c r="C165" s="281">
        <v>10000</v>
      </c>
      <c r="D165" s="136">
        <v>9040</v>
      </c>
      <c r="E165" s="270">
        <v>0</v>
      </c>
      <c r="F165" s="186">
        <f t="shared" si="7"/>
        <v>0</v>
      </c>
      <c r="G165" s="245">
        <f t="shared" si="8"/>
        <v>0</v>
      </c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  <c r="AJ165" s="238"/>
      <c r="AK165" s="238"/>
      <c r="AL165" s="238"/>
      <c r="AM165" s="238"/>
    </row>
    <row r="166" spans="1:39" s="3" customFormat="1" ht="19.5" thickBot="1" x14ac:dyDescent="0.35">
      <c r="A166" s="142" t="s">
        <v>160</v>
      </c>
      <c r="B166" s="144" t="s">
        <v>551</v>
      </c>
      <c r="C166" s="281">
        <v>16516</v>
      </c>
      <c r="D166" s="136"/>
      <c r="E166" s="220">
        <f t="shared" si="6"/>
        <v>16516</v>
      </c>
      <c r="F166" s="186">
        <f t="shared" si="7"/>
        <v>16481.629999999997</v>
      </c>
      <c r="G166" s="245">
        <f t="shared" si="8"/>
        <v>34.370000000002619</v>
      </c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>
        <v>676.08</v>
      </c>
      <c r="S166" s="238">
        <v>379</v>
      </c>
      <c r="T166" s="238">
        <v>650</v>
      </c>
      <c r="U166" s="238">
        <v>5532</v>
      </c>
      <c r="V166" s="238">
        <v>9244.5499999999993</v>
      </c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</row>
    <row r="167" spans="1:39" s="3" customFormat="1" ht="19.5" thickBot="1" x14ac:dyDescent="0.35">
      <c r="A167" s="142" t="s">
        <v>161</v>
      </c>
      <c r="B167" s="144" t="s">
        <v>553</v>
      </c>
      <c r="C167" s="281">
        <v>10000</v>
      </c>
      <c r="D167" s="136"/>
      <c r="E167" s="220">
        <f t="shared" si="6"/>
        <v>10000</v>
      </c>
      <c r="F167" s="186">
        <f t="shared" si="7"/>
        <v>0</v>
      </c>
      <c r="G167" s="245">
        <f t="shared" si="8"/>
        <v>10000</v>
      </c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38"/>
      <c r="AK167" s="238"/>
      <c r="AL167" s="238"/>
      <c r="AM167" s="238"/>
    </row>
    <row r="168" spans="1:39" s="3" customFormat="1" ht="19.5" thickBot="1" x14ac:dyDescent="0.35">
      <c r="A168" s="142" t="s">
        <v>162</v>
      </c>
      <c r="B168" s="144" t="s">
        <v>555</v>
      </c>
      <c r="C168" s="281">
        <v>19623</v>
      </c>
      <c r="D168" s="136"/>
      <c r="E168" s="220">
        <f t="shared" si="6"/>
        <v>19623</v>
      </c>
      <c r="F168" s="186">
        <f t="shared" si="7"/>
        <v>19623</v>
      </c>
      <c r="G168" s="245">
        <f t="shared" si="8"/>
        <v>0</v>
      </c>
      <c r="H168" s="238"/>
      <c r="I168" s="238"/>
      <c r="J168" s="238"/>
      <c r="K168" s="238"/>
      <c r="L168" s="238"/>
      <c r="M168" s="238">
        <v>19623</v>
      </c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238"/>
      <c r="AI168" s="238"/>
      <c r="AJ168" s="238"/>
      <c r="AK168" s="238"/>
      <c r="AL168" s="238"/>
      <c r="AM168" s="238"/>
    </row>
    <row r="169" spans="1:39" s="3" customFormat="1" ht="19.5" thickBot="1" x14ac:dyDescent="0.35">
      <c r="A169" s="142" t="s">
        <v>163</v>
      </c>
      <c r="B169" s="144" t="s">
        <v>340</v>
      </c>
      <c r="C169" s="281">
        <v>10000</v>
      </c>
      <c r="D169" s="136"/>
      <c r="E169" s="270">
        <f>C169</f>
        <v>10000</v>
      </c>
      <c r="F169" s="186">
        <f t="shared" si="7"/>
        <v>10000</v>
      </c>
      <c r="G169" s="245">
        <f t="shared" si="8"/>
        <v>0</v>
      </c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>
        <v>10000</v>
      </c>
      <c r="T169" s="238"/>
      <c r="U169" s="238"/>
      <c r="V169" s="238"/>
      <c r="W169" s="238"/>
      <c r="X169" s="238"/>
      <c r="Y169" s="238"/>
      <c r="Z169" s="238"/>
      <c r="AA169" s="238"/>
      <c r="AB169" s="238"/>
      <c r="AC169" s="238"/>
      <c r="AD169" s="238"/>
      <c r="AE169" s="238"/>
      <c r="AF169" s="238"/>
      <c r="AG169" s="238"/>
      <c r="AH169" s="238"/>
      <c r="AI169" s="238"/>
      <c r="AJ169" s="238"/>
      <c r="AK169" s="238"/>
      <c r="AL169" s="238"/>
      <c r="AM169" s="238"/>
    </row>
    <row r="170" spans="1:39" s="3" customFormat="1" ht="19.5" thickBot="1" x14ac:dyDescent="0.35">
      <c r="A170" s="142" t="s">
        <v>164</v>
      </c>
      <c r="B170" s="144" t="s">
        <v>341</v>
      </c>
      <c r="C170" s="281">
        <v>10000</v>
      </c>
      <c r="D170" s="136">
        <v>9025</v>
      </c>
      <c r="E170" s="270">
        <v>0</v>
      </c>
      <c r="F170" s="186">
        <f t="shared" si="7"/>
        <v>0</v>
      </c>
      <c r="G170" s="245">
        <f t="shared" si="8"/>
        <v>0</v>
      </c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  <c r="AJ170" s="238"/>
      <c r="AK170" s="238"/>
      <c r="AL170" s="238"/>
      <c r="AM170" s="238"/>
    </row>
    <row r="171" spans="1:39" s="3" customFormat="1" ht="19.5" thickBot="1" x14ac:dyDescent="0.35">
      <c r="A171" s="142" t="s">
        <v>165</v>
      </c>
      <c r="B171" s="144" t="s">
        <v>342</v>
      </c>
      <c r="C171" s="281">
        <v>10000</v>
      </c>
      <c r="D171" s="136">
        <v>9040</v>
      </c>
      <c r="E171" s="270">
        <v>0</v>
      </c>
      <c r="F171" s="186">
        <f t="shared" si="7"/>
        <v>0</v>
      </c>
      <c r="G171" s="245">
        <f t="shared" si="8"/>
        <v>0</v>
      </c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38"/>
      <c r="AK171" s="238"/>
      <c r="AL171" s="238"/>
      <c r="AM171" s="238"/>
    </row>
    <row r="172" spans="1:39" s="3" customFormat="1" ht="19.5" thickBot="1" x14ac:dyDescent="0.35">
      <c r="A172" s="142" t="s">
        <v>166</v>
      </c>
      <c r="B172" s="144" t="s">
        <v>343</v>
      </c>
      <c r="C172" s="281">
        <v>10000</v>
      </c>
      <c r="D172" s="136">
        <v>9040</v>
      </c>
      <c r="E172" s="270">
        <v>0</v>
      </c>
      <c r="F172" s="186">
        <f t="shared" si="7"/>
        <v>0</v>
      </c>
      <c r="G172" s="245">
        <f t="shared" si="8"/>
        <v>0</v>
      </c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38"/>
      <c r="AK172" s="238"/>
      <c r="AL172" s="238"/>
      <c r="AM172" s="238"/>
    </row>
    <row r="173" spans="1:39" s="3" customFormat="1" ht="19.5" thickBot="1" x14ac:dyDescent="0.35">
      <c r="A173" s="142" t="s">
        <v>167</v>
      </c>
      <c r="B173" s="144" t="s">
        <v>344</v>
      </c>
      <c r="C173" s="281">
        <v>10000</v>
      </c>
      <c r="D173" s="136">
        <v>9025</v>
      </c>
      <c r="E173" s="270">
        <v>0</v>
      </c>
      <c r="F173" s="186">
        <f t="shared" si="7"/>
        <v>0</v>
      </c>
      <c r="G173" s="245">
        <f t="shared" si="8"/>
        <v>0</v>
      </c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  <c r="AK173" s="238"/>
      <c r="AL173" s="238"/>
      <c r="AM173" s="238"/>
    </row>
    <row r="174" spans="1:39" s="3" customFormat="1" ht="19.5" thickBot="1" x14ac:dyDescent="0.35">
      <c r="A174" s="142" t="s">
        <v>168</v>
      </c>
      <c r="B174" s="144" t="s">
        <v>557</v>
      </c>
      <c r="C174" s="281">
        <v>20945</v>
      </c>
      <c r="D174" s="136">
        <v>9035</v>
      </c>
      <c r="E174" s="270">
        <v>0</v>
      </c>
      <c r="F174" s="186">
        <f t="shared" si="7"/>
        <v>0</v>
      </c>
      <c r="G174" s="245">
        <f t="shared" si="8"/>
        <v>0</v>
      </c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  <c r="AJ174" s="238"/>
      <c r="AK174" s="238"/>
      <c r="AL174" s="238"/>
      <c r="AM174" s="238"/>
    </row>
    <row r="175" spans="1:39" s="3" customFormat="1" ht="18" customHeight="1" thickBot="1" x14ac:dyDescent="0.35">
      <c r="A175" s="142" t="s">
        <v>169</v>
      </c>
      <c r="B175" s="144" t="s">
        <v>559</v>
      </c>
      <c r="C175" s="281">
        <v>11675</v>
      </c>
      <c r="D175" s="136"/>
      <c r="E175" s="220">
        <f t="shared" si="6"/>
        <v>11675</v>
      </c>
      <c r="F175" s="186">
        <f t="shared" si="7"/>
        <v>11675</v>
      </c>
      <c r="G175" s="245">
        <f t="shared" si="8"/>
        <v>0</v>
      </c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>
        <v>11675</v>
      </c>
      <c r="T175" s="238"/>
      <c r="U175" s="238"/>
      <c r="V175" s="238"/>
      <c r="W175" s="238"/>
      <c r="X175" s="238"/>
      <c r="Y175" s="238"/>
      <c r="Z175" s="238"/>
      <c r="AA175" s="238"/>
      <c r="AB175" s="238"/>
      <c r="AC175" s="238"/>
      <c r="AD175" s="238"/>
      <c r="AE175" s="238"/>
      <c r="AF175" s="238"/>
      <c r="AG175" s="238"/>
      <c r="AH175" s="238"/>
      <c r="AI175" s="238"/>
      <c r="AJ175" s="238"/>
      <c r="AK175" s="238"/>
      <c r="AL175" s="238"/>
      <c r="AM175" s="238"/>
    </row>
    <row r="176" spans="1:39" s="3" customFormat="1" ht="18" customHeight="1" thickBot="1" x14ac:dyDescent="0.35">
      <c r="A176" s="142" t="s">
        <v>170</v>
      </c>
      <c r="B176" s="144" t="s">
        <v>398</v>
      </c>
      <c r="C176" s="281">
        <v>38891</v>
      </c>
      <c r="D176" s="136"/>
      <c r="E176" s="220">
        <f t="shared" si="6"/>
        <v>38891</v>
      </c>
      <c r="F176" s="186">
        <f t="shared" si="7"/>
        <v>38891</v>
      </c>
      <c r="G176" s="245">
        <f t="shared" si="8"/>
        <v>0</v>
      </c>
      <c r="H176" s="238"/>
      <c r="I176" s="238"/>
      <c r="J176" s="238"/>
      <c r="K176" s="238"/>
      <c r="L176" s="238"/>
      <c r="M176" s="238"/>
      <c r="N176" s="238"/>
      <c r="O176" s="238"/>
      <c r="P176" s="238"/>
      <c r="Q176" s="238">
        <v>38891</v>
      </c>
      <c r="R176" s="238"/>
      <c r="S176" s="238"/>
      <c r="T176" s="238"/>
      <c r="U176" s="238"/>
      <c r="V176" s="238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  <c r="AJ176" s="238"/>
      <c r="AK176" s="238"/>
      <c r="AL176" s="238"/>
      <c r="AM176" s="238"/>
    </row>
    <row r="177" spans="1:39" s="3" customFormat="1" ht="18" customHeight="1" thickBot="1" x14ac:dyDescent="0.35">
      <c r="A177" s="142" t="s">
        <v>171</v>
      </c>
      <c r="B177" s="144" t="s">
        <v>560</v>
      </c>
      <c r="C177" s="281">
        <v>19924</v>
      </c>
      <c r="D177" s="136"/>
      <c r="E177" s="220">
        <f t="shared" si="6"/>
        <v>19924</v>
      </c>
      <c r="F177" s="186">
        <f t="shared" si="7"/>
        <v>4578.91</v>
      </c>
      <c r="G177" s="245">
        <f t="shared" si="8"/>
        <v>15345.09</v>
      </c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>
        <v>1976.86</v>
      </c>
      <c r="S177" s="238">
        <v>1466.41</v>
      </c>
      <c r="T177" s="238"/>
      <c r="U177" s="238">
        <v>1135.6400000000001</v>
      </c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8"/>
      <c r="AK177" s="238"/>
      <c r="AL177" s="238"/>
      <c r="AM177" s="238"/>
    </row>
    <row r="178" spans="1:39" s="3" customFormat="1" ht="18" customHeight="1" thickBot="1" x14ac:dyDescent="0.35">
      <c r="A178" s="142" t="s">
        <v>172</v>
      </c>
      <c r="B178" s="144" t="s">
        <v>561</v>
      </c>
      <c r="C178" s="281">
        <v>19141</v>
      </c>
      <c r="D178" s="136"/>
      <c r="E178" s="220">
        <f t="shared" si="6"/>
        <v>19141</v>
      </c>
      <c r="F178" s="186">
        <f t="shared" si="7"/>
        <v>1486.94</v>
      </c>
      <c r="G178" s="245">
        <f t="shared" si="8"/>
        <v>17654.060000000001</v>
      </c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>
        <v>94.28</v>
      </c>
      <c r="T178" s="238">
        <v>1392.66</v>
      </c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</row>
    <row r="179" spans="1:39" s="3" customFormat="1" ht="18" customHeight="1" thickBot="1" x14ac:dyDescent="0.35">
      <c r="A179" s="142" t="s">
        <v>173</v>
      </c>
      <c r="B179" s="144" t="s">
        <v>349</v>
      </c>
      <c r="C179" s="281">
        <v>401465</v>
      </c>
      <c r="D179" s="136"/>
      <c r="E179" s="220">
        <f t="shared" si="6"/>
        <v>401465</v>
      </c>
      <c r="F179" s="186">
        <f t="shared" si="7"/>
        <v>126477.44</v>
      </c>
      <c r="G179" s="245">
        <f t="shared" si="8"/>
        <v>274987.56</v>
      </c>
      <c r="H179" s="238"/>
      <c r="I179" s="238"/>
      <c r="J179" s="238"/>
      <c r="K179" s="238"/>
      <c r="L179" s="238"/>
      <c r="M179" s="238"/>
      <c r="N179" s="238"/>
      <c r="O179" s="238"/>
      <c r="P179" s="238"/>
      <c r="Q179" s="238">
        <v>56354.59</v>
      </c>
      <c r="R179" s="238">
        <v>21601.86</v>
      </c>
      <c r="S179" s="238">
        <v>8489.76</v>
      </c>
      <c r="T179" s="238">
        <v>40031.230000000003</v>
      </c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8"/>
    </row>
    <row r="180" spans="1:39" s="3" customFormat="1" ht="18" customHeight="1" thickBot="1" x14ac:dyDescent="0.35">
      <c r="A180" s="142" t="s">
        <v>174</v>
      </c>
      <c r="B180" s="144" t="s">
        <v>562</v>
      </c>
      <c r="C180" s="281">
        <v>15216</v>
      </c>
      <c r="D180" s="136">
        <v>9035</v>
      </c>
      <c r="E180" s="270">
        <v>0</v>
      </c>
      <c r="F180" s="186">
        <f t="shared" si="7"/>
        <v>0</v>
      </c>
      <c r="G180" s="245">
        <f t="shared" si="8"/>
        <v>0</v>
      </c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38"/>
      <c r="AK180" s="238"/>
      <c r="AL180" s="238"/>
      <c r="AM180" s="238"/>
    </row>
    <row r="181" spans="1:39" s="3" customFormat="1" ht="18" customHeight="1" thickBot="1" x14ac:dyDescent="0.35">
      <c r="A181" s="142" t="s">
        <v>175</v>
      </c>
      <c r="B181" s="144" t="s">
        <v>563</v>
      </c>
      <c r="C181" s="281">
        <v>33708</v>
      </c>
      <c r="D181" s="136"/>
      <c r="E181" s="220">
        <f t="shared" si="6"/>
        <v>33708</v>
      </c>
      <c r="F181" s="186">
        <f t="shared" si="7"/>
        <v>0</v>
      </c>
      <c r="G181" s="245">
        <f t="shared" si="8"/>
        <v>33708</v>
      </c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38"/>
      <c r="AK181" s="238"/>
      <c r="AL181" s="238"/>
      <c r="AM181" s="238"/>
    </row>
    <row r="182" spans="1:39" s="3" customFormat="1" ht="18" customHeight="1" thickBot="1" x14ac:dyDescent="0.35">
      <c r="A182" s="142" t="s">
        <v>176</v>
      </c>
      <c r="B182" s="144" t="s">
        <v>564</v>
      </c>
      <c r="C182" s="281">
        <v>10525</v>
      </c>
      <c r="D182" s="136"/>
      <c r="E182" s="220">
        <f t="shared" si="6"/>
        <v>10525</v>
      </c>
      <c r="F182" s="186">
        <f t="shared" si="7"/>
        <v>6513.3</v>
      </c>
      <c r="G182" s="245">
        <f t="shared" si="8"/>
        <v>4011.7</v>
      </c>
      <c r="H182" s="238"/>
      <c r="I182" s="238"/>
      <c r="J182" s="238"/>
      <c r="K182" s="238"/>
      <c r="L182" s="238"/>
      <c r="M182" s="238"/>
      <c r="N182" s="238"/>
      <c r="O182" s="238"/>
      <c r="P182" s="238">
        <v>3255.3</v>
      </c>
      <c r="Q182" s="238"/>
      <c r="R182" s="238"/>
      <c r="S182" s="238">
        <v>3258</v>
      </c>
      <c r="T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K182" s="238"/>
      <c r="AL182" s="238"/>
      <c r="AM182" s="238"/>
    </row>
    <row r="183" spans="1:39" s="3" customFormat="1" ht="18" customHeight="1" thickBot="1" x14ac:dyDescent="0.35">
      <c r="A183" s="142" t="s">
        <v>177</v>
      </c>
      <c r="B183" s="144" t="s">
        <v>565</v>
      </c>
      <c r="C183" s="281">
        <v>10000</v>
      </c>
      <c r="D183" s="136">
        <v>9035</v>
      </c>
      <c r="E183" s="270">
        <v>0</v>
      </c>
      <c r="F183" s="186">
        <f t="shared" si="7"/>
        <v>0</v>
      </c>
      <c r="G183" s="245">
        <f t="shared" si="8"/>
        <v>0</v>
      </c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238"/>
      <c r="Z183" s="238"/>
      <c r="AA183" s="238"/>
      <c r="AB183" s="238"/>
      <c r="AC183" s="238"/>
      <c r="AD183" s="238"/>
      <c r="AE183" s="238"/>
      <c r="AF183" s="238"/>
      <c r="AG183" s="238"/>
      <c r="AH183" s="238"/>
      <c r="AI183" s="238"/>
      <c r="AJ183" s="238"/>
      <c r="AK183" s="238"/>
      <c r="AL183" s="238"/>
      <c r="AM183" s="238"/>
    </row>
    <row r="184" spans="1:39" s="3" customFormat="1" ht="18" customHeight="1" thickBot="1" x14ac:dyDescent="0.35">
      <c r="A184" s="142" t="s">
        <v>178</v>
      </c>
      <c r="B184" s="144" t="s">
        <v>566</v>
      </c>
      <c r="C184" s="281">
        <v>0</v>
      </c>
      <c r="D184" s="136"/>
      <c r="E184" s="270">
        <v>0</v>
      </c>
      <c r="F184" s="186">
        <f t="shared" si="7"/>
        <v>0</v>
      </c>
      <c r="G184" s="245">
        <f t="shared" si="8"/>
        <v>0</v>
      </c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  <c r="AJ184" s="238"/>
      <c r="AK184" s="238"/>
      <c r="AL184" s="238"/>
      <c r="AM184" s="238"/>
    </row>
    <row r="185" spans="1:39" s="3" customFormat="1" ht="18" customHeight="1" thickBot="1" x14ac:dyDescent="0.35">
      <c r="A185" s="142" t="s">
        <v>179</v>
      </c>
      <c r="B185" s="144" t="s">
        <v>567</v>
      </c>
      <c r="C185" s="281">
        <v>10000</v>
      </c>
      <c r="D185" s="136">
        <v>9035</v>
      </c>
      <c r="E185" s="270">
        <v>0</v>
      </c>
      <c r="F185" s="186">
        <f t="shared" si="7"/>
        <v>0</v>
      </c>
      <c r="G185" s="245">
        <f t="shared" si="8"/>
        <v>0</v>
      </c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38"/>
      <c r="AK185" s="238"/>
      <c r="AL185" s="238"/>
      <c r="AM185" s="238"/>
    </row>
    <row r="186" spans="1:39" s="3" customFormat="1" ht="18" customHeight="1" thickBot="1" x14ac:dyDescent="0.35">
      <c r="A186" s="142" t="s">
        <v>180</v>
      </c>
      <c r="B186" s="144" t="s">
        <v>356</v>
      </c>
      <c r="C186" s="281">
        <v>12387</v>
      </c>
      <c r="D186" s="136"/>
      <c r="E186" s="220">
        <f t="shared" si="6"/>
        <v>12387</v>
      </c>
      <c r="F186" s="186">
        <f t="shared" si="7"/>
        <v>12387</v>
      </c>
      <c r="G186" s="245">
        <f t="shared" si="8"/>
        <v>0</v>
      </c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>
        <v>7550.26</v>
      </c>
      <c r="S186" s="238"/>
      <c r="T186" s="265">
        <v>4836.74</v>
      </c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  <c r="AK186" s="238"/>
      <c r="AL186" s="238"/>
      <c r="AM186" s="238"/>
    </row>
    <row r="187" spans="1:39" s="3" customFormat="1" ht="18" customHeight="1" thickBot="1" x14ac:dyDescent="0.35">
      <c r="A187" s="142" t="s">
        <v>181</v>
      </c>
      <c r="B187" s="144" t="s">
        <v>357</v>
      </c>
      <c r="C187" s="281">
        <v>10000</v>
      </c>
      <c r="D187" s="136"/>
      <c r="E187" s="220">
        <f t="shared" si="6"/>
        <v>10000</v>
      </c>
      <c r="F187" s="186">
        <f t="shared" si="7"/>
        <v>10000</v>
      </c>
      <c r="G187" s="245">
        <f t="shared" si="8"/>
        <v>0</v>
      </c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>
        <v>10000</v>
      </c>
      <c r="S187" s="238"/>
      <c r="T187" s="261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</row>
    <row r="188" spans="1:39" s="3" customFormat="1" ht="18" customHeight="1" thickBot="1" x14ac:dyDescent="0.35">
      <c r="A188" s="142" t="s">
        <v>182</v>
      </c>
      <c r="B188" s="144" t="s">
        <v>358</v>
      </c>
      <c r="C188" s="281">
        <v>10000</v>
      </c>
      <c r="D188" s="136">
        <v>9025</v>
      </c>
      <c r="E188" s="270">
        <v>0</v>
      </c>
      <c r="F188" s="186">
        <f t="shared" si="7"/>
        <v>0</v>
      </c>
      <c r="G188" s="245">
        <f t="shared" si="8"/>
        <v>0</v>
      </c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38"/>
      <c r="AK188" s="238"/>
      <c r="AL188" s="238"/>
      <c r="AM188" s="238"/>
    </row>
    <row r="189" spans="1:39" s="3" customFormat="1" ht="18" customHeight="1" thickBot="1" x14ac:dyDescent="0.35">
      <c r="A189" s="142" t="s">
        <v>183</v>
      </c>
      <c r="B189" s="144" t="s">
        <v>359</v>
      </c>
      <c r="C189" s="281">
        <v>10000</v>
      </c>
      <c r="D189" s="136">
        <v>9025</v>
      </c>
      <c r="E189" s="270">
        <v>0</v>
      </c>
      <c r="F189" s="186">
        <f t="shared" si="7"/>
        <v>0</v>
      </c>
      <c r="G189" s="245">
        <f t="shared" si="8"/>
        <v>0</v>
      </c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  <c r="AA189" s="238"/>
      <c r="AB189" s="238"/>
      <c r="AC189" s="238"/>
      <c r="AD189" s="238"/>
      <c r="AE189" s="238"/>
      <c r="AF189" s="238"/>
      <c r="AG189" s="238"/>
      <c r="AH189" s="238"/>
      <c r="AI189" s="238"/>
      <c r="AJ189" s="238"/>
      <c r="AK189" s="238"/>
      <c r="AL189" s="238"/>
      <c r="AM189" s="238"/>
    </row>
    <row r="190" spans="1:39" ht="18" customHeight="1" thickBot="1" x14ac:dyDescent="0.3">
      <c r="A190" s="142" t="s">
        <v>402</v>
      </c>
      <c r="B190" s="144" t="s">
        <v>571</v>
      </c>
      <c r="C190" s="281">
        <v>136281</v>
      </c>
      <c r="D190" s="136"/>
      <c r="E190" s="220">
        <f>C190</f>
        <v>136281</v>
      </c>
      <c r="F190" s="186">
        <f t="shared" si="7"/>
        <v>44609.950000000004</v>
      </c>
      <c r="G190" s="245">
        <f t="shared" si="8"/>
        <v>91671.049999999988</v>
      </c>
      <c r="H190" s="238"/>
      <c r="I190" s="238"/>
      <c r="J190" s="238"/>
      <c r="K190" s="238"/>
      <c r="L190" s="238"/>
      <c r="M190" s="238"/>
      <c r="N190" s="238"/>
      <c r="O190" s="238"/>
      <c r="P190" s="238"/>
      <c r="Q190" s="238">
        <v>6028.46</v>
      </c>
      <c r="R190" s="238">
        <v>9565.9699999999993</v>
      </c>
      <c r="S190" s="273"/>
      <c r="T190" s="238">
        <v>28907.59</v>
      </c>
      <c r="U190" s="238">
        <v>107.93</v>
      </c>
      <c r="V190" s="238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38"/>
      <c r="AK190" s="238"/>
      <c r="AL190" s="238"/>
      <c r="AM190" s="238"/>
    </row>
    <row r="191" spans="1:39" ht="16.5" thickBot="1" x14ac:dyDescent="0.3">
      <c r="A191" s="142" t="s">
        <v>362</v>
      </c>
      <c r="B191" s="144" t="s">
        <v>592</v>
      </c>
      <c r="C191" s="281">
        <v>10000</v>
      </c>
      <c r="D191" s="136"/>
      <c r="E191" s="220">
        <f>C191</f>
        <v>10000</v>
      </c>
      <c r="F191" s="186">
        <f t="shared" si="7"/>
        <v>10000</v>
      </c>
      <c r="G191" s="245">
        <f t="shared" si="8"/>
        <v>0</v>
      </c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61"/>
      <c r="U191" s="238">
        <v>10000</v>
      </c>
      <c r="V191" s="238"/>
      <c r="W191" s="238"/>
      <c r="X191" s="238"/>
      <c r="Y191" s="238"/>
      <c r="Z191" s="238"/>
      <c r="AA191" s="238"/>
      <c r="AB191" s="238"/>
      <c r="AC191" s="238"/>
      <c r="AD191" s="238"/>
      <c r="AE191" s="238"/>
      <c r="AF191" s="238"/>
      <c r="AG191" s="238"/>
      <c r="AH191" s="238"/>
      <c r="AI191" s="238"/>
      <c r="AJ191" s="238"/>
      <c r="AK191" s="238"/>
      <c r="AL191" s="238"/>
      <c r="AM191" s="238"/>
    </row>
    <row r="192" spans="1:39" ht="16.5" thickBot="1" x14ac:dyDescent="0.3">
      <c r="A192" s="142" t="s">
        <v>370</v>
      </c>
      <c r="B192" s="144" t="s">
        <v>374</v>
      </c>
      <c r="C192" s="225">
        <v>0</v>
      </c>
      <c r="D192" s="136"/>
      <c r="E192" s="220">
        <f>C16+C17+C25+C40+C41+C56+C59+C92+C93+C94+C95+C96+C110+C111+C112+C170+C173+C188+C189</f>
        <v>194927</v>
      </c>
      <c r="F192" s="186">
        <f t="shared" si="7"/>
        <v>194927</v>
      </c>
      <c r="G192" s="245">
        <f t="shared" si="8"/>
        <v>0</v>
      </c>
      <c r="H192" s="238"/>
      <c r="I192" s="238"/>
      <c r="J192" s="238"/>
      <c r="K192" s="238"/>
      <c r="L192" s="238"/>
      <c r="M192" s="238">
        <v>14578</v>
      </c>
      <c r="N192" s="238"/>
      <c r="O192" s="238"/>
      <c r="P192" s="238"/>
      <c r="Q192" s="238">
        <v>87513.71</v>
      </c>
      <c r="R192" s="238"/>
      <c r="S192" s="262">
        <v>76499.59</v>
      </c>
      <c r="T192" s="266">
        <v>16335.7</v>
      </c>
      <c r="U192" s="263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  <c r="AJ192" s="238"/>
      <c r="AK192" s="238"/>
      <c r="AL192" s="238"/>
      <c r="AM192" s="238"/>
    </row>
    <row r="193" spans="1:39" ht="16.5" thickBot="1" x14ac:dyDescent="0.3">
      <c r="A193" s="142" t="s">
        <v>371</v>
      </c>
      <c r="B193" s="144" t="s">
        <v>593</v>
      </c>
      <c r="C193" s="225">
        <v>0</v>
      </c>
      <c r="D193" s="136"/>
      <c r="E193" s="220">
        <f>C113+C127+C129+C130+C174+C183+C185+C180</f>
        <v>124486</v>
      </c>
      <c r="F193" s="186">
        <f t="shared" si="7"/>
        <v>0</v>
      </c>
      <c r="G193" s="245">
        <f t="shared" si="8"/>
        <v>124486</v>
      </c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62"/>
      <c r="T193" s="264"/>
      <c r="U193" s="263"/>
      <c r="V193" s="238"/>
      <c r="W193" s="238"/>
      <c r="X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  <c r="AJ193" s="238"/>
      <c r="AK193" s="238"/>
      <c r="AL193" s="238"/>
      <c r="AM193" s="238"/>
    </row>
    <row r="194" spans="1:39" s="164" customFormat="1" ht="16.5" thickBot="1" x14ac:dyDescent="0.3">
      <c r="A194" s="142" t="s">
        <v>372</v>
      </c>
      <c r="B194" s="144" t="s">
        <v>376</v>
      </c>
      <c r="C194" s="225">
        <v>0</v>
      </c>
      <c r="D194" s="136"/>
      <c r="E194" s="220">
        <f>C114+C115+C116+C142+C164+C165+C171+C172</f>
        <v>81166</v>
      </c>
      <c r="F194" s="186">
        <f t="shared" si="7"/>
        <v>63376.28</v>
      </c>
      <c r="G194" s="245">
        <f t="shared" si="8"/>
        <v>17789.72</v>
      </c>
      <c r="H194" s="238"/>
      <c r="I194" s="238"/>
      <c r="J194" s="238"/>
      <c r="K194" s="238"/>
      <c r="L194" s="238"/>
      <c r="M194" s="238"/>
      <c r="N194" s="238"/>
      <c r="O194" s="238"/>
      <c r="P194" s="238">
        <v>1397.23</v>
      </c>
      <c r="Q194" s="238">
        <v>5074.6400000000003</v>
      </c>
      <c r="R194" s="238">
        <v>7374.63</v>
      </c>
      <c r="S194" s="262">
        <v>5074.6400000000003</v>
      </c>
      <c r="T194" s="267">
        <v>39216.68</v>
      </c>
      <c r="U194" s="263"/>
      <c r="V194" s="238">
        <v>5238.46</v>
      </c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</row>
    <row r="195" spans="1:39" x14ac:dyDescent="0.25">
      <c r="B195" s="133"/>
      <c r="C195" s="226"/>
      <c r="D195" s="133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34"/>
      <c r="Q195" s="230"/>
      <c r="R195" s="229"/>
      <c r="S195" s="256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29"/>
    </row>
    <row r="196" spans="1:39" x14ac:dyDescent="0.25">
      <c r="A196" s="174" t="s">
        <v>601</v>
      </c>
      <c r="B196" s="175"/>
      <c r="C196" s="227">
        <f>SUM(C12:C194)</f>
        <v>10627667</v>
      </c>
      <c r="D196" s="175"/>
      <c r="E196" s="231">
        <f>SUM(E12:E194)</f>
        <v>10627667</v>
      </c>
      <c r="F196" s="232">
        <f>SUM(F12:F194)</f>
        <v>3677859.9799999995</v>
      </c>
      <c r="G196" s="232">
        <f>SUM(G12:G194)</f>
        <v>6949807.0199999977</v>
      </c>
      <c r="H196" s="232"/>
      <c r="I196" s="232"/>
      <c r="J196" s="232"/>
      <c r="K196" s="232">
        <f t="shared" ref="K196:V196" si="9">SUM(K12:K195)</f>
        <v>24232.739999999998</v>
      </c>
      <c r="L196" s="232">
        <f t="shared" si="9"/>
        <v>48027.64</v>
      </c>
      <c r="M196" s="232">
        <f t="shared" si="9"/>
        <v>129456.72</v>
      </c>
      <c r="N196" s="232">
        <f t="shared" si="9"/>
        <v>25050.73</v>
      </c>
      <c r="O196" s="232">
        <f t="shared" si="9"/>
        <v>254047.44</v>
      </c>
      <c r="P196" s="232">
        <f t="shared" si="9"/>
        <v>172002.35</v>
      </c>
      <c r="Q196" s="232">
        <f t="shared" si="9"/>
        <v>471303.8600000001</v>
      </c>
      <c r="R196" s="232">
        <f t="shared" si="9"/>
        <v>355252.26999999996</v>
      </c>
      <c r="S196" s="232">
        <f t="shared" si="9"/>
        <v>1034909.3900000001</v>
      </c>
      <c r="T196" s="232">
        <f t="shared" si="9"/>
        <v>344239.75</v>
      </c>
      <c r="U196" s="232">
        <f t="shared" si="9"/>
        <v>183690.19</v>
      </c>
      <c r="V196" s="232">
        <f t="shared" si="9"/>
        <v>635646.9</v>
      </c>
      <c r="W196" s="232"/>
      <c r="X196" s="232"/>
      <c r="Y196" s="232">
        <f t="shared" ref="Y196:AM196" si="10">SUM(Y12:Y195)</f>
        <v>0</v>
      </c>
      <c r="Z196" s="232">
        <f t="shared" si="10"/>
        <v>0</v>
      </c>
      <c r="AA196" s="232">
        <f t="shared" si="10"/>
        <v>0</v>
      </c>
      <c r="AB196" s="232">
        <f t="shared" si="10"/>
        <v>0</v>
      </c>
      <c r="AC196" s="232">
        <f t="shared" si="10"/>
        <v>0</v>
      </c>
      <c r="AD196" s="232">
        <f t="shared" si="10"/>
        <v>0</v>
      </c>
      <c r="AE196" s="232">
        <f t="shared" si="10"/>
        <v>0</v>
      </c>
      <c r="AF196" s="232">
        <f t="shared" si="10"/>
        <v>0</v>
      </c>
      <c r="AG196" s="232">
        <f t="shared" si="10"/>
        <v>0</v>
      </c>
      <c r="AH196" s="232">
        <f t="shared" si="10"/>
        <v>0</v>
      </c>
      <c r="AI196" s="232">
        <f t="shared" si="10"/>
        <v>0</v>
      </c>
      <c r="AJ196" s="232">
        <f t="shared" si="10"/>
        <v>0</v>
      </c>
      <c r="AK196" s="232">
        <f t="shared" si="10"/>
        <v>0</v>
      </c>
      <c r="AL196" s="232">
        <f t="shared" si="10"/>
        <v>0</v>
      </c>
      <c r="AM196" s="232">
        <f t="shared" si="10"/>
        <v>0</v>
      </c>
    </row>
    <row r="197" spans="1:39" x14ac:dyDescent="0.25">
      <c r="B197" s="133"/>
      <c r="C197" s="169"/>
      <c r="D197" s="133"/>
      <c r="E197" s="169"/>
    </row>
    <row r="198" spans="1:39" x14ac:dyDescent="0.25">
      <c r="B198" s="133"/>
      <c r="C198" s="169"/>
      <c r="D198" s="133"/>
      <c r="E198" s="169"/>
    </row>
    <row r="199" spans="1:39" x14ac:dyDescent="0.25">
      <c r="B199" s="133"/>
      <c r="C199" s="169"/>
      <c r="D199" s="133"/>
      <c r="E199" s="169"/>
      <c r="N199" s="176"/>
      <c r="R199" s="229"/>
      <c r="S199" s="256"/>
      <c r="T199" s="229"/>
    </row>
    <row r="200" spans="1:39" x14ac:dyDescent="0.25">
      <c r="B200" s="133"/>
      <c r="C200" s="169"/>
      <c r="D200" s="133"/>
      <c r="E200" s="169"/>
      <c r="T200" s="229"/>
    </row>
    <row r="201" spans="1:39" x14ac:dyDescent="0.25">
      <c r="B201" s="133"/>
      <c r="C201" s="169"/>
      <c r="D201" s="133"/>
      <c r="E201" s="169"/>
    </row>
    <row r="202" spans="1:39" x14ac:dyDescent="0.25">
      <c r="B202" s="133"/>
      <c r="C202" s="169"/>
      <c r="D202" s="133"/>
      <c r="E202" s="169"/>
      <c r="T202" s="229"/>
    </row>
    <row r="203" spans="1:39" x14ac:dyDescent="0.25">
      <c r="B203" s="133"/>
      <c r="C203" s="169"/>
      <c r="D203" s="133"/>
      <c r="E203" s="169"/>
      <c r="M203" s="176"/>
    </row>
    <row r="204" spans="1:39" x14ac:dyDescent="0.25">
      <c r="B204" s="133"/>
      <c r="C204" s="169"/>
      <c r="D204" s="133"/>
      <c r="E204" s="169"/>
    </row>
    <row r="205" spans="1:39" x14ac:dyDescent="0.25">
      <c r="B205" s="133"/>
      <c r="C205" s="169"/>
      <c r="D205" s="133"/>
      <c r="E205" s="169"/>
    </row>
    <row r="206" spans="1:39" x14ac:dyDescent="0.25">
      <c r="B206" s="133"/>
      <c r="C206" s="169"/>
      <c r="D206" s="133"/>
      <c r="E206" s="169"/>
    </row>
    <row r="207" spans="1:39" x14ac:dyDescent="0.25">
      <c r="B207" s="133"/>
      <c r="C207" s="169"/>
      <c r="D207" s="133"/>
      <c r="E207" s="169"/>
    </row>
    <row r="208" spans="1:39" x14ac:dyDescent="0.25">
      <c r="B208" s="133"/>
      <c r="C208" s="169"/>
      <c r="D208" s="133"/>
      <c r="E208" s="169"/>
    </row>
    <row r="209" spans="2:5" x14ac:dyDescent="0.25">
      <c r="B209" s="133"/>
      <c r="C209" s="169"/>
      <c r="D209" s="133"/>
      <c r="E209" s="169"/>
    </row>
    <row r="210" spans="2:5" x14ac:dyDescent="0.25">
      <c r="B210" s="133"/>
      <c r="C210" s="169"/>
      <c r="D210" s="133"/>
      <c r="E210" s="169"/>
    </row>
    <row r="211" spans="2:5" x14ac:dyDescent="0.25">
      <c r="B211" s="133"/>
      <c r="C211" s="169"/>
      <c r="D211" s="133"/>
      <c r="E211" s="169"/>
    </row>
    <row r="212" spans="2:5" x14ac:dyDescent="0.25">
      <c r="B212" s="133"/>
      <c r="C212" s="169"/>
      <c r="D212" s="133"/>
      <c r="E212" s="169"/>
    </row>
    <row r="213" spans="2:5" x14ac:dyDescent="0.25">
      <c r="B213" s="133"/>
      <c r="C213" s="169"/>
      <c r="D213" s="133"/>
      <c r="E213" s="169"/>
    </row>
    <row r="214" spans="2:5" x14ac:dyDescent="0.25">
      <c r="B214" s="133"/>
      <c r="C214" s="169"/>
      <c r="D214" s="133"/>
      <c r="E214" s="169"/>
    </row>
    <row r="215" spans="2:5" x14ac:dyDescent="0.25">
      <c r="B215" s="133"/>
      <c r="C215" s="169"/>
      <c r="D215" s="133"/>
      <c r="E215" s="169"/>
    </row>
    <row r="216" spans="2:5" x14ac:dyDescent="0.25">
      <c r="B216" s="133"/>
      <c r="C216" s="169"/>
      <c r="D216" s="133"/>
      <c r="E216" s="169"/>
    </row>
    <row r="217" spans="2:5" x14ac:dyDescent="0.25">
      <c r="B217" s="133"/>
      <c r="C217" s="169"/>
      <c r="D217" s="133"/>
      <c r="E217" s="169"/>
    </row>
    <row r="218" spans="2:5" x14ac:dyDescent="0.25">
      <c r="B218" s="133"/>
      <c r="C218" s="169"/>
      <c r="D218" s="133"/>
      <c r="E218" s="169"/>
    </row>
    <row r="219" spans="2:5" x14ac:dyDescent="0.25">
      <c r="B219" s="133"/>
      <c r="C219" s="169"/>
      <c r="D219" s="133"/>
      <c r="E219" s="169"/>
    </row>
    <row r="220" spans="2:5" x14ac:dyDescent="0.25">
      <c r="B220" s="133"/>
      <c r="C220" s="169"/>
      <c r="D220" s="133"/>
      <c r="E220" s="169"/>
    </row>
    <row r="221" spans="2:5" x14ac:dyDescent="0.25">
      <c r="B221" s="133"/>
      <c r="C221" s="169"/>
      <c r="D221" s="133"/>
      <c r="E221" s="169"/>
    </row>
    <row r="222" spans="2:5" x14ac:dyDescent="0.25">
      <c r="B222" s="133"/>
      <c r="C222" s="169"/>
      <c r="D222" s="133"/>
      <c r="E222" s="169"/>
    </row>
    <row r="223" spans="2:5" x14ac:dyDescent="0.25">
      <c r="B223" s="133"/>
      <c r="C223" s="169"/>
      <c r="D223" s="133"/>
      <c r="E223" s="169"/>
    </row>
    <row r="224" spans="2:5" x14ac:dyDescent="0.25">
      <c r="B224" s="133"/>
      <c r="C224" s="169"/>
      <c r="D224" s="133"/>
      <c r="E224" s="169"/>
    </row>
    <row r="225" spans="2:5" x14ac:dyDescent="0.25">
      <c r="B225" s="133"/>
      <c r="C225" s="169"/>
      <c r="D225" s="133"/>
      <c r="E225" s="169"/>
    </row>
    <row r="226" spans="2:5" x14ac:dyDescent="0.25">
      <c r="B226" s="133"/>
      <c r="C226" s="169"/>
      <c r="D226" s="133"/>
      <c r="E226" s="169"/>
    </row>
    <row r="227" spans="2:5" x14ac:dyDescent="0.25">
      <c r="B227" s="133"/>
      <c r="C227" s="169"/>
      <c r="D227" s="133"/>
      <c r="E227" s="169"/>
    </row>
    <row r="228" spans="2:5" x14ac:dyDescent="0.25">
      <c r="B228" s="133"/>
      <c r="C228" s="169"/>
      <c r="D228" s="133"/>
      <c r="E228" s="169"/>
    </row>
    <row r="229" spans="2:5" x14ac:dyDescent="0.25">
      <c r="B229" s="133"/>
      <c r="C229" s="169"/>
      <c r="D229" s="133"/>
      <c r="E229" s="169"/>
    </row>
    <row r="230" spans="2:5" x14ac:dyDescent="0.25">
      <c r="B230" s="133"/>
      <c r="C230" s="169"/>
      <c r="D230" s="133"/>
      <c r="E230" s="169"/>
    </row>
    <row r="231" spans="2:5" x14ac:dyDescent="0.25">
      <c r="B231" s="133"/>
      <c r="C231" s="169"/>
      <c r="D231" s="133"/>
      <c r="E231" s="169"/>
    </row>
    <row r="232" spans="2:5" x14ac:dyDescent="0.25">
      <c r="B232" s="133"/>
      <c r="C232" s="169"/>
      <c r="D232" s="133"/>
      <c r="E232" s="169"/>
    </row>
    <row r="233" spans="2:5" x14ac:dyDescent="0.25">
      <c r="B233" s="133"/>
      <c r="C233" s="169"/>
      <c r="D233" s="133"/>
      <c r="E233" s="169"/>
    </row>
  </sheetData>
  <sheetProtection algorithmName="SHA-512" hashValue="9XCsIWh6fU1p7DmPBvepo7+o41BX38hLtFGeAHCtXo5CC0SVCMQBsGjipxDgx21nDtrjejtV+l1zvtOi1d/cXA==" saltValue="X+2BLMsBPZXt5/jmDZe4jw==" spinCount="100000" sheet="1" objects="1" scenarios="1"/>
  <autoFilter ref="A11:AM194" xr:uid="{00000000-0009-0000-0000-000007000000}"/>
  <pageMargins left="0.1" right="0.1" top="0.1" bottom="0.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66CCFF"/>
    <pageSetUpPr fitToPage="1"/>
  </sheetPr>
  <dimension ref="A1:AM44"/>
  <sheetViews>
    <sheetView workbookViewId="0">
      <pane xSplit="7" ySplit="11" topLeftCell="U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V23" sqref="V23"/>
    </sheetView>
  </sheetViews>
  <sheetFormatPr defaultColWidth="9.140625" defaultRowHeight="15" x14ac:dyDescent="0.25"/>
  <cols>
    <col min="1" max="1" width="18.42578125" style="118" customWidth="1"/>
    <col min="2" max="2" width="33.28515625" style="7" customWidth="1"/>
    <col min="3" max="3" width="18.42578125" style="7" customWidth="1"/>
    <col min="4" max="4" width="18.42578125" style="110" customWidth="1"/>
    <col min="5" max="5" width="18.42578125" style="7" customWidth="1"/>
    <col min="6" max="7" width="15.28515625" style="7" customWidth="1"/>
    <col min="8" max="16" width="15.7109375" style="7" customWidth="1"/>
    <col min="17" max="17" width="15.7109375" style="94" customWidth="1"/>
    <col min="18" max="34" width="15.7109375" style="7" customWidth="1"/>
    <col min="35" max="39" width="16" style="7" customWidth="1"/>
    <col min="40" max="16384" width="9.140625" style="7"/>
  </cols>
  <sheetData>
    <row r="1" spans="1:39" s="62" customFormat="1" ht="21" x14ac:dyDescent="0.35">
      <c r="A1" s="122" t="s">
        <v>0</v>
      </c>
      <c r="B1" s="64"/>
      <c r="C1" s="122" t="s">
        <v>578</v>
      </c>
      <c r="D1" s="103"/>
      <c r="E1" s="122"/>
      <c r="F1" s="63"/>
      <c r="G1" s="63"/>
      <c r="H1" s="66"/>
      <c r="I1" s="66"/>
      <c r="J1" s="122" t="str">
        <f>C1</f>
        <v>Title V-B Formula</v>
      </c>
      <c r="K1" s="122"/>
      <c r="L1" s="63"/>
      <c r="M1" s="63"/>
      <c r="N1" s="63"/>
      <c r="O1" s="63"/>
      <c r="P1" s="122" t="str">
        <f>C1</f>
        <v>Title V-B Formula</v>
      </c>
      <c r="Q1" s="97"/>
      <c r="R1" s="122"/>
      <c r="S1" s="122"/>
      <c r="T1" s="63"/>
      <c r="U1" s="63"/>
      <c r="V1" s="122" t="str">
        <f>C1</f>
        <v>Title V-B Formula</v>
      </c>
      <c r="W1" s="63"/>
      <c r="X1" s="66"/>
      <c r="Y1" s="66"/>
      <c r="Z1" s="122"/>
      <c r="AA1" s="122"/>
      <c r="AB1" s="122" t="str">
        <f>C1</f>
        <v>Title V-B Formula</v>
      </c>
      <c r="AC1" s="63"/>
      <c r="AD1" s="63"/>
      <c r="AE1" s="63"/>
      <c r="AF1" s="122" t="str">
        <f>C1</f>
        <v>Title V-B Formula</v>
      </c>
      <c r="AG1" s="66"/>
      <c r="AH1" s="122"/>
      <c r="AI1" s="120"/>
      <c r="AJ1" s="120"/>
      <c r="AK1" s="120"/>
      <c r="AL1" s="120"/>
      <c r="AM1" s="120"/>
    </row>
    <row r="2" spans="1:39" s="62" customFormat="1" ht="15.75" x14ac:dyDescent="0.25">
      <c r="A2" s="123" t="s">
        <v>1</v>
      </c>
      <c r="B2" s="64"/>
      <c r="C2" s="68" t="s">
        <v>579</v>
      </c>
      <c r="D2" s="104"/>
      <c r="E2" s="68"/>
      <c r="F2" s="67"/>
      <c r="G2" s="67"/>
      <c r="H2" s="66"/>
      <c r="I2" s="66"/>
      <c r="J2" s="67" t="str">
        <f>"FY"&amp;C4</f>
        <v>FY2021-2022</v>
      </c>
      <c r="K2" s="67"/>
      <c r="L2" s="123"/>
      <c r="M2" s="123"/>
      <c r="N2" s="67"/>
      <c r="O2" s="67"/>
      <c r="P2" s="67" t="str">
        <f>"FY"&amp;C4</f>
        <v>FY2021-2022</v>
      </c>
      <c r="Q2" s="98"/>
      <c r="R2" s="67"/>
      <c r="S2" s="67"/>
      <c r="T2" s="123"/>
      <c r="U2" s="123"/>
      <c r="V2" s="67" t="str">
        <f>"FY"&amp;C4</f>
        <v>FY2021-2022</v>
      </c>
      <c r="W2" s="67"/>
      <c r="X2" s="67"/>
      <c r="Y2" s="67"/>
      <c r="Z2" s="67"/>
      <c r="AA2" s="67"/>
      <c r="AB2" s="67" t="str">
        <f>"FY"&amp;C4</f>
        <v>FY2021-2022</v>
      </c>
      <c r="AC2" s="123"/>
      <c r="AD2" s="67"/>
      <c r="AE2" s="67"/>
      <c r="AF2" s="67" t="str">
        <f>"FY"&amp;C4</f>
        <v>FY2021-2022</v>
      </c>
      <c r="AG2" s="67"/>
      <c r="AH2" s="67"/>
      <c r="AI2" s="81"/>
      <c r="AJ2" s="81"/>
      <c r="AK2" s="81"/>
      <c r="AL2" s="81"/>
      <c r="AM2" s="81"/>
    </row>
    <row r="3" spans="1:39" s="62" customFormat="1" ht="15.75" x14ac:dyDescent="0.25">
      <c r="A3" s="123" t="s">
        <v>3</v>
      </c>
      <c r="B3" s="64"/>
      <c r="C3" s="123">
        <v>6358</v>
      </c>
      <c r="D3" s="105"/>
      <c r="E3" s="123"/>
      <c r="F3" s="67"/>
      <c r="G3" s="67"/>
      <c r="H3" s="66"/>
      <c r="I3" s="66"/>
      <c r="J3" s="66"/>
      <c r="K3" s="66"/>
      <c r="L3" s="66"/>
      <c r="M3" s="66"/>
      <c r="N3" s="66"/>
      <c r="O3" s="66"/>
      <c r="P3" s="66"/>
      <c r="Q3" s="9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80"/>
      <c r="AJ3" s="80"/>
      <c r="AK3" s="80"/>
      <c r="AL3" s="80"/>
      <c r="AM3" s="80"/>
    </row>
    <row r="4" spans="1:39" s="62" customFormat="1" ht="21" x14ac:dyDescent="0.35">
      <c r="A4" s="123" t="s">
        <v>2</v>
      </c>
      <c r="B4" s="64"/>
      <c r="C4" s="122" t="s">
        <v>640</v>
      </c>
      <c r="D4" s="105"/>
      <c r="E4" s="123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9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80"/>
      <c r="AJ4" s="80"/>
      <c r="AK4" s="80"/>
      <c r="AL4" s="80"/>
      <c r="AM4" s="80"/>
    </row>
    <row r="5" spans="1:39" s="62" customFormat="1" ht="15.75" x14ac:dyDescent="0.25">
      <c r="A5" s="123" t="s">
        <v>392</v>
      </c>
      <c r="B5" s="64"/>
      <c r="C5" s="67" t="s">
        <v>613</v>
      </c>
      <c r="D5" s="106"/>
      <c r="E5" s="67"/>
      <c r="F5" s="67"/>
      <c r="G5" s="70"/>
      <c r="H5" s="70"/>
      <c r="I5" s="70"/>
      <c r="J5" s="70"/>
      <c r="K5" s="70"/>
      <c r="L5" s="70"/>
      <c r="M5" s="70"/>
      <c r="N5" s="70"/>
      <c r="O5" s="70"/>
      <c r="P5" s="70"/>
      <c r="Q5" s="99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86"/>
      <c r="AJ5" s="86"/>
      <c r="AK5" s="86"/>
      <c r="AL5" s="86"/>
      <c r="AM5" s="86"/>
    </row>
    <row r="6" spans="1:39" s="62" customFormat="1" ht="15.75" x14ac:dyDescent="0.25">
      <c r="A6" s="123" t="s">
        <v>4</v>
      </c>
      <c r="B6" s="64"/>
      <c r="C6" s="67" t="s">
        <v>364</v>
      </c>
      <c r="D6" s="106"/>
      <c r="E6" s="67"/>
      <c r="F6" s="67"/>
      <c r="G6" s="70"/>
      <c r="H6" s="70"/>
      <c r="I6" s="70"/>
      <c r="J6" s="70"/>
      <c r="K6" s="70"/>
      <c r="L6" s="70"/>
      <c r="M6" s="70"/>
      <c r="N6" s="70"/>
      <c r="O6" s="70"/>
      <c r="P6" s="70"/>
      <c r="Q6" s="99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86"/>
      <c r="AJ6" s="86"/>
      <c r="AK6" s="86"/>
      <c r="AL6" s="86"/>
      <c r="AM6" s="86"/>
    </row>
    <row r="7" spans="1:39" s="62" customFormat="1" ht="15.75" x14ac:dyDescent="0.25">
      <c r="A7" s="123"/>
      <c r="B7" s="64"/>
      <c r="C7" s="67" t="s">
        <v>621</v>
      </c>
      <c r="D7" s="106"/>
      <c r="E7" s="67"/>
      <c r="F7" s="67"/>
      <c r="G7" s="70"/>
      <c r="H7" s="70"/>
      <c r="I7" s="70"/>
      <c r="J7" s="70"/>
      <c r="K7" s="70"/>
      <c r="L7" s="70"/>
      <c r="M7" s="70"/>
      <c r="N7" s="70"/>
      <c r="O7" s="70"/>
      <c r="P7" s="70"/>
      <c r="Q7" s="9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86"/>
      <c r="AJ7" s="86"/>
      <c r="AK7" s="86"/>
      <c r="AL7" s="86"/>
      <c r="AM7" s="86"/>
    </row>
    <row r="8" spans="1:39" s="62" customFormat="1" ht="15.75" x14ac:dyDescent="0.25">
      <c r="A8" s="123" t="s">
        <v>378</v>
      </c>
      <c r="B8" s="64"/>
      <c r="C8" s="67" t="s">
        <v>586</v>
      </c>
      <c r="D8" s="106"/>
      <c r="E8" s="67"/>
      <c r="F8" s="67"/>
      <c r="G8" s="70"/>
      <c r="H8" s="70"/>
      <c r="I8" s="70"/>
      <c r="J8" s="70"/>
      <c r="K8" s="70"/>
      <c r="L8" s="70"/>
      <c r="M8" s="70"/>
      <c r="N8" s="70"/>
      <c r="O8" s="70"/>
      <c r="P8" s="70"/>
      <c r="Q8" s="99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86"/>
      <c r="AJ8" s="86"/>
      <c r="AK8" s="86"/>
      <c r="AL8" s="86"/>
      <c r="AM8" s="86"/>
    </row>
    <row r="9" spans="1:39" s="62" customFormat="1" ht="15.75" x14ac:dyDescent="0.25">
      <c r="A9" s="123" t="s">
        <v>379</v>
      </c>
      <c r="B9" s="64"/>
      <c r="C9" s="67" t="s">
        <v>380</v>
      </c>
      <c r="D9" s="106"/>
      <c r="E9" s="67"/>
      <c r="F9" s="67"/>
      <c r="G9" s="70"/>
      <c r="H9" s="70"/>
      <c r="I9" s="70"/>
      <c r="J9" s="70"/>
      <c r="K9" s="70"/>
      <c r="L9" s="70"/>
      <c r="M9" s="70"/>
      <c r="N9" s="70"/>
      <c r="O9" s="70"/>
      <c r="P9" s="70"/>
      <c r="Q9" s="9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86"/>
      <c r="AJ9" s="86"/>
      <c r="AK9" s="86"/>
      <c r="AL9" s="86"/>
      <c r="AM9" s="86"/>
    </row>
    <row r="10" spans="1:39" s="62" customFormat="1" ht="16.5" thickBot="1" x14ac:dyDescent="0.3">
      <c r="A10" s="123" t="s">
        <v>393</v>
      </c>
      <c r="B10" s="64"/>
      <c r="C10" s="67" t="s">
        <v>642</v>
      </c>
      <c r="D10" s="106"/>
      <c r="E10" s="67"/>
      <c r="F10" s="67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9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86"/>
      <c r="AJ10" s="86"/>
      <c r="AK10" s="86"/>
      <c r="AL10" s="86"/>
      <c r="AM10" s="86"/>
    </row>
    <row r="11" spans="1:39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612</v>
      </c>
      <c r="E11" s="41" t="s">
        <v>607</v>
      </c>
      <c r="F11" s="42" t="s">
        <v>368</v>
      </c>
      <c r="G11" s="49" t="s">
        <v>369</v>
      </c>
      <c r="H11" s="100" t="s">
        <v>645</v>
      </c>
      <c r="I11" s="100" t="s">
        <v>614</v>
      </c>
      <c r="J11" s="100" t="s">
        <v>615</v>
      </c>
      <c r="K11" s="100" t="s">
        <v>616</v>
      </c>
      <c r="L11" s="100" t="s">
        <v>646</v>
      </c>
      <c r="M11" s="100" t="s">
        <v>618</v>
      </c>
      <c r="N11" s="100" t="s">
        <v>625</v>
      </c>
      <c r="O11" s="100" t="s">
        <v>626</v>
      </c>
      <c r="P11" s="100" t="s">
        <v>627</v>
      </c>
      <c r="Q11" s="101" t="s">
        <v>628</v>
      </c>
      <c r="R11" s="100" t="s">
        <v>629</v>
      </c>
      <c r="S11" s="100" t="s">
        <v>630</v>
      </c>
      <c r="T11" s="100" t="s">
        <v>631</v>
      </c>
      <c r="U11" s="100" t="s">
        <v>632</v>
      </c>
      <c r="V11" s="100" t="s">
        <v>633</v>
      </c>
      <c r="W11" s="100" t="s">
        <v>634</v>
      </c>
      <c r="X11" s="100" t="s">
        <v>635</v>
      </c>
      <c r="Y11" s="100" t="s">
        <v>636</v>
      </c>
      <c r="Z11" s="100" t="s">
        <v>647</v>
      </c>
      <c r="AA11" s="100" t="s">
        <v>648</v>
      </c>
      <c r="AB11" s="100" t="s">
        <v>649</v>
      </c>
      <c r="AC11" s="100" t="s">
        <v>650</v>
      </c>
      <c r="AD11" s="100" t="s">
        <v>651</v>
      </c>
      <c r="AE11" s="100" t="s">
        <v>652</v>
      </c>
      <c r="AF11" s="100" t="s">
        <v>653</v>
      </c>
      <c r="AG11" s="100" t="s">
        <v>654</v>
      </c>
      <c r="AH11" s="100" t="s">
        <v>655</v>
      </c>
      <c r="AI11" s="100" t="s">
        <v>656</v>
      </c>
      <c r="AJ11" s="100" t="s">
        <v>657</v>
      </c>
      <c r="AK11" s="100" t="s">
        <v>658</v>
      </c>
      <c r="AL11" s="100" t="s">
        <v>610</v>
      </c>
      <c r="AM11" s="100" t="s">
        <v>611</v>
      </c>
    </row>
    <row r="12" spans="1:39" s="3" customFormat="1" ht="18" customHeight="1" thickBot="1" x14ac:dyDescent="0.35">
      <c r="A12" s="276" t="s">
        <v>13</v>
      </c>
      <c r="B12" s="102" t="s">
        <v>414</v>
      </c>
      <c r="C12" s="233">
        <v>55639</v>
      </c>
      <c r="D12" s="102"/>
      <c r="E12" s="186">
        <f>C12</f>
        <v>55639</v>
      </c>
      <c r="F12" s="186">
        <f>SUM(H12:AK12)</f>
        <v>23362.38</v>
      </c>
      <c r="G12" s="186">
        <f>E12-F12</f>
        <v>32276.62</v>
      </c>
      <c r="H12" s="228"/>
      <c r="I12" s="228"/>
      <c r="J12" s="228"/>
      <c r="K12" s="228"/>
      <c r="L12" s="228"/>
      <c r="M12" s="228">
        <v>3474.23</v>
      </c>
      <c r="N12" s="228">
        <v>3289.75</v>
      </c>
      <c r="O12" s="228">
        <v>3319.68</v>
      </c>
      <c r="P12" s="228">
        <v>3319.68</v>
      </c>
      <c r="Q12" s="228">
        <v>3319.68</v>
      </c>
      <c r="R12" s="268">
        <v>3319.14</v>
      </c>
      <c r="S12" s="228">
        <v>3320.22</v>
      </c>
      <c r="T12" s="228"/>
      <c r="U12" s="269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</row>
    <row r="13" spans="1:39" s="3" customFormat="1" ht="18" customHeight="1" thickBot="1" x14ac:dyDescent="0.35">
      <c r="A13" s="276" t="s">
        <v>22</v>
      </c>
      <c r="B13" s="102" t="s">
        <v>200</v>
      </c>
      <c r="C13" s="233">
        <v>42177</v>
      </c>
      <c r="D13" s="102"/>
      <c r="E13" s="186">
        <f t="shared" ref="E13:E27" si="0">C13</f>
        <v>42177</v>
      </c>
      <c r="F13" s="186">
        <f t="shared" ref="F13:F27" si="1">SUM(H13:AK13)</f>
        <v>42177</v>
      </c>
      <c r="G13" s="186">
        <f t="shared" ref="G13:G27" si="2">E13-F13</f>
        <v>0</v>
      </c>
      <c r="H13" s="228"/>
      <c r="I13" s="228"/>
      <c r="J13" s="228"/>
      <c r="K13" s="228"/>
      <c r="L13" s="228"/>
      <c r="M13" s="228"/>
      <c r="N13" s="228"/>
      <c r="O13" s="228"/>
      <c r="P13" s="228">
        <v>10652.24</v>
      </c>
      <c r="Q13" s="228"/>
      <c r="R13" s="268"/>
      <c r="S13" s="228">
        <v>10625.24</v>
      </c>
      <c r="T13" s="228">
        <f>13722.52+7177</f>
        <v>20899.52</v>
      </c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</row>
    <row r="14" spans="1:39" s="3" customFormat="1" ht="18" customHeight="1" thickBot="1" x14ac:dyDescent="0.35">
      <c r="A14" s="276" t="s">
        <v>28</v>
      </c>
      <c r="B14" s="102" t="s">
        <v>206</v>
      </c>
      <c r="C14" s="233">
        <v>57527</v>
      </c>
      <c r="D14" s="102"/>
      <c r="E14" s="186">
        <f t="shared" si="0"/>
        <v>57527</v>
      </c>
      <c r="F14" s="186">
        <f t="shared" si="1"/>
        <v>49404.75</v>
      </c>
      <c r="G14" s="186">
        <f t="shared" si="2"/>
        <v>8122.25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68"/>
      <c r="S14" s="228">
        <v>49404.75</v>
      </c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</row>
    <row r="15" spans="1:39" ht="16.5" thickBot="1" x14ac:dyDescent="0.3">
      <c r="A15" s="276" t="s">
        <v>37</v>
      </c>
      <c r="B15" s="102" t="s">
        <v>215</v>
      </c>
      <c r="C15" s="233">
        <v>25834</v>
      </c>
      <c r="D15" s="102"/>
      <c r="E15" s="186">
        <f t="shared" si="0"/>
        <v>25834</v>
      </c>
      <c r="F15" s="186">
        <f t="shared" si="1"/>
        <v>18267.29</v>
      </c>
      <c r="G15" s="186">
        <f t="shared" si="2"/>
        <v>7566.7099999999991</v>
      </c>
      <c r="H15" s="228"/>
      <c r="I15" s="228"/>
      <c r="J15" s="228"/>
      <c r="K15" s="228"/>
      <c r="L15" s="228"/>
      <c r="M15" s="228"/>
      <c r="N15" s="228"/>
      <c r="O15" s="228">
        <v>7774.97</v>
      </c>
      <c r="P15" s="228"/>
      <c r="Q15" s="228"/>
      <c r="R15" s="268"/>
      <c r="S15" s="228"/>
      <c r="T15" s="228"/>
      <c r="U15" s="228"/>
      <c r="V15" s="228">
        <f>5030.32+5462</f>
        <v>10492.32</v>
      </c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</row>
    <row r="16" spans="1:39" ht="16.5" thickBot="1" x14ac:dyDescent="0.3">
      <c r="A16" s="276" t="s">
        <v>39</v>
      </c>
      <c r="B16" s="102" t="s">
        <v>217</v>
      </c>
      <c r="C16" s="233">
        <v>3559</v>
      </c>
      <c r="D16" s="102"/>
      <c r="E16" s="186">
        <f t="shared" si="0"/>
        <v>3559</v>
      </c>
      <c r="F16" s="186">
        <f t="shared" si="1"/>
        <v>93.6</v>
      </c>
      <c r="G16" s="186">
        <f t="shared" si="2"/>
        <v>3465.4</v>
      </c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68"/>
      <c r="S16" s="228"/>
      <c r="T16" s="228">
        <v>93.6</v>
      </c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</row>
    <row r="17" spans="1:39" ht="16.5" thickBot="1" x14ac:dyDescent="0.3">
      <c r="A17" s="276" t="s">
        <v>40</v>
      </c>
      <c r="B17" s="130" t="s">
        <v>218</v>
      </c>
      <c r="C17" s="233">
        <v>4624</v>
      </c>
      <c r="D17" s="102"/>
      <c r="E17" s="186">
        <f t="shared" si="0"/>
        <v>4624</v>
      </c>
      <c r="F17" s="186">
        <f t="shared" si="1"/>
        <v>4624</v>
      </c>
      <c r="G17" s="186">
        <f t="shared" si="2"/>
        <v>0</v>
      </c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68">
        <v>4624</v>
      </c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</row>
    <row r="18" spans="1:39" ht="16.5" thickBot="1" x14ac:dyDescent="0.3">
      <c r="A18" s="276" t="s">
        <v>44</v>
      </c>
      <c r="B18" s="102" t="s">
        <v>638</v>
      </c>
      <c r="C18" s="233">
        <v>114280</v>
      </c>
      <c r="D18" s="102"/>
      <c r="E18" s="186">
        <f t="shared" si="0"/>
        <v>114280</v>
      </c>
      <c r="F18" s="186">
        <f t="shared" si="1"/>
        <v>95007.25</v>
      </c>
      <c r="G18" s="186">
        <f t="shared" si="2"/>
        <v>19272.75</v>
      </c>
      <c r="H18" s="228"/>
      <c r="I18" s="228"/>
      <c r="J18" s="228"/>
      <c r="K18" s="228"/>
      <c r="L18" s="228"/>
      <c r="M18" s="228"/>
      <c r="N18" s="228"/>
      <c r="O18" s="228">
        <v>14000.36</v>
      </c>
      <c r="P18" s="228">
        <v>12285.59</v>
      </c>
      <c r="Q18" s="228">
        <v>15442.39</v>
      </c>
      <c r="R18" s="268">
        <v>12419.75</v>
      </c>
      <c r="S18" s="228">
        <v>27404.45</v>
      </c>
      <c r="T18" s="228"/>
      <c r="U18" s="228"/>
      <c r="V18" s="228">
        <v>13454.71</v>
      </c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</row>
    <row r="19" spans="1:39" ht="16.5" thickBot="1" x14ac:dyDescent="0.3">
      <c r="A19" s="276" t="s">
        <v>69</v>
      </c>
      <c r="B19" s="102" t="s">
        <v>247</v>
      </c>
      <c r="C19" s="233">
        <v>84306</v>
      </c>
      <c r="D19" s="102"/>
      <c r="E19" s="186">
        <f t="shared" si="0"/>
        <v>84306</v>
      </c>
      <c r="F19" s="186">
        <f t="shared" si="1"/>
        <v>14568.7</v>
      </c>
      <c r="G19" s="186">
        <f t="shared" si="2"/>
        <v>69737.3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68"/>
      <c r="S19" s="228">
        <v>14568.7</v>
      </c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</row>
    <row r="20" spans="1:39" ht="16.5" thickBot="1" x14ac:dyDescent="0.3">
      <c r="A20" s="276" t="s">
        <v>80</v>
      </c>
      <c r="B20" s="102" t="s">
        <v>258</v>
      </c>
      <c r="C20" s="233">
        <v>12033</v>
      </c>
      <c r="D20" s="102"/>
      <c r="E20" s="186">
        <f t="shared" si="0"/>
        <v>12033</v>
      </c>
      <c r="F20" s="186">
        <f t="shared" si="1"/>
        <v>54.56</v>
      </c>
      <c r="G20" s="186">
        <f t="shared" si="2"/>
        <v>11978.44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68"/>
      <c r="S20" s="228"/>
      <c r="T20" s="228"/>
      <c r="U20" s="228">
        <v>54.56</v>
      </c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</row>
    <row r="21" spans="1:39" ht="16.5" thickBot="1" x14ac:dyDescent="0.3">
      <c r="A21" s="276" t="s">
        <v>98</v>
      </c>
      <c r="B21" s="102" t="s">
        <v>276</v>
      </c>
      <c r="C21" s="233">
        <v>21331</v>
      </c>
      <c r="D21" s="102"/>
      <c r="E21" s="186">
        <f t="shared" si="0"/>
        <v>21331</v>
      </c>
      <c r="F21" s="186">
        <f t="shared" si="1"/>
        <v>10001.56</v>
      </c>
      <c r="G21" s="186">
        <f t="shared" si="2"/>
        <v>11329.44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68"/>
      <c r="S21" s="228"/>
      <c r="T21" s="228"/>
      <c r="U21" s="228">
        <v>10001.56</v>
      </c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</row>
    <row r="22" spans="1:39" ht="16.5" thickBot="1" x14ac:dyDescent="0.3">
      <c r="A22" s="276" t="s">
        <v>116</v>
      </c>
      <c r="B22" s="277" t="s">
        <v>639</v>
      </c>
      <c r="C22" s="233">
        <v>64476</v>
      </c>
      <c r="D22" s="102"/>
      <c r="E22" s="186">
        <f t="shared" si="0"/>
        <v>64476</v>
      </c>
      <c r="F22" s="186">
        <f t="shared" si="1"/>
        <v>2353.2200000000003</v>
      </c>
      <c r="G22" s="186">
        <f t="shared" si="2"/>
        <v>62122.78</v>
      </c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68"/>
      <c r="S22" s="228"/>
      <c r="T22" s="228">
        <f>1224.76+1128.46</f>
        <v>2353.2200000000003</v>
      </c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</row>
    <row r="23" spans="1:39" ht="16.5" thickBot="1" x14ac:dyDescent="0.3">
      <c r="A23" s="276" t="s">
        <v>125</v>
      </c>
      <c r="B23" s="102" t="s">
        <v>303</v>
      </c>
      <c r="C23" s="233">
        <v>34429</v>
      </c>
      <c r="D23" s="102"/>
      <c r="E23" s="186">
        <f t="shared" si="0"/>
        <v>34429</v>
      </c>
      <c r="F23" s="186">
        <f t="shared" si="1"/>
        <v>0</v>
      </c>
      <c r="G23" s="186">
        <f t="shared" si="2"/>
        <v>34429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</row>
    <row r="24" spans="1:39" ht="16.5" thickBot="1" x14ac:dyDescent="0.3">
      <c r="A24" s="276" t="s">
        <v>126</v>
      </c>
      <c r="B24" s="102" t="s">
        <v>304</v>
      </c>
      <c r="C24" s="233">
        <v>17989</v>
      </c>
      <c r="D24" s="102"/>
      <c r="E24" s="186">
        <f t="shared" si="0"/>
        <v>17989</v>
      </c>
      <c r="F24" s="186">
        <f t="shared" si="1"/>
        <v>0</v>
      </c>
      <c r="G24" s="186">
        <f t="shared" si="2"/>
        <v>17989</v>
      </c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</row>
    <row r="25" spans="1:39" ht="16.5" thickBot="1" x14ac:dyDescent="0.3">
      <c r="A25" s="276" t="s">
        <v>139</v>
      </c>
      <c r="B25" s="102" t="s">
        <v>317</v>
      </c>
      <c r="C25" s="233">
        <v>35470</v>
      </c>
      <c r="D25" s="102"/>
      <c r="E25" s="186">
        <f t="shared" si="0"/>
        <v>35470</v>
      </c>
      <c r="F25" s="186">
        <f t="shared" si="1"/>
        <v>26202</v>
      </c>
      <c r="G25" s="186">
        <f t="shared" si="2"/>
        <v>9268</v>
      </c>
      <c r="H25" s="228"/>
      <c r="I25" s="228"/>
      <c r="J25" s="228"/>
      <c r="K25" s="228"/>
      <c r="L25" s="228">
        <v>2402</v>
      </c>
      <c r="M25" s="228">
        <v>2171</v>
      </c>
      <c r="N25" s="228">
        <v>2170</v>
      </c>
      <c r="O25" s="228">
        <v>2102</v>
      </c>
      <c r="P25" s="228">
        <v>2169</v>
      </c>
      <c r="Q25" s="228">
        <v>2170</v>
      </c>
      <c r="R25" s="228"/>
      <c r="S25" s="228">
        <v>6509</v>
      </c>
      <c r="T25" s="228"/>
      <c r="U25" s="228">
        <v>6509</v>
      </c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</row>
    <row r="26" spans="1:39" ht="16.5" thickBot="1" x14ac:dyDescent="0.3">
      <c r="A26" s="276" t="s">
        <v>147</v>
      </c>
      <c r="B26" s="102" t="s">
        <v>325</v>
      </c>
      <c r="C26" s="233">
        <v>26851</v>
      </c>
      <c r="D26" s="102"/>
      <c r="E26" s="186">
        <f t="shared" si="0"/>
        <v>26851</v>
      </c>
      <c r="F26" s="186">
        <f t="shared" si="1"/>
        <v>26337</v>
      </c>
      <c r="G26" s="186">
        <f t="shared" si="2"/>
        <v>514</v>
      </c>
      <c r="H26" s="228"/>
      <c r="I26" s="228"/>
      <c r="J26" s="228"/>
      <c r="K26" s="228"/>
      <c r="L26" s="228"/>
      <c r="M26" s="228"/>
      <c r="N26" s="228"/>
      <c r="O26" s="228">
        <v>10846</v>
      </c>
      <c r="P26" s="228">
        <v>2430</v>
      </c>
      <c r="Q26" s="228">
        <v>2168</v>
      </c>
      <c r="R26" s="268">
        <v>2167</v>
      </c>
      <c r="S26" s="228">
        <v>2168</v>
      </c>
      <c r="T26" s="228">
        <v>2181</v>
      </c>
      <c r="U26" s="228">
        <v>2189</v>
      </c>
      <c r="V26" s="228">
        <v>2188</v>
      </c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</row>
    <row r="27" spans="1:39" ht="16.5" thickBot="1" x14ac:dyDescent="0.3">
      <c r="A27" s="276" t="s">
        <v>154</v>
      </c>
      <c r="B27" s="102" t="s">
        <v>545</v>
      </c>
      <c r="C27" s="233">
        <v>13607</v>
      </c>
      <c r="D27" s="102"/>
      <c r="E27" s="186">
        <f t="shared" si="0"/>
        <v>13607</v>
      </c>
      <c r="F27" s="186">
        <f t="shared" si="1"/>
        <v>11220.14</v>
      </c>
      <c r="G27" s="186">
        <f t="shared" si="2"/>
        <v>2386.8600000000006</v>
      </c>
      <c r="H27" s="228"/>
      <c r="I27" s="228"/>
      <c r="J27" s="228"/>
      <c r="K27" s="228"/>
      <c r="L27" s="228">
        <v>4300</v>
      </c>
      <c r="M27" s="228"/>
      <c r="N27" s="228"/>
      <c r="O27" s="228"/>
      <c r="P27" s="228"/>
      <c r="Q27" s="228">
        <v>750</v>
      </c>
      <c r="R27" s="268"/>
      <c r="S27" s="228"/>
      <c r="T27" s="228"/>
      <c r="U27" s="228">
        <v>6170.14</v>
      </c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</row>
    <row r="28" spans="1:39" ht="16.5" thickBot="1" x14ac:dyDescent="0.3">
      <c r="A28" s="102"/>
      <c r="B28" s="102"/>
      <c r="C28" s="233"/>
      <c r="D28" s="102"/>
      <c r="E28" s="186"/>
      <c r="F28" s="186"/>
      <c r="G28" s="186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6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</row>
    <row r="29" spans="1:39" ht="16.5" thickBot="1" x14ac:dyDescent="0.3">
      <c r="A29" s="102"/>
      <c r="B29" s="102"/>
      <c r="C29" s="233"/>
      <c r="D29" s="102"/>
      <c r="E29" s="186"/>
      <c r="F29" s="186"/>
      <c r="G29" s="186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6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</row>
    <row r="30" spans="1:39" ht="16.5" thickBot="1" x14ac:dyDescent="0.3">
      <c r="C30" s="234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30"/>
      <c r="R30" s="228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</row>
    <row r="31" spans="1:39" ht="15.75" thickBot="1" x14ac:dyDescent="0.3">
      <c r="A31" s="183" t="s">
        <v>601</v>
      </c>
      <c r="B31" s="184"/>
      <c r="C31" s="235">
        <f>SUM(C12:C29)</f>
        <v>614132</v>
      </c>
      <c r="D31" s="184"/>
      <c r="E31" s="232">
        <f>SUM(E12:E29)</f>
        <v>614132</v>
      </c>
      <c r="F31" s="232">
        <f>SUM(F12:F29)</f>
        <v>323673.45000000007</v>
      </c>
      <c r="G31" s="232">
        <f>E31-(F31+AL31+AM31)</f>
        <v>290458.54999999993</v>
      </c>
      <c r="H31" s="232">
        <f t="shared" ref="H31:AM31" si="3">SUM(H12:H29)</f>
        <v>0</v>
      </c>
      <c r="I31" s="232">
        <f t="shared" si="3"/>
        <v>0</v>
      </c>
      <c r="J31" s="232">
        <f t="shared" si="3"/>
        <v>0</v>
      </c>
      <c r="K31" s="232">
        <f t="shared" si="3"/>
        <v>0</v>
      </c>
      <c r="L31" s="232">
        <f t="shared" si="3"/>
        <v>6702</v>
      </c>
      <c r="M31" s="232">
        <f t="shared" si="3"/>
        <v>5645.23</v>
      </c>
      <c r="N31" s="232">
        <f t="shared" si="3"/>
        <v>5459.75</v>
      </c>
      <c r="O31" s="232">
        <f t="shared" si="3"/>
        <v>38043.01</v>
      </c>
      <c r="P31" s="232">
        <f t="shared" si="3"/>
        <v>30856.510000000002</v>
      </c>
      <c r="Q31" s="236">
        <f t="shared" si="3"/>
        <v>23850.07</v>
      </c>
      <c r="R31" s="236">
        <f t="shared" si="3"/>
        <v>22529.89</v>
      </c>
      <c r="S31" s="232">
        <f t="shared" si="3"/>
        <v>114000.36</v>
      </c>
      <c r="T31" s="232">
        <f t="shared" si="3"/>
        <v>25527.34</v>
      </c>
      <c r="U31" s="232">
        <f t="shared" si="3"/>
        <v>24924.26</v>
      </c>
      <c r="V31" s="232">
        <f t="shared" si="3"/>
        <v>26135.03</v>
      </c>
      <c r="W31" s="232">
        <f t="shared" si="3"/>
        <v>0</v>
      </c>
      <c r="X31" s="232">
        <f t="shared" si="3"/>
        <v>0</v>
      </c>
      <c r="Y31" s="232">
        <f t="shared" si="3"/>
        <v>0</v>
      </c>
      <c r="Z31" s="232">
        <f t="shared" si="3"/>
        <v>0</v>
      </c>
      <c r="AA31" s="232">
        <f t="shared" si="3"/>
        <v>0</v>
      </c>
      <c r="AB31" s="232">
        <f t="shared" si="3"/>
        <v>0</v>
      </c>
      <c r="AC31" s="232">
        <f t="shared" si="3"/>
        <v>0</v>
      </c>
      <c r="AD31" s="232">
        <f t="shared" si="3"/>
        <v>0</v>
      </c>
      <c r="AE31" s="232">
        <f t="shared" si="3"/>
        <v>0</v>
      </c>
      <c r="AF31" s="232">
        <f t="shared" si="3"/>
        <v>0</v>
      </c>
      <c r="AG31" s="232">
        <f t="shared" si="3"/>
        <v>0</v>
      </c>
      <c r="AH31" s="232">
        <f t="shared" si="3"/>
        <v>0</v>
      </c>
      <c r="AI31" s="232">
        <f t="shared" si="3"/>
        <v>0</v>
      </c>
      <c r="AJ31" s="232">
        <f t="shared" si="3"/>
        <v>0</v>
      </c>
      <c r="AK31" s="232">
        <f t="shared" si="3"/>
        <v>0</v>
      </c>
      <c r="AL31" s="232">
        <f t="shared" si="3"/>
        <v>0</v>
      </c>
      <c r="AM31" s="232">
        <f t="shared" si="3"/>
        <v>0</v>
      </c>
    </row>
    <row r="32" spans="1:39" ht="16.5" thickBot="1" x14ac:dyDescent="0.3">
      <c r="R32" s="228"/>
    </row>
    <row r="33" spans="18:18" ht="16.5" thickBot="1" x14ac:dyDescent="0.3">
      <c r="R33" s="228"/>
    </row>
    <row r="34" spans="18:18" ht="16.5" thickBot="1" x14ac:dyDescent="0.3">
      <c r="R34" s="228"/>
    </row>
    <row r="35" spans="18:18" ht="16.5" thickBot="1" x14ac:dyDescent="0.3">
      <c r="R35" s="228"/>
    </row>
    <row r="36" spans="18:18" ht="16.5" thickBot="1" x14ac:dyDescent="0.3">
      <c r="R36" s="228"/>
    </row>
    <row r="37" spans="18:18" ht="16.5" thickBot="1" x14ac:dyDescent="0.3">
      <c r="R37" s="228"/>
    </row>
    <row r="38" spans="18:18" ht="16.5" thickBot="1" x14ac:dyDescent="0.3">
      <c r="R38" s="228"/>
    </row>
    <row r="39" spans="18:18" ht="16.5" thickBot="1" x14ac:dyDescent="0.3">
      <c r="R39" s="228"/>
    </row>
    <row r="40" spans="18:18" ht="16.5" thickBot="1" x14ac:dyDescent="0.3">
      <c r="R40" s="228"/>
    </row>
    <row r="41" spans="18:18" ht="16.5" thickBot="1" x14ac:dyDescent="0.3">
      <c r="R41" s="228"/>
    </row>
    <row r="42" spans="18:18" ht="16.5" thickBot="1" x14ac:dyDescent="0.3">
      <c r="R42" s="228"/>
    </row>
    <row r="43" spans="18:18" ht="16.5" thickBot="1" x14ac:dyDescent="0.3">
      <c r="R43" s="228"/>
    </row>
    <row r="44" spans="18:18" ht="16.5" thickBot="1" x14ac:dyDescent="0.3">
      <c r="R44" s="228"/>
    </row>
  </sheetData>
  <sheetProtection algorithmName="SHA-512" hashValue="43U9lyc8w5p+Z51KYPuEy7RysIUmDvCbsS53ypffu72pQumJTWShqN9vHYeEyoiDbAvJdwQKBwRIj6OZ7ob+1Q==" saltValue="B7E/4LGXIqicAjziYwq5vQ==" spinCount="100000" sheet="1" objects="1" scenarios="1"/>
  <pageMargins left="0.7" right="0.7" top="0.75" bottom="0.75" header="0.3" footer="0.3"/>
  <pageSetup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OF FORMULA GRANT</vt:lpstr>
      <vt:lpstr>ESSA Title I-A Formula</vt:lpstr>
      <vt:lpstr>ESSA Title I-Delinquent</vt:lpstr>
      <vt:lpstr>StateAgenciesTitle I-Delinquent</vt:lpstr>
      <vt:lpstr>ESSA Title II-A Formula</vt:lpstr>
      <vt:lpstr>ESSA Title III-ELL </vt:lpstr>
      <vt:lpstr>ESSA Title III SAI</vt:lpstr>
      <vt:lpstr>ESSA Title IV</vt:lpstr>
      <vt:lpstr>ESSA Title V-B</vt:lpstr>
      <vt:lpstr>NCLB Allocations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Kaleda, Steven</cp:lastModifiedBy>
  <cp:lastPrinted>2021-08-23T20:07:55Z</cp:lastPrinted>
  <dcterms:created xsi:type="dcterms:W3CDTF">2011-11-14T17:06:02Z</dcterms:created>
  <dcterms:modified xsi:type="dcterms:W3CDTF">2022-09-27T15:17:24Z</dcterms:modified>
</cp:coreProperties>
</file>