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PSFU\BOCES Allocations\HB1345 Allocation\"/>
    </mc:Choice>
  </mc:AlternateContent>
  <bookViews>
    <workbookView xWindow="-105" yWindow="-105" windowWidth="23250" windowHeight="14010"/>
  </bookViews>
  <sheets>
    <sheet name="Summary" sheetId="2" r:id="rId1"/>
    <sheet name="District &amp; BOCES Listing" sheetId="1" r:id="rId2"/>
    <sheet name="PSFA Runs" sheetId="8" r:id="rId3"/>
    <sheet name="Payment Request" sheetId="6" r:id="rId4"/>
    <sheet name="BOCES Payment (2)" sheetId="7" r:id="rId5"/>
  </sheets>
  <definedNames>
    <definedName name="_xlnm._FilterDatabase" localSheetId="1" hidden="1">'District &amp; BOCES Listing'!$A$14:$I$207</definedName>
    <definedName name="_xlnm._FilterDatabase" localSheetId="2" hidden="1">'PSFA Runs'!$A$2:$H$182</definedName>
    <definedName name="_xlnm.Print_Area" localSheetId="1">'District &amp; BOCES Listing'!$A$2:$I$200</definedName>
    <definedName name="_xlnm.Print_Titles" localSheetId="1">'District &amp; BOCES Listing'!$14:$14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 l="1"/>
  <c r="E182" i="8" l="1"/>
  <c r="G3" i="8" l="1"/>
  <c r="G4" i="8"/>
  <c r="B29" i="2" l="1"/>
  <c r="F182" i="8" l="1"/>
  <c r="E166" i="1" l="1"/>
  <c r="F166" i="1"/>
  <c r="G166" i="1" l="1"/>
  <c r="B11" i="2"/>
  <c r="G5" i="8" l="1"/>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130" i="8"/>
  <c r="G131" i="8"/>
  <c r="G132" i="8"/>
  <c r="G133" i="8"/>
  <c r="G134" i="8"/>
  <c r="G135" i="8"/>
  <c r="G136" i="8"/>
  <c r="G137" i="8"/>
  <c r="G138" i="8"/>
  <c r="G139" i="8"/>
  <c r="G140" i="8"/>
  <c r="G141" i="8"/>
  <c r="G142" i="8"/>
  <c r="G143" i="8"/>
  <c r="G144" i="8"/>
  <c r="G145" i="8"/>
  <c r="G146" i="8"/>
  <c r="G147" i="8"/>
  <c r="G148" i="8"/>
  <c r="G149" i="8"/>
  <c r="G150" i="8"/>
  <c r="G151" i="8"/>
  <c r="G152" i="8"/>
  <c r="G153" i="8"/>
  <c r="G154" i="8"/>
  <c r="G155" i="8"/>
  <c r="G156" i="8"/>
  <c r="G157" i="8"/>
  <c r="G158" i="8"/>
  <c r="G159" i="8"/>
  <c r="G160" i="8"/>
  <c r="G161" i="8"/>
  <c r="G162" i="8"/>
  <c r="G163" i="8"/>
  <c r="G164" i="8"/>
  <c r="G165" i="8"/>
  <c r="G166" i="8"/>
  <c r="G167" i="8"/>
  <c r="G168" i="8"/>
  <c r="G169" i="8"/>
  <c r="G170" i="8"/>
  <c r="G171" i="8"/>
  <c r="G172" i="8"/>
  <c r="G173" i="8"/>
  <c r="G174" i="8"/>
  <c r="G175" i="8"/>
  <c r="G176" i="8"/>
  <c r="G177" i="8"/>
  <c r="G178" i="8"/>
  <c r="G179" i="8"/>
  <c r="G180" i="8"/>
  <c r="B20" i="2" l="1"/>
  <c r="C29" i="7" l="1"/>
  <c r="C27" i="7"/>
  <c r="A27" i="7"/>
  <c r="F197" i="1" l="1"/>
  <c r="E197" i="1"/>
  <c r="F196" i="1"/>
  <c r="E196" i="1"/>
  <c r="F91" i="1"/>
  <c r="E91" i="1"/>
  <c r="F189" i="1"/>
  <c r="E189" i="1"/>
  <c r="F188" i="1"/>
  <c r="E188" i="1"/>
  <c r="F187" i="1"/>
  <c r="E187" i="1"/>
  <c r="F186" i="1"/>
  <c r="E186" i="1"/>
  <c r="F185" i="1"/>
  <c r="E185" i="1"/>
  <c r="F184" i="1"/>
  <c r="E184" i="1"/>
  <c r="F183" i="1"/>
  <c r="E183" i="1"/>
  <c r="F182" i="1"/>
  <c r="E182" i="1"/>
  <c r="F181" i="1"/>
  <c r="E181" i="1"/>
  <c r="F180" i="1"/>
  <c r="E180" i="1"/>
  <c r="F179" i="1"/>
  <c r="E179" i="1"/>
  <c r="F178" i="1"/>
  <c r="E178" i="1"/>
  <c r="F177" i="1"/>
  <c r="E177" i="1"/>
  <c r="F176" i="1"/>
  <c r="E176" i="1"/>
  <c r="F175" i="1"/>
  <c r="E175" i="1"/>
  <c r="F174" i="1"/>
  <c r="E174" i="1"/>
  <c r="F173" i="1"/>
  <c r="E173" i="1"/>
  <c r="F172" i="1"/>
  <c r="E172" i="1"/>
  <c r="F171" i="1"/>
  <c r="E171" i="1"/>
  <c r="F170" i="1"/>
  <c r="E170" i="1"/>
  <c r="F169" i="1"/>
  <c r="E169" i="1"/>
  <c r="F168" i="1"/>
  <c r="E168" i="1"/>
  <c r="F167" i="1"/>
  <c r="E167" i="1"/>
  <c r="F165" i="1"/>
  <c r="E165" i="1"/>
  <c r="F164" i="1"/>
  <c r="E164" i="1"/>
  <c r="F163" i="1"/>
  <c r="E163" i="1"/>
  <c r="F162" i="1"/>
  <c r="E162" i="1"/>
  <c r="F161" i="1"/>
  <c r="E161" i="1"/>
  <c r="F160" i="1"/>
  <c r="E160" i="1"/>
  <c r="F159" i="1"/>
  <c r="E159" i="1"/>
  <c r="F158" i="1"/>
  <c r="E158" i="1"/>
  <c r="F157" i="1"/>
  <c r="E157" i="1"/>
  <c r="F156" i="1"/>
  <c r="E156" i="1"/>
  <c r="F155" i="1"/>
  <c r="E155" i="1"/>
  <c r="F154" i="1"/>
  <c r="E154" i="1"/>
  <c r="F153" i="1"/>
  <c r="E153" i="1"/>
  <c r="F152" i="1"/>
  <c r="E152" i="1"/>
  <c r="F151" i="1"/>
  <c r="E151" i="1"/>
  <c r="F150" i="1"/>
  <c r="E150" i="1"/>
  <c r="F149" i="1"/>
  <c r="E149" i="1"/>
  <c r="F148" i="1"/>
  <c r="E148" i="1"/>
  <c r="F147" i="1"/>
  <c r="E147" i="1"/>
  <c r="F146" i="1"/>
  <c r="E146" i="1"/>
  <c r="F145" i="1"/>
  <c r="E145" i="1"/>
  <c r="F144" i="1"/>
  <c r="E144" i="1"/>
  <c r="F199" i="1"/>
  <c r="E199" i="1"/>
  <c r="F143" i="1"/>
  <c r="E143" i="1"/>
  <c r="F142" i="1"/>
  <c r="E142" i="1"/>
  <c r="F141" i="1"/>
  <c r="E141" i="1"/>
  <c r="F140" i="1"/>
  <c r="E140" i="1"/>
  <c r="F139" i="1"/>
  <c r="E139" i="1"/>
  <c r="F138" i="1"/>
  <c r="E138" i="1"/>
  <c r="F137" i="1"/>
  <c r="E137" i="1"/>
  <c r="F136" i="1"/>
  <c r="E136" i="1"/>
  <c r="F135" i="1"/>
  <c r="E135" i="1"/>
  <c r="F134" i="1"/>
  <c r="E134" i="1"/>
  <c r="F133" i="1"/>
  <c r="E133" i="1"/>
  <c r="F132" i="1"/>
  <c r="E132" i="1"/>
  <c r="F131" i="1"/>
  <c r="E131" i="1"/>
  <c r="F130" i="1"/>
  <c r="E130" i="1"/>
  <c r="F129" i="1"/>
  <c r="E129" i="1"/>
  <c r="F128" i="1"/>
  <c r="E128" i="1"/>
  <c r="F127" i="1"/>
  <c r="E127" i="1"/>
  <c r="F126" i="1"/>
  <c r="E126" i="1"/>
  <c r="F125" i="1"/>
  <c r="E125" i="1"/>
  <c r="F124" i="1"/>
  <c r="E124" i="1"/>
  <c r="F123" i="1"/>
  <c r="E123" i="1"/>
  <c r="F122" i="1"/>
  <c r="E122" i="1"/>
  <c r="F121" i="1"/>
  <c r="E121" i="1"/>
  <c r="F120" i="1"/>
  <c r="E120" i="1"/>
  <c r="F119" i="1"/>
  <c r="E119" i="1"/>
  <c r="F118" i="1"/>
  <c r="E118" i="1"/>
  <c r="F117" i="1"/>
  <c r="E117" i="1"/>
  <c r="F116" i="1"/>
  <c r="E116" i="1"/>
  <c r="F115" i="1"/>
  <c r="E115" i="1"/>
  <c r="F114" i="1"/>
  <c r="E114" i="1"/>
  <c r="F113" i="1"/>
  <c r="E113" i="1"/>
  <c r="F112" i="1"/>
  <c r="E112" i="1"/>
  <c r="F111" i="1"/>
  <c r="E111" i="1"/>
  <c r="F110" i="1"/>
  <c r="E110" i="1"/>
  <c r="F109" i="1"/>
  <c r="E109" i="1"/>
  <c r="F108" i="1"/>
  <c r="E108" i="1"/>
  <c r="F107" i="1"/>
  <c r="E107" i="1"/>
  <c r="F106" i="1"/>
  <c r="E106" i="1"/>
  <c r="F105" i="1"/>
  <c r="E105" i="1"/>
  <c r="F104" i="1"/>
  <c r="E104" i="1"/>
  <c r="F103" i="1"/>
  <c r="E103" i="1"/>
  <c r="F102" i="1"/>
  <c r="E102" i="1"/>
  <c r="F101" i="1"/>
  <c r="E101" i="1"/>
  <c r="F100" i="1"/>
  <c r="E100" i="1"/>
  <c r="F198" i="1"/>
  <c r="E198" i="1"/>
  <c r="F99" i="1"/>
  <c r="E99" i="1"/>
  <c r="F98" i="1"/>
  <c r="E98" i="1"/>
  <c r="F97" i="1"/>
  <c r="E97" i="1"/>
  <c r="F96" i="1"/>
  <c r="E96" i="1"/>
  <c r="F95" i="1"/>
  <c r="E95" i="1"/>
  <c r="F94" i="1"/>
  <c r="E94" i="1"/>
  <c r="F93" i="1"/>
  <c r="E93" i="1"/>
  <c r="F92" i="1"/>
  <c r="E92" i="1"/>
  <c r="F90" i="1"/>
  <c r="E90" i="1"/>
  <c r="F89" i="1"/>
  <c r="E89" i="1"/>
  <c r="F88" i="1"/>
  <c r="E88" i="1"/>
  <c r="F87" i="1"/>
  <c r="E87" i="1"/>
  <c r="F86" i="1"/>
  <c r="E86" i="1"/>
  <c r="F85" i="1"/>
  <c r="E85" i="1"/>
  <c r="F84" i="1"/>
  <c r="E84" i="1"/>
  <c r="F83" i="1"/>
  <c r="E83" i="1"/>
  <c r="F82" i="1"/>
  <c r="E82" i="1"/>
  <c r="F81" i="1"/>
  <c r="E81" i="1"/>
  <c r="F80" i="1"/>
  <c r="E80" i="1"/>
  <c r="F79" i="1"/>
  <c r="E79" i="1"/>
  <c r="F78" i="1"/>
  <c r="E78" i="1"/>
  <c r="F77" i="1"/>
  <c r="E77" i="1"/>
  <c r="F76" i="1"/>
  <c r="E76" i="1"/>
  <c r="F75" i="1"/>
  <c r="E75" i="1"/>
  <c r="F74" i="1"/>
  <c r="E74" i="1"/>
  <c r="F73" i="1"/>
  <c r="E73" i="1"/>
  <c r="F72" i="1"/>
  <c r="E72" i="1"/>
  <c r="F71" i="1"/>
  <c r="E71" i="1"/>
  <c r="F70" i="1"/>
  <c r="E70" i="1"/>
  <c r="F69" i="1"/>
  <c r="E69" i="1"/>
  <c r="F68" i="1"/>
  <c r="E68" i="1"/>
  <c r="F67" i="1"/>
  <c r="E67" i="1"/>
  <c r="F66" i="1"/>
  <c r="E66" i="1"/>
  <c r="F65" i="1"/>
  <c r="E65" i="1"/>
  <c r="F64" i="1"/>
  <c r="E64" i="1"/>
  <c r="F63" i="1"/>
  <c r="E63" i="1"/>
  <c r="F62" i="1"/>
  <c r="E62" i="1"/>
  <c r="F61" i="1"/>
  <c r="E61" i="1"/>
  <c r="F60" i="1"/>
  <c r="E60" i="1"/>
  <c r="F59" i="1"/>
  <c r="E59" i="1"/>
  <c r="F58" i="1"/>
  <c r="E58" i="1"/>
  <c r="F57" i="1"/>
  <c r="E57" i="1"/>
  <c r="F56" i="1"/>
  <c r="E56" i="1"/>
  <c r="F55" i="1"/>
  <c r="E55" i="1"/>
  <c r="F54" i="1"/>
  <c r="E54" i="1"/>
  <c r="F53" i="1"/>
  <c r="E53" i="1"/>
  <c r="F52" i="1"/>
  <c r="E52" i="1"/>
  <c r="F51" i="1"/>
  <c r="E51" i="1"/>
  <c r="F50" i="1"/>
  <c r="E50" i="1"/>
  <c r="F49" i="1"/>
  <c r="E49" i="1"/>
  <c r="F48" i="1"/>
  <c r="E48" i="1"/>
  <c r="F47" i="1"/>
  <c r="E47" i="1"/>
  <c r="F46" i="1"/>
  <c r="E46" i="1"/>
  <c r="F45" i="1"/>
  <c r="E45" i="1"/>
  <c r="F44" i="1"/>
  <c r="E44" i="1"/>
  <c r="F43" i="1"/>
  <c r="E43" i="1"/>
  <c r="F42" i="1"/>
  <c r="E42" i="1"/>
  <c r="F41" i="1"/>
  <c r="E41" i="1"/>
  <c r="F40" i="1"/>
  <c r="E40" i="1"/>
  <c r="F39" i="1"/>
  <c r="E39" i="1"/>
  <c r="F38" i="1"/>
  <c r="E38" i="1"/>
  <c r="F37" i="1"/>
  <c r="E37" i="1"/>
  <c r="F36" i="1"/>
  <c r="E36" i="1"/>
  <c r="F35" i="1"/>
  <c r="E35" i="1"/>
  <c r="F34" i="1"/>
  <c r="E34" i="1"/>
  <c r="F33" i="1"/>
  <c r="E33" i="1"/>
  <c r="F32" i="1"/>
  <c r="E32" i="1"/>
  <c r="F31" i="1"/>
  <c r="E31" i="1"/>
  <c r="F30" i="1"/>
  <c r="E30" i="1"/>
  <c r="F29" i="1"/>
  <c r="E29" i="1"/>
  <c r="F28" i="1"/>
  <c r="E28" i="1"/>
  <c r="F27" i="1"/>
  <c r="E27" i="1"/>
  <c r="F26" i="1"/>
  <c r="E26" i="1"/>
  <c r="F25" i="1"/>
  <c r="E25" i="1"/>
  <c r="F24" i="1"/>
  <c r="E24" i="1"/>
  <c r="F23" i="1"/>
  <c r="E23" i="1"/>
  <c r="F22" i="1"/>
  <c r="E22" i="1"/>
  <c r="F21" i="1"/>
  <c r="E21" i="1"/>
  <c r="F20" i="1"/>
  <c r="E20" i="1"/>
  <c r="F19" i="1"/>
  <c r="E19" i="1"/>
  <c r="F18" i="1"/>
  <c r="E18" i="1"/>
  <c r="F17" i="1"/>
  <c r="E17" i="1"/>
  <c r="F16" i="1"/>
  <c r="E16" i="1"/>
  <c r="G181" i="8"/>
  <c r="G182" i="8" s="1"/>
  <c r="E191" i="1" l="1"/>
  <c r="G179" i="1"/>
  <c r="F191" i="1"/>
  <c r="G197" i="1"/>
  <c r="G91" i="1"/>
  <c r="G196" i="1"/>
  <c r="G16" i="1"/>
  <c r="C30" i="7" l="1"/>
  <c r="G87" i="1" l="1"/>
  <c r="G86" i="1"/>
  <c r="B10" i="2" l="1"/>
  <c r="B4" i="2"/>
  <c r="G188" i="1"/>
  <c r="G187" i="1"/>
  <c r="G186" i="1"/>
  <c r="G185" i="1"/>
  <c r="G184" i="1"/>
  <c r="G183" i="1"/>
  <c r="G182" i="1"/>
  <c r="G181" i="1"/>
  <c r="G180" i="1"/>
  <c r="G178" i="1"/>
  <c r="G177" i="1"/>
  <c r="G176" i="1"/>
  <c r="G175" i="1"/>
  <c r="G174" i="1"/>
  <c r="G173" i="1"/>
  <c r="G172" i="1"/>
  <c r="G171" i="1"/>
  <c r="G170" i="1"/>
  <c r="G169" i="1"/>
  <c r="G168" i="1"/>
  <c r="G167" i="1"/>
  <c r="G165" i="1"/>
  <c r="G164" i="1"/>
  <c r="G163" i="1"/>
  <c r="G162" i="1"/>
  <c r="G161" i="1"/>
  <c r="G160" i="1"/>
  <c r="G159" i="1"/>
  <c r="G158" i="1"/>
  <c r="G157" i="1"/>
  <c r="G156" i="1"/>
  <c r="G155" i="1"/>
  <c r="G154" i="1"/>
  <c r="G153" i="1"/>
  <c r="G152" i="1"/>
  <c r="G151" i="1"/>
  <c r="G150" i="1"/>
  <c r="G149" i="1"/>
  <c r="G148" i="1"/>
  <c r="G147" i="1"/>
  <c r="G146" i="1"/>
  <c r="G145" i="1"/>
  <c r="G144" i="1"/>
  <c r="G199"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198" i="1"/>
  <c r="G99" i="1"/>
  <c r="G98" i="1"/>
  <c r="G97" i="1"/>
  <c r="G96" i="1"/>
  <c r="G95" i="1"/>
  <c r="G94" i="1"/>
  <c r="G93" i="1"/>
  <c r="G92" i="1"/>
  <c r="G90" i="1"/>
  <c r="G89" i="1"/>
  <c r="G88"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89" i="1"/>
  <c r="G191" i="1" l="1"/>
  <c r="B28" i="2"/>
  <c r="B27" i="2"/>
  <c r="B26" i="2"/>
  <c r="B25" i="2"/>
  <c r="B24" i="2"/>
  <c r="B23" i="2"/>
  <c r="B22" i="2"/>
  <c r="B21" i="2"/>
  <c r="B19" i="2"/>
  <c r="B18" i="2"/>
  <c r="B17" i="2"/>
  <c r="B16" i="2"/>
  <c r="B15" i="2"/>
  <c r="B14" i="2"/>
  <c r="B13" i="2"/>
  <c r="B12" i="2"/>
  <c r="B9" i="2"/>
  <c r="B8" i="2"/>
  <c r="D7" i="1" l="1"/>
  <c r="D11" i="1" s="1"/>
  <c r="H166" i="1" s="1"/>
  <c r="H184" i="1" l="1"/>
  <c r="H57" i="1"/>
  <c r="H190" i="1"/>
  <c r="H189" i="1"/>
  <c r="J11" i="1"/>
  <c r="K11" i="1" s="1"/>
  <c r="H91" i="1"/>
  <c r="H16" i="1"/>
  <c r="H186" i="1"/>
  <c r="H87" i="1"/>
  <c r="H183" i="1"/>
  <c r="H175" i="1"/>
  <c r="H167" i="1"/>
  <c r="H159" i="1"/>
  <c r="H151" i="1"/>
  <c r="H136" i="1"/>
  <c r="H128" i="1"/>
  <c r="H120" i="1"/>
  <c r="H112" i="1"/>
  <c r="H104" i="1"/>
  <c r="H97" i="1"/>
  <c r="H85" i="1"/>
  <c r="H77" i="1"/>
  <c r="H69" i="1"/>
  <c r="H61" i="1"/>
  <c r="H52" i="1"/>
  <c r="H44" i="1"/>
  <c r="H36" i="1"/>
  <c r="H28" i="1"/>
  <c r="H21" i="1"/>
  <c r="H176" i="1"/>
  <c r="H168" i="1"/>
  <c r="H160" i="1"/>
  <c r="H152" i="1"/>
  <c r="H144" i="1"/>
  <c r="H137" i="1"/>
  <c r="H129" i="1"/>
  <c r="H121" i="1"/>
  <c r="H113" i="1"/>
  <c r="H105" i="1"/>
  <c r="H98" i="1"/>
  <c r="H90" i="1"/>
  <c r="H82" i="1"/>
  <c r="H74" i="1"/>
  <c r="E10" i="2" s="1"/>
  <c r="H66" i="1"/>
  <c r="H58" i="1"/>
  <c r="H51" i="1"/>
  <c r="H43" i="1"/>
  <c r="H35" i="1"/>
  <c r="H27" i="1"/>
  <c r="H18" i="1"/>
  <c r="H165" i="1"/>
  <c r="H149" i="1"/>
  <c r="H134" i="1"/>
  <c r="H118" i="1"/>
  <c r="H102" i="1"/>
  <c r="H83" i="1"/>
  <c r="H67" i="1"/>
  <c r="H59" i="1"/>
  <c r="H42" i="1"/>
  <c r="H26" i="1"/>
  <c r="H182" i="1"/>
  <c r="H150" i="1"/>
  <c r="H135" i="1"/>
  <c r="H127" i="1"/>
  <c r="H111" i="1"/>
  <c r="H96" i="1"/>
  <c r="H80" i="1"/>
  <c r="H64" i="1"/>
  <c r="H41" i="1"/>
  <c r="H24" i="1"/>
  <c r="H141" i="1"/>
  <c r="H125" i="1"/>
  <c r="H101" i="1"/>
  <c r="H78" i="1"/>
  <c r="H62" i="1"/>
  <c r="H39" i="1"/>
  <c r="H22" i="1"/>
  <c r="H17" i="1"/>
  <c r="H187" i="1"/>
  <c r="H179" i="1"/>
  <c r="H171" i="1"/>
  <c r="H163" i="1"/>
  <c r="H155" i="1"/>
  <c r="H147" i="1"/>
  <c r="H140" i="1"/>
  <c r="H132" i="1"/>
  <c r="H124" i="1"/>
  <c r="H116" i="1"/>
  <c r="H108" i="1"/>
  <c r="H100" i="1"/>
  <c r="H93" i="1"/>
  <c r="H81" i="1"/>
  <c r="H73" i="1"/>
  <c r="H65" i="1"/>
  <c r="H56" i="1"/>
  <c r="H48" i="1"/>
  <c r="H40" i="1"/>
  <c r="H32" i="1"/>
  <c r="H25" i="1"/>
  <c r="H188" i="1"/>
  <c r="H180" i="1"/>
  <c r="H172" i="1"/>
  <c r="H164" i="1"/>
  <c r="H156" i="1"/>
  <c r="H133" i="1"/>
  <c r="H117" i="1"/>
  <c r="H94" i="1"/>
  <c r="H70" i="1"/>
  <c r="H47" i="1"/>
  <c r="H31" i="1"/>
  <c r="H185" i="1"/>
  <c r="H177" i="1"/>
  <c r="H169" i="1"/>
  <c r="H161" i="1"/>
  <c r="H153" i="1"/>
  <c r="H145" i="1"/>
  <c r="H138" i="1"/>
  <c r="H130" i="1"/>
  <c r="H122" i="1"/>
  <c r="H114" i="1"/>
  <c r="H106" i="1"/>
  <c r="H99" i="1"/>
  <c r="H89" i="1"/>
  <c r="H79" i="1"/>
  <c r="H71" i="1"/>
  <c r="H63" i="1"/>
  <c r="H54" i="1"/>
  <c r="H46" i="1"/>
  <c r="H38" i="1"/>
  <c r="H30" i="1"/>
  <c r="H23" i="1"/>
  <c r="H178" i="1"/>
  <c r="H170" i="1"/>
  <c r="H162" i="1"/>
  <c r="H154" i="1"/>
  <c r="H146" i="1"/>
  <c r="H139" i="1"/>
  <c r="H131" i="1"/>
  <c r="H123" i="1"/>
  <c r="H115" i="1"/>
  <c r="H107" i="1"/>
  <c r="H92" i="1"/>
  <c r="H84" i="1"/>
  <c r="H76" i="1"/>
  <c r="H68" i="1"/>
  <c r="H60" i="1"/>
  <c r="H53" i="1"/>
  <c r="H45" i="1"/>
  <c r="H37" i="1"/>
  <c r="H29" i="1"/>
  <c r="H20" i="1"/>
  <c r="H181" i="1"/>
  <c r="H173" i="1"/>
  <c r="H157" i="1"/>
  <c r="H142" i="1"/>
  <c r="H126" i="1"/>
  <c r="H110" i="1"/>
  <c r="H95" i="1"/>
  <c r="H75" i="1"/>
  <c r="H50" i="1"/>
  <c r="H34" i="1"/>
  <c r="H19" i="1"/>
  <c r="H174" i="1"/>
  <c r="H158" i="1"/>
  <c r="H143" i="1"/>
  <c r="H119" i="1"/>
  <c r="H103" i="1"/>
  <c r="H88" i="1"/>
  <c r="H72" i="1"/>
  <c r="H49" i="1"/>
  <c r="H33" i="1"/>
  <c r="H148" i="1"/>
  <c r="H109" i="1"/>
  <c r="H86" i="1"/>
  <c r="H55" i="1"/>
  <c r="D10" i="1"/>
  <c r="J10" i="1" s="1"/>
  <c r="D9" i="1"/>
  <c r="D11" i="2" l="1"/>
  <c r="K10" i="1"/>
  <c r="C15" i="2"/>
  <c r="C11" i="2"/>
  <c r="J9" i="1"/>
  <c r="K9" i="1" s="1"/>
  <c r="E11" i="2"/>
  <c r="C27" i="2"/>
  <c r="D27" i="2"/>
  <c r="D26" i="2"/>
  <c r="C17" i="2"/>
  <c r="E24" i="2"/>
  <c r="E23" i="2"/>
  <c r="C13" i="2"/>
  <c r="E21" i="2"/>
  <c r="E27" i="2"/>
  <c r="E20" i="2"/>
  <c r="E14" i="2"/>
  <c r="E13" i="2"/>
  <c r="E19" i="2"/>
  <c r="E28" i="2"/>
  <c r="C22" i="2"/>
  <c r="C25" i="2"/>
  <c r="E16" i="2"/>
  <c r="E12" i="2"/>
  <c r="E18" i="2"/>
  <c r="E22" i="2"/>
  <c r="C21" i="2"/>
  <c r="C20" i="2"/>
  <c r="E15" i="2"/>
  <c r="H191" i="1"/>
  <c r="C14" i="2"/>
  <c r="C26" i="2"/>
  <c r="D12" i="2"/>
  <c r="C12" i="2"/>
  <c r="E8" i="2"/>
  <c r="E9" i="2"/>
  <c r="D20" i="2"/>
  <c r="E17" i="2"/>
  <c r="E25" i="2"/>
  <c r="E26" i="2"/>
  <c r="C9" i="2"/>
  <c r="C18" i="2"/>
  <c r="C24" i="2"/>
  <c r="D14" i="2"/>
  <c r="C23" i="2"/>
  <c r="D23" i="2"/>
  <c r="D21" i="2"/>
  <c r="C19" i="2"/>
  <c r="C8" i="2"/>
  <c r="C16" i="2"/>
  <c r="D22" i="2"/>
  <c r="C28" i="2"/>
  <c r="C10" i="2"/>
  <c r="D8" i="2"/>
  <c r="D28" i="2"/>
  <c r="D17" i="2"/>
  <c r="D13" i="2"/>
  <c r="D9" i="2"/>
  <c r="D16" i="2"/>
  <c r="D25" i="2"/>
  <c r="D24" i="2"/>
  <c r="D19" i="2"/>
  <c r="D18" i="2"/>
  <c r="D15" i="2"/>
  <c r="D10" i="2"/>
  <c r="D12" i="1"/>
  <c r="F26" i="2" l="1"/>
  <c r="C21" i="7" s="1"/>
  <c r="F11" i="2"/>
  <c r="C6" i="7" s="1"/>
  <c r="F27" i="2"/>
  <c r="C22" i="7" s="1"/>
  <c r="F22" i="2"/>
  <c r="C17" i="7" s="1"/>
  <c r="F23" i="2"/>
  <c r="C18" i="7" s="1"/>
  <c r="F24" i="2"/>
  <c r="C19" i="7" s="1"/>
  <c r="F18" i="2"/>
  <c r="C13" i="7" s="1"/>
  <c r="F12" i="2"/>
  <c r="C7" i="7" s="1"/>
  <c r="F15" i="2"/>
  <c r="C10" i="7" s="1"/>
  <c r="E29" i="2"/>
  <c r="F14" i="2"/>
  <c r="C9" i="7" s="1"/>
  <c r="F21" i="2"/>
  <c r="C16" i="7" s="1"/>
  <c r="F9" i="2"/>
  <c r="C4" i="7" s="1"/>
  <c r="F13" i="2"/>
  <c r="C8" i="7" s="1"/>
  <c r="F20" i="2"/>
  <c r="C15" i="7" s="1"/>
  <c r="D29" i="2"/>
  <c r="F16" i="2"/>
  <c r="C11" i="7" s="1"/>
  <c r="F25" i="2"/>
  <c r="C20" i="7" s="1"/>
  <c r="F28" i="2"/>
  <c r="C23" i="7" s="1"/>
  <c r="F8" i="2"/>
  <c r="C3" i="7" s="1"/>
  <c r="F10" i="2"/>
  <c r="C5" i="7" s="1"/>
  <c r="C29" i="2"/>
  <c r="F17" i="2"/>
  <c r="C12" i="7" s="1"/>
  <c r="F19" i="2"/>
  <c r="C14" i="7" s="1"/>
  <c r="C24" i="7" l="1"/>
  <c r="AH30" i="6" s="1"/>
  <c r="F29" i="2"/>
</calcChain>
</file>

<file path=xl/comments1.xml><?xml version="1.0" encoding="utf-8"?>
<comments xmlns="http://schemas.openxmlformats.org/spreadsheetml/2006/main">
  <authors>
    <author>Okes, Jennifer</author>
  </authors>
  <commentList>
    <comment ref="D6" authorId="0" shapeId="0">
      <text>
        <r>
          <rPr>
            <b/>
            <sz val="9"/>
            <color indexed="81"/>
            <rFont val="Tahoma"/>
            <family val="2"/>
          </rPr>
          <t>Okes, Jennifer:</t>
        </r>
        <r>
          <rPr>
            <sz val="9"/>
            <color indexed="81"/>
            <rFont val="Tahoma"/>
            <family val="2"/>
          </rPr>
          <t xml:space="preserve">
CDE Share in FY2019-20 was $184,277.  This was increased by $3,419 for Salary Survey and $583 for and SB18-200.  Therefore the CDE Share for FY19-20 is $188,279.</t>
        </r>
      </text>
    </comment>
  </commentList>
</comments>
</file>

<file path=xl/sharedStrings.xml><?xml version="1.0" encoding="utf-8"?>
<sst xmlns="http://schemas.openxmlformats.org/spreadsheetml/2006/main" count="1403" uniqueCount="625">
  <si>
    <t>Code</t>
  </si>
  <si>
    <t>County</t>
  </si>
  <si>
    <t>District</t>
  </si>
  <si>
    <t>0010</t>
  </si>
  <si>
    <t>ADAMS</t>
  </si>
  <si>
    <t>MAPLETON 1</t>
  </si>
  <si>
    <t>0020</t>
  </si>
  <si>
    <t>0030</t>
  </si>
  <si>
    <t>COMMERCE CITY 14</t>
  </si>
  <si>
    <t>0040</t>
  </si>
  <si>
    <t>BRIGHTON 27J</t>
  </si>
  <si>
    <t>0050</t>
  </si>
  <si>
    <t>BENNETT 29J</t>
  </si>
  <si>
    <t>0060</t>
  </si>
  <si>
    <t>STRASBURG 31J</t>
  </si>
  <si>
    <t>0070</t>
  </si>
  <si>
    <t>WESTMINSTER 50</t>
  </si>
  <si>
    <t>0100</t>
  </si>
  <si>
    <t>ALAMOSA</t>
  </si>
  <si>
    <t>ALAMOSA 11J</t>
  </si>
  <si>
    <t>0110</t>
  </si>
  <si>
    <t>SANGRE DECRISTO 22J</t>
  </si>
  <si>
    <t>0120</t>
  </si>
  <si>
    <t>ARAPAHOE</t>
  </si>
  <si>
    <t>ENGLEWOOD 1</t>
  </si>
  <si>
    <t>0123</t>
  </si>
  <si>
    <t>SHERIDAN 2</t>
  </si>
  <si>
    <t>0130</t>
  </si>
  <si>
    <t>CHERRY CREEK 5</t>
  </si>
  <si>
    <t>0140</t>
  </si>
  <si>
    <t>LITTLETON 6</t>
  </si>
  <si>
    <t>0170</t>
  </si>
  <si>
    <t>DEER TRAIL 26J</t>
  </si>
  <si>
    <t>0180</t>
  </si>
  <si>
    <t>AURORA 28J</t>
  </si>
  <si>
    <t>0190</t>
  </si>
  <si>
    <t>BYERS 32J</t>
  </si>
  <si>
    <t>0220</t>
  </si>
  <si>
    <t>ARCHULETA</t>
  </si>
  <si>
    <t>ARCHULETA 50J</t>
  </si>
  <si>
    <t>0230</t>
  </si>
  <si>
    <t>BACA</t>
  </si>
  <si>
    <t>WALSH RE-1</t>
  </si>
  <si>
    <t>0240</t>
  </si>
  <si>
    <t>PRITCHETT RE-3</t>
  </si>
  <si>
    <t>0250</t>
  </si>
  <si>
    <t>SPRINGFIELD RE-4</t>
  </si>
  <si>
    <t>0260</t>
  </si>
  <si>
    <t>VILAS RE-5</t>
  </si>
  <si>
    <t>0270</t>
  </si>
  <si>
    <t>CAMPO RE-6</t>
  </si>
  <si>
    <t>0290</t>
  </si>
  <si>
    <t>BENT</t>
  </si>
  <si>
    <t>LAS ANIMAS RE-1</t>
  </si>
  <si>
    <t>0310</t>
  </si>
  <si>
    <t>MCCLAVE RE-2</t>
  </si>
  <si>
    <t>0470</t>
  </si>
  <si>
    <t>BOULDER</t>
  </si>
  <si>
    <t>ST VRAIN RE-1J</t>
  </si>
  <si>
    <t>0480</t>
  </si>
  <si>
    <t>BOULDER RE-2</t>
  </si>
  <si>
    <t>0490</t>
  </si>
  <si>
    <t>CHAFFEE</t>
  </si>
  <si>
    <t>BUENA VISTA R-31</t>
  </si>
  <si>
    <t>0500</t>
  </si>
  <si>
    <t>SALIDA R-32J</t>
  </si>
  <si>
    <t>0510</t>
  </si>
  <si>
    <t>CHEYENNE</t>
  </si>
  <si>
    <t>KIT CARSON R-1</t>
  </si>
  <si>
    <t>0520</t>
  </si>
  <si>
    <t>CHEYENNE R-5 RE-5</t>
  </si>
  <si>
    <t>0540</t>
  </si>
  <si>
    <t>CLEAR CREEK</t>
  </si>
  <si>
    <t>CLEAR CREEK RE-1</t>
  </si>
  <si>
    <t>0550</t>
  </si>
  <si>
    <t>CONEJOS</t>
  </si>
  <si>
    <t>NORTH CONEJOS RE-1J</t>
  </si>
  <si>
    <t>0560</t>
  </si>
  <si>
    <t>SANFORD 6J</t>
  </si>
  <si>
    <t>0580</t>
  </si>
  <si>
    <t>SOUTH CONEJOS RE-10</t>
  </si>
  <si>
    <t>0640</t>
  </si>
  <si>
    <t>COSTILLA</t>
  </si>
  <si>
    <t>CENTENNIAL R-1</t>
  </si>
  <si>
    <t>0740</t>
  </si>
  <si>
    <t>SIERRA GRANDE R-30</t>
  </si>
  <si>
    <t>0770</t>
  </si>
  <si>
    <t>CROWLEY</t>
  </si>
  <si>
    <t>CROWLEY RE-1J</t>
  </si>
  <si>
    <t>0860</t>
  </si>
  <si>
    <t>CUSTER</t>
  </si>
  <si>
    <t>WESTCLIFFE C-1</t>
  </si>
  <si>
    <t>0870</t>
  </si>
  <si>
    <t>DELTA</t>
  </si>
  <si>
    <t>DELTA 50J</t>
  </si>
  <si>
    <t>0880</t>
  </si>
  <si>
    <t>DENVER</t>
  </si>
  <si>
    <t>DENVER 1</t>
  </si>
  <si>
    <t>0890</t>
  </si>
  <si>
    <t>DOLORES</t>
  </si>
  <si>
    <t>DOLORES RE-1</t>
  </si>
  <si>
    <t>0900</t>
  </si>
  <si>
    <t>DOUGLAS</t>
  </si>
  <si>
    <t>DOUGLAS RE-1J</t>
  </si>
  <si>
    <t>0910</t>
  </si>
  <si>
    <t>EAGLE</t>
  </si>
  <si>
    <t>EAGLE RE-50J</t>
  </si>
  <si>
    <t>0920</t>
  </si>
  <si>
    <t>ELBERT</t>
  </si>
  <si>
    <t>ELIZABETH C-1</t>
  </si>
  <si>
    <t>0930</t>
  </si>
  <si>
    <t>KIOWA C-2</t>
  </si>
  <si>
    <t>0940</t>
  </si>
  <si>
    <t>BIG SANDY 100J</t>
  </si>
  <si>
    <t>0950</t>
  </si>
  <si>
    <t>ELBERT 200</t>
  </si>
  <si>
    <t>0960</t>
  </si>
  <si>
    <t>AGATE 300</t>
  </si>
  <si>
    <t>0970</t>
  </si>
  <si>
    <t>EL PASO</t>
  </si>
  <si>
    <t>CALHAN RJ-1</t>
  </si>
  <si>
    <t>0980</t>
  </si>
  <si>
    <t>HARRISON 2</t>
  </si>
  <si>
    <t>0990</t>
  </si>
  <si>
    <t>WIDEFIELD 3</t>
  </si>
  <si>
    <t>1000</t>
  </si>
  <si>
    <t>FOUNTAIN 8</t>
  </si>
  <si>
    <t>1010</t>
  </si>
  <si>
    <t>COLORADO SPRINGS 11</t>
  </si>
  <si>
    <t>1020</t>
  </si>
  <si>
    <t>CHEYENNE MOUNTAIN 12</t>
  </si>
  <si>
    <t>1030</t>
  </si>
  <si>
    <t>MANITOU SPRINGS 14</t>
  </si>
  <si>
    <t>1040</t>
  </si>
  <si>
    <t>ACADEMY 20</t>
  </si>
  <si>
    <t>1050</t>
  </si>
  <si>
    <t>ELLICOTT 22</t>
  </si>
  <si>
    <t>1060</t>
  </si>
  <si>
    <t>PEYTON 23JT</t>
  </si>
  <si>
    <t>1070</t>
  </si>
  <si>
    <t>HANOVER 28</t>
  </si>
  <si>
    <t>1080</t>
  </si>
  <si>
    <t>LEWIS-PALMER 38</t>
  </si>
  <si>
    <t>1110</t>
  </si>
  <si>
    <t>FALCON 49</t>
  </si>
  <si>
    <t>1120</t>
  </si>
  <si>
    <t>EDISON 54JT</t>
  </si>
  <si>
    <t>1130</t>
  </si>
  <si>
    <t>MIAMI-YODER 60JT</t>
  </si>
  <si>
    <t>1140</t>
  </si>
  <si>
    <t>FREMONT</t>
  </si>
  <si>
    <t>CANON CITY RE-1</t>
  </si>
  <si>
    <t>1150</t>
  </si>
  <si>
    <t>1160</t>
  </si>
  <si>
    <t>COTOPAXI R-3</t>
  </si>
  <si>
    <t>1180</t>
  </si>
  <si>
    <t>GARFIELD</t>
  </si>
  <si>
    <t>ROARING FORK RE-1</t>
  </si>
  <si>
    <t>1195</t>
  </si>
  <si>
    <t>GARFIELD COUNTY RE-2</t>
  </si>
  <si>
    <t>1220</t>
  </si>
  <si>
    <t>GARFIELD COUNTY 16</t>
  </si>
  <si>
    <t>1330</t>
  </si>
  <si>
    <t>GILPIN</t>
  </si>
  <si>
    <t>GILPIN RE-1</t>
  </si>
  <si>
    <t>1340</t>
  </si>
  <si>
    <t>GRAND</t>
  </si>
  <si>
    <t>WEST GRAND 1</t>
  </si>
  <si>
    <t>1350</t>
  </si>
  <si>
    <t>EAST GRAND 2</t>
  </si>
  <si>
    <t>1360</t>
  </si>
  <si>
    <t>GUNNISON</t>
  </si>
  <si>
    <t>GUNNISON RE-1J</t>
  </si>
  <si>
    <t>1380</t>
  </si>
  <si>
    <t>HINSDALE</t>
  </si>
  <si>
    <t>HINSDALE RE-1</t>
  </si>
  <si>
    <t>1390</t>
  </si>
  <si>
    <t>HUERFANO</t>
  </si>
  <si>
    <t>HUERFANO RE-1</t>
  </si>
  <si>
    <t>1400</t>
  </si>
  <si>
    <t>LA VETA RE-2</t>
  </si>
  <si>
    <t>1410</t>
  </si>
  <si>
    <t>JACKSON</t>
  </si>
  <si>
    <t>NORTH PARK R-1</t>
  </si>
  <si>
    <t>1420</t>
  </si>
  <si>
    <t>JEFFERSON</t>
  </si>
  <si>
    <t>JEFFERSON R-1</t>
  </si>
  <si>
    <t>1430</t>
  </si>
  <si>
    <t>KIOWA</t>
  </si>
  <si>
    <t>EADS RE-1</t>
  </si>
  <si>
    <t>1440</t>
  </si>
  <si>
    <t>PLAINVIEW RE-2</t>
  </si>
  <si>
    <t>1450</t>
  </si>
  <si>
    <t>KIT CARSON</t>
  </si>
  <si>
    <t>ARRIBA/FLAGLER C-20</t>
  </si>
  <si>
    <t>1460</t>
  </si>
  <si>
    <t>HI PLAINS R-23</t>
  </si>
  <si>
    <t>1480</t>
  </si>
  <si>
    <t>STRATTON R-4</t>
  </si>
  <si>
    <t>1490</t>
  </si>
  <si>
    <t>BETHUNE R-5</t>
  </si>
  <si>
    <t>1500</t>
  </si>
  <si>
    <t>BURLINGTON R-6J</t>
  </si>
  <si>
    <t>1510</t>
  </si>
  <si>
    <t>LAKE</t>
  </si>
  <si>
    <t>LAKE R-1</t>
  </si>
  <si>
    <t>1520</t>
  </si>
  <si>
    <t>LA PLATA</t>
  </si>
  <si>
    <t>DURANGO 9R</t>
  </si>
  <si>
    <t>1530</t>
  </si>
  <si>
    <t>BAYFIELD 10J</t>
  </si>
  <si>
    <t>1540</t>
  </si>
  <si>
    <t>IGNACIO 11J</t>
  </si>
  <si>
    <t>1550</t>
  </si>
  <si>
    <t>LARIMER</t>
  </si>
  <si>
    <t>POUDRE R-1</t>
  </si>
  <si>
    <t>1560</t>
  </si>
  <si>
    <t>THOMPSON R-2J</t>
  </si>
  <si>
    <t>1570</t>
  </si>
  <si>
    <t>ESTES PRK R-3</t>
  </si>
  <si>
    <t>1580</t>
  </si>
  <si>
    <t>LAS ANIMAS</t>
  </si>
  <si>
    <t>TRINIDAD 1</t>
  </si>
  <si>
    <t>1590</t>
  </si>
  <si>
    <t>PRIMERO 2</t>
  </si>
  <si>
    <t>1600</t>
  </si>
  <si>
    <t>HOEHNE 3</t>
  </si>
  <si>
    <t>1620</t>
  </si>
  <si>
    <t>AGUILAR 6</t>
  </si>
  <si>
    <t>1750</t>
  </si>
  <si>
    <t>BRANSON 82</t>
  </si>
  <si>
    <t>1760</t>
  </si>
  <si>
    <t>KIM 88</t>
  </si>
  <si>
    <t>1780</t>
  </si>
  <si>
    <t>LINCOLN</t>
  </si>
  <si>
    <t>1790</t>
  </si>
  <si>
    <t>LIMON RE-4J</t>
  </si>
  <si>
    <t>1810</t>
  </si>
  <si>
    <t>KARVAL RE-23</t>
  </si>
  <si>
    <t>1828</t>
  </si>
  <si>
    <t>LOGAN</t>
  </si>
  <si>
    <t>VALLEY RE-1</t>
  </si>
  <si>
    <t>1850</t>
  </si>
  <si>
    <t>FRENCHMAN RE-3</t>
  </si>
  <si>
    <t>1860</t>
  </si>
  <si>
    <t>BUFFALO RE-4J</t>
  </si>
  <si>
    <t>1870</t>
  </si>
  <si>
    <t>PLATEAU RE-5</t>
  </si>
  <si>
    <t>1980</t>
  </si>
  <si>
    <t>MESA</t>
  </si>
  <si>
    <t>DEBEQUE 49JT</t>
  </si>
  <si>
    <t>1990</t>
  </si>
  <si>
    <t>PLATEAU 50</t>
  </si>
  <si>
    <t>2000</t>
  </si>
  <si>
    <t>MESA VALLEY 51</t>
  </si>
  <si>
    <t>2010</t>
  </si>
  <si>
    <t>MINERAL</t>
  </si>
  <si>
    <t>CREEDE 1</t>
  </si>
  <si>
    <t>2020</t>
  </si>
  <si>
    <t>MOFFAT</t>
  </si>
  <si>
    <t>MOFFAT RE-1</t>
  </si>
  <si>
    <t>2035</t>
  </si>
  <si>
    <t>MONTEZUMA</t>
  </si>
  <si>
    <t>MONTEZUMA RE-1</t>
  </si>
  <si>
    <t>2055</t>
  </si>
  <si>
    <t xml:space="preserve">MONTEZUMA </t>
  </si>
  <si>
    <t>DOLORES RE-4A</t>
  </si>
  <si>
    <t>2070</t>
  </si>
  <si>
    <t>MANCOS RE-6</t>
  </si>
  <si>
    <t>2180</t>
  </si>
  <si>
    <t>MONTROSE</t>
  </si>
  <si>
    <t>MONTROSE RE-1J</t>
  </si>
  <si>
    <t>2190</t>
  </si>
  <si>
    <t>WEST END RE-2</t>
  </si>
  <si>
    <t>2395</t>
  </si>
  <si>
    <t>MORGAN</t>
  </si>
  <si>
    <t>BRUSH RE-2J</t>
  </si>
  <si>
    <t>2405</t>
  </si>
  <si>
    <t>FT MORGAN RE-3</t>
  </si>
  <si>
    <t>2505</t>
  </si>
  <si>
    <t>WELDON RE-20J</t>
  </si>
  <si>
    <t>2515</t>
  </si>
  <si>
    <t>WIGGINS RE-50J</t>
  </si>
  <si>
    <t>2520</t>
  </si>
  <si>
    <t>OTERO</t>
  </si>
  <si>
    <t>EAST OTERO R-1</t>
  </si>
  <si>
    <t>2530</t>
  </si>
  <si>
    <t>ROCKY FORD R-2</t>
  </si>
  <si>
    <t>2535</t>
  </si>
  <si>
    <t>MANZANOLA 3J</t>
  </si>
  <si>
    <t>2540</t>
  </si>
  <si>
    <t>FOWLER R-4J</t>
  </si>
  <si>
    <t>2560</t>
  </si>
  <si>
    <t>CHERAW 31</t>
  </si>
  <si>
    <t>2570</t>
  </si>
  <si>
    <t>SWINK 33</t>
  </si>
  <si>
    <t>2580</t>
  </si>
  <si>
    <t>OURAY</t>
  </si>
  <si>
    <t>OURAY R-1</t>
  </si>
  <si>
    <t>2590</t>
  </si>
  <si>
    <t>RIDGWAY R-2</t>
  </si>
  <si>
    <t>2600</t>
  </si>
  <si>
    <t>PARK</t>
  </si>
  <si>
    <t>PLATTE CANYON 1</t>
  </si>
  <si>
    <t>2610</t>
  </si>
  <si>
    <t>PARK RE-2</t>
  </si>
  <si>
    <t>2620</t>
  </si>
  <si>
    <t>PHILLIPS</t>
  </si>
  <si>
    <t>HOLYOKE RE-1J</t>
  </si>
  <si>
    <t>2630</t>
  </si>
  <si>
    <t>HAXTUN RE-2J</t>
  </si>
  <si>
    <t>2640</t>
  </si>
  <si>
    <t>PITKIN</t>
  </si>
  <si>
    <t>ASPEN 1</t>
  </si>
  <si>
    <t>2650</t>
  </si>
  <si>
    <t>PROWERS</t>
  </si>
  <si>
    <t>GRANADA RE-1</t>
  </si>
  <si>
    <t>2660</t>
  </si>
  <si>
    <t>LAMAR RE-2</t>
  </si>
  <si>
    <t>2670</t>
  </si>
  <si>
    <t>HOLLY RE-3</t>
  </si>
  <si>
    <t>2680</t>
  </si>
  <si>
    <t>WILEY RE-13J</t>
  </si>
  <si>
    <t>2690</t>
  </si>
  <si>
    <t>PUEBLO</t>
  </si>
  <si>
    <t>PUEBLO CITY 60</t>
  </si>
  <si>
    <t>2700</t>
  </si>
  <si>
    <t>PUEBLO RURAL 70</t>
  </si>
  <si>
    <t>2710</t>
  </si>
  <si>
    <t>RIO BLANCO</t>
  </si>
  <si>
    <t>MEEKER RE-1</t>
  </si>
  <si>
    <t>2720</t>
  </si>
  <si>
    <t>RANGELY RE-4</t>
  </si>
  <si>
    <t>2730</t>
  </si>
  <si>
    <t>RIO GRANDE</t>
  </si>
  <si>
    <t>DEL NORTE C-7</t>
  </si>
  <si>
    <t>2740</t>
  </si>
  <si>
    <t>MONTE VISTA C-8</t>
  </si>
  <si>
    <t>2750</t>
  </si>
  <si>
    <t>SARGENT RE-33J</t>
  </si>
  <si>
    <t>2760</t>
  </si>
  <si>
    <t>ROUTT</t>
  </si>
  <si>
    <t>HAYDEN RE-1</t>
  </si>
  <si>
    <t>2770</t>
  </si>
  <si>
    <t>STEAMBOAT SPRINGS RE-2</t>
  </si>
  <si>
    <t>2780</t>
  </si>
  <si>
    <t>SOUTH ROUTT RE-3J</t>
  </si>
  <si>
    <t>2790</t>
  </si>
  <si>
    <t>SAGUACHE</t>
  </si>
  <si>
    <t>MTN VALLEY RE-1</t>
  </si>
  <si>
    <t>2800</t>
  </si>
  <si>
    <t>MOFFAT 2</t>
  </si>
  <si>
    <t>2810</t>
  </si>
  <si>
    <t>CENTER 26J</t>
  </si>
  <si>
    <t>2820</t>
  </si>
  <si>
    <t>SAN JUAN</t>
  </si>
  <si>
    <t>SILVERTON 1</t>
  </si>
  <si>
    <t>2830</t>
  </si>
  <si>
    <t>SAN MIGUEL</t>
  </si>
  <si>
    <t>TELLURIDE R-1</t>
  </si>
  <si>
    <t>2840</t>
  </si>
  <si>
    <t>NORWOOD RE-2J</t>
  </si>
  <si>
    <t>2862</t>
  </si>
  <si>
    <t>SEDGWICK</t>
  </si>
  <si>
    <t>JULESBURG RE-1</t>
  </si>
  <si>
    <t>2865</t>
  </si>
  <si>
    <t>PLATTE VLY RE-3</t>
  </si>
  <si>
    <t>3000</t>
  </si>
  <si>
    <t>SUMMIT</t>
  </si>
  <si>
    <t>SUMMIT RE-1</t>
  </si>
  <si>
    <t>3010</t>
  </si>
  <si>
    <t>TELLER</t>
  </si>
  <si>
    <t>CRIPPLE CREEK RE-1</t>
  </si>
  <si>
    <t>3020</t>
  </si>
  <si>
    <t>WOODLAND PARK RE-2</t>
  </si>
  <si>
    <t>3030</t>
  </si>
  <si>
    <t>WASHINGTON</t>
  </si>
  <si>
    <t>AKRON R-1</t>
  </si>
  <si>
    <t>3040</t>
  </si>
  <si>
    <t>ARICKAREE R-2</t>
  </si>
  <si>
    <t>3050</t>
  </si>
  <si>
    <t>OTIS R-3</t>
  </si>
  <si>
    <t>3060</t>
  </si>
  <si>
    <t>LONE STAR 101</t>
  </si>
  <si>
    <t>3070</t>
  </si>
  <si>
    <t>WOODLIN R-104</t>
  </si>
  <si>
    <t>3080</t>
  </si>
  <si>
    <t>WELD</t>
  </si>
  <si>
    <t>GILCREST RE-1</t>
  </si>
  <si>
    <t>3085</t>
  </si>
  <si>
    <t>EATON RE-2</t>
  </si>
  <si>
    <t>3090</t>
  </si>
  <si>
    <t>KEENESBURG RE-3J</t>
  </si>
  <si>
    <t>3100</t>
  </si>
  <si>
    <t>WINDSOR RE-4</t>
  </si>
  <si>
    <t>3110</t>
  </si>
  <si>
    <t>JOHNSTOWN RE-5J</t>
  </si>
  <si>
    <t>3120</t>
  </si>
  <si>
    <t>GREELEY 6</t>
  </si>
  <si>
    <t>3130</t>
  </si>
  <si>
    <t>PLATTE VLY RE-7</t>
  </si>
  <si>
    <t>3140</t>
  </si>
  <si>
    <t>FORT LUPTON RE-8</t>
  </si>
  <si>
    <t>3145</t>
  </si>
  <si>
    <t>AULT-HGHLND RE-9</t>
  </si>
  <si>
    <t>3146</t>
  </si>
  <si>
    <t>BRIGGSDALE RE-10J</t>
  </si>
  <si>
    <t>3147</t>
  </si>
  <si>
    <t>PRAIRIE RE-11J</t>
  </si>
  <si>
    <t>3148</t>
  </si>
  <si>
    <t>PAWNEE RE-12</t>
  </si>
  <si>
    <t>3200</t>
  </si>
  <si>
    <t>YUMA</t>
  </si>
  <si>
    <t>YUMA 1</t>
  </si>
  <si>
    <t>3210</t>
  </si>
  <si>
    <t>WRAY RD-2</t>
  </si>
  <si>
    <t>3220</t>
  </si>
  <si>
    <t>IDALIA RJ-3</t>
  </si>
  <si>
    <t>3230</t>
  </si>
  <si>
    <t>LIBERTY J-4</t>
  </si>
  <si>
    <t>FREMONT RE-2</t>
  </si>
  <si>
    <t>ADAMS 12 FIVE STAR</t>
  </si>
  <si>
    <t>GENOA-HUGO C-113</t>
  </si>
  <si>
    <t>Amount to Allocate</t>
  </si>
  <si>
    <t>First Allocation-45%</t>
  </si>
  <si>
    <t>Second Allocation-45%</t>
  </si>
  <si>
    <t>Third Allocation-10%</t>
  </si>
  <si>
    <t>Centennial BOCES</t>
  </si>
  <si>
    <t>Adams County BOCES</t>
  </si>
  <si>
    <t>East Central BOCES</t>
  </si>
  <si>
    <t>Expeditionary BOCES</t>
  </si>
  <si>
    <t>Front Range BOCES</t>
  </si>
  <si>
    <t>Grand Valley BOCES</t>
  </si>
  <si>
    <t>Mt. Evans BOCES</t>
  </si>
  <si>
    <t>Mountain BOCES</t>
  </si>
  <si>
    <t>Northeast BOCES</t>
  </si>
  <si>
    <t>Northwest BOCES</t>
  </si>
  <si>
    <t>Pikes Peak BOCES</t>
  </si>
  <si>
    <t>Rio Blanco BOCES</t>
  </si>
  <si>
    <t>San Juan BOCES</t>
  </si>
  <si>
    <t>Santa Fe Trail BOCES</t>
  </si>
  <si>
    <t>South Central BOCES</t>
  </si>
  <si>
    <t>Southeastern BOCES</t>
  </si>
  <si>
    <t>Uncompahgre BOCES</t>
  </si>
  <si>
    <t>Ute Pass BOCES</t>
  </si>
  <si>
    <t>San Luis Valley BOCES</t>
  </si>
  <si>
    <t xml:space="preserve">CDE Share 22-5-122(5)(a) </t>
  </si>
  <si>
    <t>Total</t>
  </si>
  <si>
    <t>Member Districts</t>
  </si>
  <si>
    <t>Total BOCES</t>
  </si>
  <si>
    <t>%</t>
  </si>
  <si>
    <t>Charter School Institute</t>
  </si>
  <si>
    <t>District Funded Pupil Count</t>
  </si>
  <si>
    <t>CSI Funded Pupil Count</t>
  </si>
  <si>
    <t>8001</t>
  </si>
  <si>
    <t>BOCES</t>
  </si>
  <si>
    <t>Third Allocation - Per Pupil</t>
  </si>
  <si>
    <t>Second Allocation - Member Districts in BOCES</t>
  </si>
  <si>
    <t>First Allocation - Number of BOCES</t>
  </si>
  <si>
    <t>Final Association</t>
  </si>
  <si>
    <t xml:space="preserve">*Every district is assigned to only one BOCES.  </t>
  </si>
  <si>
    <t>*Per the MOU between the Adams County and Front Range BOCES, Front Range will receive the full allocation for both BOCES.</t>
  </si>
  <si>
    <t>Non-Participating Districts</t>
  </si>
  <si>
    <t>NOTES</t>
  </si>
  <si>
    <t>Equally distribute forty-five percent to the BOCES that submit plans pursuant to subsection (1) of this section</t>
  </si>
  <si>
    <t>Distribute forty-five percent based on the total number of member school districts of the participating BOCES and nonmember school districts that participate with the BOCES as detailed in a memorandum of understanding entered into pursuant to subsection (3) of this section; and</t>
  </si>
  <si>
    <t>Distribute ten percent based on the total number of students enrolled in the member school districts of the participating BOCES and enrolled in the nonmember school districts that participate with the BOCES as detailed in a memorandum of understanding entered into pursuant to subsection (3) of this section.</t>
  </si>
  <si>
    <t>STATE</t>
  </si>
  <si>
    <t>TOTALS</t>
  </si>
  <si>
    <t>FC10</t>
  </si>
  <si>
    <t>FC11</t>
  </si>
  <si>
    <t>Funded Pupil Counts are found in J:PSFARUNS</t>
  </si>
  <si>
    <t>District Funded Pupil Count:  FC 10</t>
  </si>
  <si>
    <t>CSI Funded Pupil Count:  FC 11</t>
  </si>
  <si>
    <t>Colorado Revised Statute</t>
  </si>
  <si>
    <t>C.R.S. 22-5-122</t>
  </si>
  <si>
    <t>C.C.R. 301-89</t>
  </si>
  <si>
    <t>SOURCES</t>
  </si>
  <si>
    <t>Code of Colorado Regulations</t>
  </si>
  <si>
    <t>CDE Budget Request</t>
  </si>
  <si>
    <t>Colorado Digital BOCES</t>
  </si>
  <si>
    <t>Draft allocation amount found in Budget Request / Final allocation amount found in Long Bill + Supplemental</t>
  </si>
  <si>
    <t>CDE-110 (Revised 12/98)</t>
  </si>
  <si>
    <t>Signature</t>
  </si>
  <si>
    <t>Date</t>
  </si>
  <si>
    <t>CDE EXECUTIVE APPROVAL:</t>
  </si>
  <si>
    <t>I certify statements made herein are true and just in all respects and that I have documents on file which detail the amount listed above.</t>
  </si>
  <si>
    <t>PROGRAM SUPERVISOR'S CERTIFICATION:</t>
  </si>
  <si>
    <t>RETURN WARRANT(S) TO UNIT</t>
  </si>
  <si>
    <t>Address</t>
  </si>
  <si>
    <t>$</t>
  </si>
  <si>
    <t>Amount</t>
  </si>
  <si>
    <t>Name</t>
  </si>
  <si>
    <t>SINGLE PAYEE:</t>
  </si>
  <si>
    <t>Total Amount</t>
  </si>
  <si>
    <t xml:space="preserve">  Payees per attached</t>
  </si>
  <si>
    <t>MULTIPLE PAYEES:</t>
  </si>
  <si>
    <t>Additional Description</t>
  </si>
  <si>
    <t>or</t>
  </si>
  <si>
    <t>Grant/Project</t>
  </si>
  <si>
    <t>Abbreviation</t>
  </si>
  <si>
    <t>Standard Chart of Accounts Coding:</t>
  </si>
  <si>
    <t>Other</t>
  </si>
  <si>
    <t>State</t>
  </si>
  <si>
    <t>)</t>
  </si>
  <si>
    <t>Federal   (CFDA No.</t>
  </si>
  <si>
    <t>Source of Funds:</t>
  </si>
  <si>
    <t>Program Title</t>
  </si>
  <si>
    <t>DESCRIPTION:</t>
  </si>
  <si>
    <t>ACCOUNT/PROJECT:</t>
  </si>
  <si>
    <t>Approval for Payment</t>
  </si>
  <si>
    <t>SUBJECT:</t>
  </si>
  <si>
    <t>FROM:</t>
  </si>
  <si>
    <t>Accounting Unit</t>
  </si>
  <si>
    <t>TO:</t>
  </si>
  <si>
    <t>MEMORANDUM</t>
  </si>
  <si>
    <t>COLORADO DEPARTMENT OF EDUCATION</t>
  </si>
  <si>
    <t>Implementing State Education Priorities</t>
  </si>
  <si>
    <t>XX</t>
  </si>
  <si>
    <t>3</t>
  </si>
  <si>
    <t>2</t>
  </si>
  <si>
    <t>0</t>
  </si>
  <si>
    <t>4</t>
  </si>
  <si>
    <t>See Attached Listing of BOCES</t>
  </si>
  <si>
    <t>CODE</t>
  </si>
  <si>
    <t xml:space="preserve">Less:  CDE Share 22-5-122(5)(a) </t>
  </si>
  <si>
    <t>Source   J:\PSFU\PSFARUNS</t>
  </si>
  <si>
    <t>SUM</t>
  </si>
  <si>
    <t>ADAMS 12 FIVE STAR SCHOOLS</t>
  </si>
  <si>
    <t>ADAMS COUNTY 14</t>
  </si>
  <si>
    <t>SCHOOL DISTRICT 27J</t>
  </si>
  <si>
    <t>ALAMOSA RE-11J</t>
  </si>
  <si>
    <t>SANGRE DE CRISTO RE-22J</t>
  </si>
  <si>
    <t>ADAMS-ARAPAHOE 28J</t>
  </si>
  <si>
    <t>ARCHULETA COUNTY 50 JT</t>
  </si>
  <si>
    <t>MC CLAVE RE-2</t>
  </si>
  <si>
    <t>ST VRAIN VALLEY RE 1J</t>
  </si>
  <si>
    <t>BOULDER VALLEY RE 2</t>
  </si>
  <si>
    <t>SALIDA R-32</t>
  </si>
  <si>
    <t>CHEYENNE COUNTY RE-5</t>
  </si>
  <si>
    <t>CROWLEY COUNTY RE-1-J</t>
  </si>
  <si>
    <t>CUSTER COUNTY SCHOOL DISTRICT C-1</t>
  </si>
  <si>
    <t>DELTA COUNTY 50(J)</t>
  </si>
  <si>
    <t>DENVER COUNTY 1</t>
  </si>
  <si>
    <t>DOLORES COUNTY RE NO.2</t>
  </si>
  <si>
    <t>DOUGLAS COUNTY RE 1</t>
  </si>
  <si>
    <t>EAGLE COUNTY RE 50</t>
  </si>
  <si>
    <t>PEYTON 23 JT</t>
  </si>
  <si>
    <t>EDISON 54 JT</t>
  </si>
  <si>
    <t>MIAMI/YODER 60 JT</t>
  </si>
  <si>
    <t>COTOPAXI RE-3</t>
  </si>
  <si>
    <t>GARFIELD RE-2</t>
  </si>
  <si>
    <t>GARFIELD 16</t>
  </si>
  <si>
    <t>GILPIN COUNTY RE-1</t>
  </si>
  <si>
    <t>WEST GRAND 1-JT</t>
  </si>
  <si>
    <t>GUNNISON WATERSHED RE1J</t>
  </si>
  <si>
    <t>HINSDALE COUNTY RE 1</t>
  </si>
  <si>
    <t xml:space="preserve">NORTH PARK R-1 </t>
  </si>
  <si>
    <t>JEFFERSON COUNTY R-1</t>
  </si>
  <si>
    <t>ARRIBA-FLAGLER C-20</t>
  </si>
  <si>
    <t>HI-PLAINS R-23</t>
  </si>
  <si>
    <t>BURLINGTON RE-6J</t>
  </si>
  <si>
    <t>LAKE COUNTY R-1</t>
  </si>
  <si>
    <t>DURANGO 9-R</t>
  </si>
  <si>
    <t>BAYFIELD 10 JT-R</t>
  </si>
  <si>
    <t>IGNACIO 11 JT</t>
  </si>
  <si>
    <t>THOMPSON R2-J</t>
  </si>
  <si>
    <t>ESTES PARK R-3</t>
  </si>
  <si>
    <t>PRIMERO REORGANIZED 2</t>
  </si>
  <si>
    <t>HOEHNE REORGANIZED 3</t>
  </si>
  <si>
    <t>AGUILAR REORGANIZED 6</t>
  </si>
  <si>
    <t>BRANSON REORGANIZED 82</t>
  </si>
  <si>
    <t>KIM REORGANIZED 88</t>
  </si>
  <si>
    <t>GENOA-HUGO C113</t>
  </si>
  <si>
    <t>DE BEQUE 49JT</t>
  </si>
  <si>
    <t>PLATEAU VALLEY 50</t>
  </si>
  <si>
    <t>MESA COUNTY VALLEY 51</t>
  </si>
  <si>
    <t>CREEDE SCHOOL DISTRICT</t>
  </si>
  <si>
    <t>MOFFAT COUNTY RE:NO 1</t>
  </si>
  <si>
    <t>MONTEZUMA-CORTEZ RE-1</t>
  </si>
  <si>
    <t>MONTROSE COUNTY RE-1J</t>
  </si>
  <si>
    <t>BRUSH RE-2(J)</t>
  </si>
  <si>
    <t>FORT MORGAN RE-3</t>
  </si>
  <si>
    <t>WELDON VALLEY RE-20(J)</t>
  </si>
  <si>
    <t>WIGGINS RE-50(J)</t>
  </si>
  <si>
    <t>PARK COUNTY RE-2</t>
  </si>
  <si>
    <t>WILEY RE-13 JT</t>
  </si>
  <si>
    <t>PUEBLO COUNTY 70</t>
  </si>
  <si>
    <t>MEEKER RE1</t>
  </si>
  <si>
    <t>SOUTH ROUTT RE 3</t>
  </si>
  <si>
    <t>MOUNTAIN VALLEY RE 1</t>
  </si>
  <si>
    <t>CENTER 26 JT</t>
  </si>
  <si>
    <t>NORWOOD R-2J</t>
  </si>
  <si>
    <t>REVERE SCHOOL DISTRICT</t>
  </si>
  <si>
    <t>CRIPPLE CREEK-VICTOR RE-1</t>
  </si>
  <si>
    <t>WELD COUNTY RE-1</t>
  </si>
  <si>
    <t>WELD COUNTY SCHOOL DISTRICT RE-3J</t>
  </si>
  <si>
    <t>JOHNSTOWN-MILLIKEN RE-5J</t>
  </si>
  <si>
    <t>PLATTE VALLEY RE-7</t>
  </si>
  <si>
    <t>WELD COUNTY S/D RE-8</t>
  </si>
  <si>
    <t>AULT-HIGHLAND RE-9</t>
  </si>
  <si>
    <t>BRIGGSDALE RE-10</t>
  </si>
  <si>
    <t>PRAIRIE RE-11</t>
  </si>
  <si>
    <t>CHARTER SCHOOL INSTITUTE</t>
  </si>
  <si>
    <t xml:space="preserve">4400  /  DCCFJE290  /  1140   </t>
  </si>
  <si>
    <t>School Finance and Operations</t>
  </si>
  <si>
    <t>These allocations are based on the following assumptions:</t>
  </si>
  <si>
    <t>Colorado River BOCES</t>
  </si>
  <si>
    <t>*Every district is participating in a BOCES as a member or non-member as outlined in the application except for Aspen 1, Durango, Elizabeth C-1 and Sheridan 2</t>
  </si>
  <si>
    <t>DISTRICT FUNDED PUPIL COUNT</t>
  </si>
  <si>
    <t>CHARTER INSTUTUTE PUPIL COUNT</t>
  </si>
  <si>
    <t>Funded Pupil Count:  FC10 + FC 11</t>
  </si>
  <si>
    <t xml:space="preserve">The department may retain up to one hundred twenty thousand dollars annually for the purpose of funding a departmental liaison for rural school districts and up to fifty thousand dollars annually for the purpose of funding the department's ongoing support of a council created by the commissioner of education that advises the commissioner and the department regarding the needs and concerns of rural school districts. </t>
  </si>
  <si>
    <t xml:space="preserve">Based upon agreement with JBC staff, the amount retained for the department is annually adjusted through the "Option 8" calculation to incorporate Salary Survey and Merit Pay increases into the base appropriations.  </t>
  </si>
  <si>
    <t>3204 BOCES Implementing State Education Priorities Allocation</t>
  </si>
  <si>
    <t>FY2020-21 Budget Request</t>
  </si>
  <si>
    <t>FY2020 Funded Pupil Count</t>
  </si>
  <si>
    <t>based on FY2020-21 request, will be updated when Long Bill is Finalized</t>
  </si>
  <si>
    <t>http://leg.colorado.gov/sites/default/files/fy2020-21_edufig.pdf  Page 166</t>
  </si>
  <si>
    <t>DRAFT ALLOCATION - FY 2020-21</t>
  </si>
  <si>
    <t>DRAFT
Amount Allocated
 2020-2021</t>
  </si>
  <si>
    <t>*Districts Funded Pupil Count from October 2019 is the basis for the per pupil allocation.  Adjustments are made to those districts with CSI schools.</t>
  </si>
  <si>
    <t>Total to be paid 
to each BOCES
 2020-21</t>
  </si>
  <si>
    <t>7/13/2020</t>
  </si>
  <si>
    <t>Colorado ReEnvisioned BOCES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</si>
</sst>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0.0_);\(#,##0.0\)"/>
    <numFmt numFmtId="165" formatCode="#,##0.0_);[Red]\(#,##0.0\)"/>
    <numFmt numFmtId="166" formatCode="#,##0.0"/>
    <numFmt numFmtId="167" formatCode="_(* #,##0.0_);_(* \(#,##0.0\);_(* &quot;-&quot;??_);_(@_)"/>
    <numFmt numFmtId="168" formatCode="#,##0.0000_);[Red]\(#,##0.0000\)"/>
    <numFmt numFmtId="169" formatCode="#,##0.000000_);[Red]\(#,##0.000000\)"/>
    <numFmt numFmtId="170" formatCode="#,##0.00000_);[Red]\(#,##0.00000\)"/>
    <numFmt numFmtId="171" formatCode="_(* #,##0_);_(* \(#,##0\);_(* &quot;-&quot;??_);_(@_)"/>
    <numFmt numFmtId="172" formatCode="_(* #,##0.000_);_(* \(#,##0.000\);_(* &quot;-&quot;??_);_(@_)"/>
  </numFmts>
  <fonts count="18" x14ac:knownFonts="1">
    <font>
      <sz val="10"/>
      <name val="Arial"/>
    </font>
    <font>
      <sz val="11"/>
      <color theme="1"/>
      <name val="Calibri"/>
      <family val="2"/>
      <scheme val="minor"/>
    </font>
    <font>
      <sz val="10"/>
      <name val="Arial"/>
      <family val="2"/>
    </font>
    <font>
      <sz val="10"/>
      <name val="Arial"/>
      <family val="2"/>
    </font>
    <font>
      <sz val="10"/>
      <name val="Arial"/>
      <family val="2"/>
    </font>
    <font>
      <b/>
      <sz val="10"/>
      <name val="Arial"/>
      <family val="2"/>
    </font>
    <font>
      <b/>
      <sz val="12"/>
      <name val="Arial"/>
      <family val="2"/>
    </font>
    <font>
      <sz val="10"/>
      <color rgb="FFFF0000"/>
      <name val="Arial"/>
      <family val="2"/>
    </font>
    <font>
      <u/>
      <sz val="10"/>
      <color theme="10"/>
      <name val="Arial"/>
      <family val="2"/>
    </font>
    <font>
      <sz val="7.5"/>
      <name val="Arial"/>
      <family val="2"/>
    </font>
    <font>
      <b/>
      <sz val="12"/>
      <name val="Calibri"/>
      <family val="2"/>
      <scheme val="minor"/>
    </font>
    <font>
      <sz val="12"/>
      <name val="Calibri"/>
      <family val="2"/>
      <scheme val="minor"/>
    </font>
    <font>
      <sz val="10"/>
      <name val="Calibri"/>
      <family val="2"/>
      <scheme val="minor"/>
    </font>
    <font>
      <sz val="12"/>
      <name val="Arial"/>
      <family val="2"/>
    </font>
    <font>
      <b/>
      <sz val="10"/>
      <name val="Calibri"/>
      <family val="2"/>
      <scheme val="minor"/>
    </font>
    <font>
      <sz val="11"/>
      <color theme="1"/>
      <name val="Calibri"/>
      <family val="2"/>
    </font>
    <font>
      <sz val="9"/>
      <color indexed="81"/>
      <name val="Tahoma"/>
      <family val="2"/>
    </font>
    <font>
      <b/>
      <sz val="9"/>
      <color indexed="81"/>
      <name val="Tahoma"/>
      <family val="2"/>
    </font>
  </fonts>
  <fills count="3">
    <fill>
      <patternFill patternType="none"/>
    </fill>
    <fill>
      <patternFill patternType="gray125"/>
    </fill>
    <fill>
      <patternFill patternType="solid">
        <fgColor theme="3" tint="0.79998168889431442"/>
        <bgColor indexed="64"/>
      </patternFill>
    </fill>
  </fills>
  <borders count="17">
    <border>
      <left/>
      <right/>
      <top/>
      <bottom/>
      <diagonal/>
    </border>
    <border>
      <left/>
      <right/>
      <top/>
      <bottom style="thin">
        <color indexed="64"/>
      </bottom>
      <diagonal/>
    </border>
    <border>
      <left style="medium">
        <color indexed="64"/>
      </left>
      <right/>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s>
  <cellStyleXfs count="10">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8" fillId="0" borderId="0" applyNumberFormat="0" applyFill="0" applyBorder="0" applyAlignment="0" applyProtection="0"/>
    <xf numFmtId="40" fontId="13" fillId="0" borderId="0"/>
    <xf numFmtId="3" fontId="2" fillId="0" borderId="0" applyFont="0" applyFill="0" applyBorder="0" applyAlignment="0" applyProtection="0"/>
    <xf numFmtId="0" fontId="1" fillId="0" borderId="0"/>
    <xf numFmtId="0" fontId="15" fillId="0" borderId="0"/>
    <xf numFmtId="40" fontId="13" fillId="0" borderId="0"/>
  </cellStyleXfs>
  <cellXfs count="153">
    <xf numFmtId="0" fontId="0" fillId="0" borderId="0" xfId="0"/>
    <xf numFmtId="0" fontId="0" fillId="0" borderId="0" xfId="0" applyAlignment="1">
      <alignment horizontal="center"/>
    </xf>
    <xf numFmtId="0" fontId="0" fillId="0" borderId="0" xfId="0" applyAlignment="1">
      <alignment horizontal="left"/>
    </xf>
    <xf numFmtId="0" fontId="3" fillId="0" borderId="0" xfId="0" applyNumberFormat="1" applyFont="1" applyFill="1"/>
    <xf numFmtId="40" fontId="0" fillId="0" borderId="0" xfId="0" applyNumberFormat="1" applyFill="1" applyAlignment="1" applyProtection="1">
      <alignment horizontal="left"/>
    </xf>
    <xf numFmtId="0" fontId="0" fillId="0" borderId="0" xfId="0" applyBorder="1"/>
    <xf numFmtId="0" fontId="0" fillId="0" borderId="3" xfId="0" applyBorder="1"/>
    <xf numFmtId="0" fontId="0" fillId="0" borderId="4" xfId="0" applyBorder="1"/>
    <xf numFmtId="0" fontId="2" fillId="0" borderId="0" xfId="0" applyFont="1" applyBorder="1"/>
    <xf numFmtId="43" fontId="0" fillId="0" borderId="0" xfId="0" applyNumberFormat="1" applyBorder="1"/>
    <xf numFmtId="0" fontId="2" fillId="0" borderId="0" xfId="0" applyFont="1"/>
    <xf numFmtId="0" fontId="2" fillId="0" borderId="0" xfId="0" applyFont="1" applyAlignment="1">
      <alignment horizontal="center"/>
    </xf>
    <xf numFmtId="44" fontId="0" fillId="0" borderId="0" xfId="2" applyFont="1"/>
    <xf numFmtId="0" fontId="0" fillId="0" borderId="11" xfId="0" applyBorder="1"/>
    <xf numFmtId="164" fontId="3" fillId="0" borderId="0" xfId="0" applyNumberFormat="1" applyFont="1" applyFill="1" applyAlignment="1" applyProtection="1">
      <alignment horizontal="left"/>
    </xf>
    <xf numFmtId="0" fontId="3" fillId="0" borderId="0" xfId="0" applyFont="1" applyFill="1"/>
    <xf numFmtId="0" fontId="0" fillId="0" borderId="0" xfId="0" applyFill="1"/>
    <xf numFmtId="0" fontId="2" fillId="0" borderId="0" xfId="0" applyFont="1" applyFill="1"/>
    <xf numFmtId="164" fontId="2" fillId="0" borderId="0" xfId="0" applyNumberFormat="1" applyFont="1" applyFill="1" applyAlignment="1" applyProtection="1">
      <alignment horizontal="left"/>
    </xf>
    <xf numFmtId="0" fontId="3" fillId="0" borderId="0" xfId="0" quotePrefix="1" applyNumberFormat="1" applyFont="1" applyFill="1"/>
    <xf numFmtId="0" fontId="2" fillId="0" borderId="0" xfId="0" quotePrefix="1" applyNumberFormat="1" applyFont="1" applyFill="1"/>
    <xf numFmtId="0" fontId="0" fillId="0" borderId="0" xfId="0" applyAlignment="1">
      <alignment horizontal="center" wrapText="1"/>
    </xf>
    <xf numFmtId="0" fontId="2" fillId="0" borderId="15" xfId="0" applyFont="1" applyBorder="1"/>
    <xf numFmtId="0" fontId="0" fillId="0" borderId="15" xfId="0" applyBorder="1" applyAlignment="1">
      <alignment horizontal="center"/>
    </xf>
    <xf numFmtId="44" fontId="0" fillId="0" borderId="15" xfId="2" applyFont="1" applyBorder="1"/>
    <xf numFmtId="0" fontId="5" fillId="0" borderId="0" xfId="0" applyFont="1"/>
    <xf numFmtId="0" fontId="5" fillId="0" borderId="0" xfId="0" applyFont="1" applyAlignment="1">
      <alignment horizontal="center" wrapText="1"/>
    </xf>
    <xf numFmtId="0" fontId="5" fillId="0" borderId="4" xfId="0" applyFont="1" applyBorder="1" applyAlignment="1">
      <alignment horizontal="center" wrapText="1"/>
    </xf>
    <xf numFmtId="43" fontId="0" fillId="0" borderId="16" xfId="0" applyNumberFormat="1" applyBorder="1"/>
    <xf numFmtId="0" fontId="0" fillId="0" borderId="15" xfId="0" applyFill="1" applyBorder="1"/>
    <xf numFmtId="164" fontId="2" fillId="0" borderId="15" xfId="0" applyNumberFormat="1" applyFont="1" applyFill="1" applyBorder="1" applyAlignment="1" applyProtection="1">
      <alignment horizontal="left"/>
    </xf>
    <xf numFmtId="0" fontId="6" fillId="0" borderId="0" xfId="0" applyFont="1"/>
    <xf numFmtId="0" fontId="7" fillId="0" borderId="0" xfId="0" applyFont="1" applyFill="1"/>
    <xf numFmtId="44" fontId="0" fillId="0" borderId="0" xfId="2" applyFont="1" applyFill="1"/>
    <xf numFmtId="44" fontId="0" fillId="0" borderId="15" xfId="2" applyFont="1" applyFill="1" applyBorder="1"/>
    <xf numFmtId="0" fontId="0" fillId="0" borderId="12" xfId="0" applyFill="1" applyBorder="1" applyAlignment="1">
      <alignment horizontal="center"/>
    </xf>
    <xf numFmtId="43" fontId="4" fillId="0" borderId="5" xfId="1" applyFont="1" applyFill="1" applyBorder="1" applyAlignment="1">
      <alignment horizontal="right"/>
    </xf>
    <xf numFmtId="43" fontId="4" fillId="0" borderId="14" xfId="1" applyFont="1" applyFill="1" applyBorder="1"/>
    <xf numFmtId="0" fontId="5" fillId="0" borderId="0" xfId="0" applyFont="1" applyFill="1"/>
    <xf numFmtId="0" fontId="5" fillId="0" borderId="0" xfId="0" applyFont="1" applyAlignment="1">
      <alignment horizontal="left"/>
    </xf>
    <xf numFmtId="0" fontId="2" fillId="0" borderId="0" xfId="0" applyFont="1" applyAlignment="1">
      <alignment horizontal="left"/>
    </xf>
    <xf numFmtId="0" fontId="8" fillId="0" borderId="0" xfId="4"/>
    <xf numFmtId="0" fontId="8" fillId="0" borderId="0" xfId="4" applyAlignment="1">
      <alignment vertical="top"/>
    </xf>
    <xf numFmtId="0" fontId="5" fillId="0" borderId="0" xfId="0" applyFont="1" applyBorder="1" applyAlignment="1">
      <alignment horizontal="center" wrapText="1"/>
    </xf>
    <xf numFmtId="0" fontId="2" fillId="0" borderId="0" xfId="0" applyFont="1" applyAlignment="1">
      <alignment horizontal="left" vertical="top" wrapText="1"/>
    </xf>
    <xf numFmtId="43" fontId="0" fillId="0" borderId="6" xfId="0" quotePrefix="1" applyNumberFormat="1" applyBorder="1"/>
    <xf numFmtId="49" fontId="0" fillId="0" borderId="0" xfId="0" applyNumberFormat="1"/>
    <xf numFmtId="49" fontId="0" fillId="0" borderId="1" xfId="0" applyNumberFormat="1" applyBorder="1"/>
    <xf numFmtId="0" fontId="10" fillId="0" borderId="4" xfId="0" applyFont="1" applyBorder="1" applyAlignment="1">
      <alignment horizontal="center" wrapText="1"/>
    </xf>
    <xf numFmtId="0" fontId="11" fillId="0" borderId="0" xfId="0" applyFont="1" applyAlignment="1">
      <alignment horizontal="center" wrapText="1"/>
    </xf>
    <xf numFmtId="0" fontId="11" fillId="0" borderId="0" xfId="0" applyFont="1" applyAlignment="1">
      <alignment horizontal="center"/>
    </xf>
    <xf numFmtId="0" fontId="11" fillId="0" borderId="0" xfId="0" applyFont="1"/>
    <xf numFmtId="44" fontId="11" fillId="0" borderId="0" xfId="2" applyFont="1"/>
    <xf numFmtId="0" fontId="10" fillId="0" borderId="15" xfId="0" applyFont="1" applyBorder="1" applyAlignment="1">
      <alignment horizontal="center"/>
    </xf>
    <xf numFmtId="0" fontId="10" fillId="0" borderId="15" xfId="0" applyFont="1" applyBorder="1"/>
    <xf numFmtId="44" fontId="10" fillId="0" borderId="15" xfId="2" applyFont="1" applyBorder="1"/>
    <xf numFmtId="0" fontId="12" fillId="0" borderId="0" xfId="0" applyFont="1" applyFill="1" applyAlignment="1">
      <alignment horizontal="left"/>
    </xf>
    <xf numFmtId="168" fontId="12" fillId="0" borderId="0" xfId="5" applyNumberFormat="1" applyFont="1" applyFill="1" applyAlignment="1" applyProtection="1">
      <alignment horizontal="left" wrapText="1"/>
    </xf>
    <xf numFmtId="40" fontId="12" fillId="0" borderId="0" xfId="5" applyFont="1" applyFill="1" applyAlignment="1" applyProtection="1">
      <alignment horizontal="left" wrapText="1"/>
    </xf>
    <xf numFmtId="40" fontId="12" fillId="0" borderId="0" xfId="5" applyFont="1" applyFill="1" applyAlignment="1" applyProtection="1">
      <alignment horizontal="left"/>
    </xf>
    <xf numFmtId="167" fontId="12" fillId="0" borderId="0" xfId="0" applyNumberFormat="1" applyFont="1" applyFill="1" applyAlignment="1">
      <alignment horizontal="left"/>
    </xf>
    <xf numFmtId="164" fontId="12" fillId="0" borderId="0" xfId="5" applyNumberFormat="1" applyFont="1" applyFill="1" applyAlignment="1" applyProtection="1">
      <alignment horizontal="left"/>
    </xf>
    <xf numFmtId="167" fontId="12" fillId="0" borderId="0" xfId="1" applyNumberFormat="1" applyFont="1" applyFill="1" applyAlignment="1">
      <alignment horizontal="right"/>
    </xf>
    <xf numFmtId="169" fontId="12" fillId="0" borderId="0" xfId="5" applyNumberFormat="1" applyFont="1" applyFill="1" applyAlignment="1" applyProtection="1">
      <alignment horizontal="left"/>
    </xf>
    <xf numFmtId="40" fontId="14" fillId="0" borderId="0" xfId="5" applyFont="1" applyFill="1" applyAlignment="1" applyProtection="1">
      <alignment horizontal="left"/>
    </xf>
    <xf numFmtId="40" fontId="12" fillId="0" borderId="0" xfId="5" applyNumberFormat="1" applyFont="1" applyFill="1" applyAlignment="1" applyProtection="1">
      <alignment horizontal="left"/>
    </xf>
    <xf numFmtId="3" fontId="12" fillId="0" borderId="0" xfId="5" applyNumberFormat="1" applyFont="1" applyFill="1" applyAlignment="1" applyProtection="1">
      <alignment horizontal="left"/>
    </xf>
    <xf numFmtId="37" fontId="12" fillId="0" borderId="0" xfId="5" applyNumberFormat="1" applyFont="1" applyFill="1" applyAlignment="1" applyProtection="1">
      <alignment horizontal="left"/>
    </xf>
    <xf numFmtId="40" fontId="12" fillId="0" borderId="0" xfId="5" applyFont="1" applyFill="1" applyAlignment="1">
      <alignment horizontal="left"/>
    </xf>
    <xf numFmtId="170" fontId="12" fillId="0" borderId="0" xfId="5" applyNumberFormat="1" applyFont="1" applyFill="1" applyAlignment="1" applyProtection="1">
      <alignment horizontal="left"/>
    </xf>
    <xf numFmtId="43" fontId="0" fillId="0" borderId="0" xfId="0" applyNumberFormat="1"/>
    <xf numFmtId="171" fontId="0" fillId="0" borderId="0" xfId="1" applyNumberFormat="1" applyFont="1"/>
    <xf numFmtId="172" fontId="0" fillId="0" borderId="0" xfId="0" applyNumberFormat="1" applyBorder="1"/>
    <xf numFmtId="167" fontId="12" fillId="2" borderId="0" xfId="1" applyNumberFormat="1" applyFont="1" applyFill="1" applyAlignment="1" applyProtection="1">
      <alignment horizontal="right"/>
    </xf>
    <xf numFmtId="167" fontId="12" fillId="2" borderId="0" xfId="1" applyNumberFormat="1" applyFont="1" applyFill="1" applyAlignment="1" applyProtection="1">
      <alignment horizontal="right" wrapText="1"/>
    </xf>
    <xf numFmtId="167" fontId="12" fillId="2" borderId="0" xfId="1" applyNumberFormat="1" applyFont="1" applyFill="1" applyAlignment="1">
      <alignment horizontal="right"/>
    </xf>
    <xf numFmtId="0" fontId="0" fillId="2" borderId="0" xfId="0" applyFill="1"/>
    <xf numFmtId="0" fontId="0" fillId="2" borderId="0" xfId="0" applyFill="1" applyAlignment="1">
      <alignment horizontal="right"/>
    </xf>
    <xf numFmtId="0" fontId="0" fillId="2" borderId="0" xfId="0" applyFill="1" applyBorder="1"/>
    <xf numFmtId="43" fontId="2" fillId="2" borderId="0" xfId="1" applyFont="1" applyFill="1" applyBorder="1" applyAlignment="1">
      <alignment horizontal="left"/>
    </xf>
    <xf numFmtId="43" fontId="4" fillId="2" borderId="0" xfId="1" applyFont="1" applyFill="1" applyBorder="1"/>
    <xf numFmtId="43" fontId="0" fillId="2" borderId="0" xfId="0" applyNumberFormat="1" applyFill="1" applyBorder="1"/>
    <xf numFmtId="0" fontId="0" fillId="2" borderId="0" xfId="0" applyFill="1" applyBorder="1" applyAlignment="1">
      <alignment horizontal="right"/>
    </xf>
    <xf numFmtId="0" fontId="5" fillId="2" borderId="0" xfId="0" applyFont="1" applyFill="1" applyAlignment="1">
      <alignment horizontal="center"/>
    </xf>
    <xf numFmtId="0" fontId="5" fillId="2" borderId="4" xfId="0" applyFont="1" applyFill="1" applyBorder="1" applyAlignment="1">
      <alignment horizontal="center" wrapText="1"/>
    </xf>
    <xf numFmtId="0" fontId="0" fillId="2" borderId="0" xfId="0" applyFill="1" applyAlignment="1">
      <alignment horizontal="left"/>
    </xf>
    <xf numFmtId="166" fontId="3" fillId="2" borderId="0" xfId="0" applyNumberFormat="1" applyFont="1" applyFill="1" applyAlignment="1" applyProtection="1"/>
    <xf numFmtId="164" fontId="0" fillId="2" borderId="0" xfId="0" applyNumberFormat="1" applyFill="1"/>
    <xf numFmtId="167" fontId="0" fillId="2" borderId="0" xfId="0" applyNumberFormat="1" applyFill="1" applyAlignment="1" applyProtection="1">
      <alignment horizontal="right"/>
    </xf>
    <xf numFmtId="44" fontId="0" fillId="2" borderId="0" xfId="2" applyFont="1" applyFill="1"/>
    <xf numFmtId="0" fontId="2" fillId="2" borderId="0" xfId="0" applyFont="1" applyFill="1"/>
    <xf numFmtId="166" fontId="0" fillId="2" borderId="0" xfId="0" applyNumberFormat="1" applyFill="1" applyAlignment="1" applyProtection="1"/>
    <xf numFmtId="166" fontId="2" fillId="2" borderId="0" xfId="0" applyNumberFormat="1" applyFont="1" applyFill="1" applyAlignment="1" applyProtection="1"/>
    <xf numFmtId="164" fontId="2" fillId="2" borderId="0" xfId="0" applyNumberFormat="1" applyFont="1" applyFill="1" applyAlignment="1" applyProtection="1">
      <alignment horizontal="left"/>
    </xf>
    <xf numFmtId="165" fontId="0" fillId="2" borderId="0" xfId="0" applyNumberFormat="1" applyFill="1" applyAlignment="1" applyProtection="1">
      <alignment horizontal="right"/>
    </xf>
    <xf numFmtId="165" fontId="0" fillId="2" borderId="15" xfId="0" applyNumberFormat="1" applyFill="1" applyBorder="1" applyAlignment="1">
      <alignment horizontal="right"/>
    </xf>
    <xf numFmtId="44" fontId="0" fillId="2" borderId="15" xfId="2" applyFont="1" applyFill="1" applyBorder="1"/>
    <xf numFmtId="0" fontId="2" fillId="0" borderId="0" xfId="0" applyFont="1" applyFill="1" applyAlignment="1">
      <alignment horizontal="right"/>
    </xf>
    <xf numFmtId="44" fontId="2" fillId="0" borderId="0" xfId="2" applyFont="1" applyFill="1"/>
    <xf numFmtId="43" fontId="2" fillId="0" borderId="0" xfId="0" applyNumberFormat="1" applyFont="1" applyFill="1" applyAlignment="1">
      <alignment horizontal="right"/>
    </xf>
    <xf numFmtId="43" fontId="4" fillId="2" borderId="5" xfId="1" applyFont="1" applyFill="1" applyBorder="1" applyAlignment="1">
      <alignment horizontal="right"/>
    </xf>
    <xf numFmtId="0" fontId="0" fillId="2" borderId="3" xfId="0" applyFill="1" applyBorder="1"/>
    <xf numFmtId="43" fontId="0" fillId="2" borderId="6" xfId="0" quotePrefix="1" applyNumberFormat="1" applyFill="1" applyBorder="1"/>
    <xf numFmtId="0" fontId="0" fillId="2" borderId="1" xfId="0" applyFill="1" applyBorder="1"/>
    <xf numFmtId="43" fontId="4" fillId="2" borderId="14" xfId="1" applyFont="1" applyFill="1" applyBorder="1"/>
    <xf numFmtId="0" fontId="0" fillId="2" borderId="4" xfId="0" applyFill="1" applyBorder="1"/>
    <xf numFmtId="43" fontId="0" fillId="2" borderId="16" xfId="0" applyNumberFormat="1" applyFill="1" applyBorder="1"/>
    <xf numFmtId="9" fontId="4" fillId="2" borderId="3" xfId="3" applyFont="1" applyFill="1" applyBorder="1"/>
    <xf numFmtId="43" fontId="0" fillId="2" borderId="5" xfId="0" applyNumberFormat="1" applyFill="1" applyBorder="1"/>
    <xf numFmtId="9" fontId="4" fillId="2" borderId="0" xfId="3" applyFont="1" applyFill="1" applyBorder="1"/>
    <xf numFmtId="43" fontId="0" fillId="2" borderId="6" xfId="0" applyNumberFormat="1" applyFill="1" applyBorder="1"/>
    <xf numFmtId="9" fontId="4" fillId="2" borderId="1" xfId="3" applyFont="1" applyFill="1" applyBorder="1"/>
    <xf numFmtId="43" fontId="0" fillId="2" borderId="14" xfId="0" applyNumberFormat="1" applyFill="1" applyBorder="1"/>
    <xf numFmtId="43" fontId="0" fillId="2" borderId="13" xfId="0" applyNumberFormat="1" applyFill="1" applyBorder="1"/>
    <xf numFmtId="0" fontId="8" fillId="0" borderId="0" xfId="4" applyAlignment="1">
      <alignment vertical="center"/>
    </xf>
    <xf numFmtId="0" fontId="2" fillId="0" borderId="0" xfId="0" applyFont="1" applyAlignment="1">
      <alignment horizontal="left" wrapText="1"/>
    </xf>
    <xf numFmtId="0" fontId="0" fillId="0" borderId="0" xfId="0" applyAlignment="1">
      <alignment horizontal="left" wrapText="1"/>
    </xf>
    <xf numFmtId="0" fontId="2" fillId="2" borderId="8" xfId="0" applyFont="1" applyFill="1" applyBorder="1"/>
    <xf numFmtId="0" fontId="0" fillId="2" borderId="9" xfId="0" applyFill="1" applyBorder="1"/>
    <xf numFmtId="0" fontId="2" fillId="2" borderId="7" xfId="0" applyFont="1" applyFill="1" applyBorder="1" applyAlignment="1">
      <alignment wrapText="1"/>
    </xf>
    <xf numFmtId="0" fontId="2" fillId="2" borderId="1" xfId="0" applyFont="1" applyFill="1" applyBorder="1" applyAlignment="1">
      <alignment wrapText="1"/>
    </xf>
    <xf numFmtId="0" fontId="2" fillId="2" borderId="10" xfId="0" applyFont="1" applyFill="1" applyBorder="1" applyAlignment="1">
      <alignment horizontal="left"/>
    </xf>
    <xf numFmtId="0" fontId="0" fillId="2" borderId="3" xfId="0" applyFill="1" applyBorder="1" applyAlignment="1">
      <alignment horizontal="left"/>
    </xf>
    <xf numFmtId="0" fontId="2" fillId="2" borderId="7" xfId="0" applyFont="1" applyFill="1" applyBorder="1"/>
    <xf numFmtId="0" fontId="0" fillId="2" borderId="1" xfId="0" applyFill="1" applyBorder="1"/>
    <xf numFmtId="0" fontId="2" fillId="2" borderId="10" xfId="0" applyFont="1" applyFill="1" applyBorder="1" applyAlignment="1">
      <alignment horizontal="left" wrapText="1"/>
    </xf>
    <xf numFmtId="0" fontId="2" fillId="2" borderId="3" xfId="0" applyFont="1" applyFill="1" applyBorder="1" applyAlignment="1">
      <alignment horizontal="left" wrapText="1"/>
    </xf>
    <xf numFmtId="0" fontId="2" fillId="2" borderId="2" xfId="0" applyFont="1" applyFill="1" applyBorder="1" applyAlignment="1">
      <alignment horizontal="left" wrapText="1"/>
    </xf>
    <xf numFmtId="0" fontId="2" fillId="2" borderId="0" xfId="0" applyFont="1" applyFill="1" applyBorder="1" applyAlignment="1">
      <alignment horizontal="left" wrapText="1"/>
    </xf>
    <xf numFmtId="40" fontId="12" fillId="0" borderId="0" xfId="5" applyFont="1" applyFill="1" applyAlignment="1" applyProtection="1">
      <alignment horizontal="left" wrapText="1"/>
    </xf>
    <xf numFmtId="49" fontId="0" fillId="0" borderId="0" xfId="0" applyNumberFormat="1" applyAlignment="1">
      <alignment horizontal="center"/>
    </xf>
    <xf numFmtId="49" fontId="0" fillId="0" borderId="0" xfId="0" applyNumberFormat="1" applyAlignment="1">
      <alignment horizontal="left"/>
    </xf>
    <xf numFmtId="49" fontId="9" fillId="0" borderId="0" xfId="0" applyNumberFormat="1" applyFont="1" applyBorder="1" applyAlignment="1">
      <alignment horizontal="left" vertical="top"/>
    </xf>
    <xf numFmtId="49" fontId="5" fillId="0" borderId="0" xfId="0" applyNumberFormat="1" applyFont="1" applyAlignment="1">
      <alignment horizontal="left"/>
    </xf>
    <xf numFmtId="49" fontId="0" fillId="0" borderId="1" xfId="0" applyNumberFormat="1" applyBorder="1" applyAlignment="1">
      <alignment horizontal="center"/>
    </xf>
    <xf numFmtId="49" fontId="5" fillId="0" borderId="0" xfId="0" applyNumberFormat="1" applyFont="1" applyAlignment="1">
      <alignment horizontal="center"/>
    </xf>
    <xf numFmtId="43" fontId="2" fillId="0" borderId="1" xfId="1" applyFont="1" applyBorder="1" applyAlignment="1">
      <alignment horizontal="left"/>
    </xf>
    <xf numFmtId="43" fontId="0" fillId="0" borderId="1" xfId="1" applyFont="1" applyBorder="1" applyAlignment="1">
      <alignment horizontal="left"/>
    </xf>
    <xf numFmtId="49" fontId="2" fillId="0" borderId="1" xfId="0" applyNumberFormat="1" applyFont="1" applyBorder="1" applyAlignment="1">
      <alignment horizontal="left"/>
    </xf>
    <xf numFmtId="49" fontId="0" fillId="0" borderId="1" xfId="0" applyNumberFormat="1" applyBorder="1" applyAlignment="1">
      <alignment horizontal="left"/>
    </xf>
    <xf numFmtId="49" fontId="2" fillId="0" borderId="1" xfId="0" quotePrefix="1" applyNumberFormat="1" applyFont="1" applyBorder="1" applyAlignment="1">
      <alignment horizontal="left"/>
    </xf>
    <xf numFmtId="49" fontId="0" fillId="0" borderId="0" xfId="0" applyNumberFormat="1" applyAlignment="1">
      <alignment horizontal="right"/>
    </xf>
    <xf numFmtId="49" fontId="2" fillId="0" borderId="0" xfId="0" applyNumberFormat="1" applyFont="1" applyAlignment="1">
      <alignment horizontal="center"/>
    </xf>
    <xf numFmtId="49" fontId="9" fillId="0" borderId="0" xfId="0" applyNumberFormat="1" applyFont="1" applyBorder="1" applyAlignment="1">
      <alignment horizontal="center" vertical="top"/>
    </xf>
    <xf numFmtId="49" fontId="9" fillId="0" borderId="0" xfId="0" applyNumberFormat="1" applyFont="1" applyAlignment="1">
      <alignment horizontal="left"/>
    </xf>
    <xf numFmtId="0" fontId="2" fillId="0" borderId="10" xfId="0" applyFont="1" applyBorder="1" applyAlignment="1">
      <alignment horizontal="left"/>
    </xf>
    <xf numFmtId="0" fontId="0" fillId="0" borderId="3" xfId="0" applyBorder="1" applyAlignment="1">
      <alignment horizontal="left"/>
    </xf>
    <xf numFmtId="0" fontId="2" fillId="0" borderId="2" xfId="0" applyFont="1" applyBorder="1" applyAlignment="1">
      <alignment horizontal="left" wrapText="1"/>
    </xf>
    <xf numFmtId="0" fontId="2" fillId="0" borderId="0" xfId="0" applyFont="1" applyBorder="1" applyAlignment="1">
      <alignment horizontal="left" wrapText="1"/>
    </xf>
    <xf numFmtId="0" fontId="2" fillId="0" borderId="7" xfId="0" applyFont="1" applyBorder="1"/>
    <xf numFmtId="0" fontId="0" fillId="0" borderId="1" xfId="0" applyBorder="1"/>
    <xf numFmtId="0" fontId="2" fillId="0" borderId="8" xfId="0" applyFont="1" applyBorder="1"/>
    <xf numFmtId="0" fontId="0" fillId="0" borderId="9" xfId="0" applyBorder="1"/>
  </cellXfs>
  <cellStyles count="10">
    <cellStyle name="Comma" xfId="1" builtinId="3"/>
    <cellStyle name="Comma0" xfId="6"/>
    <cellStyle name="Currency" xfId="2" builtinId="4"/>
    <cellStyle name="Hyperlink" xfId="4" builtinId="8"/>
    <cellStyle name="Normal" xfId="0" builtinId="0"/>
    <cellStyle name="Normal 2" xfId="7"/>
    <cellStyle name="Normal 3" xfId="8"/>
    <cellStyle name="Normal 5" xfId="5"/>
    <cellStyle name="Normal 5 2" xfId="9"/>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15240</xdr:colOff>
      <xdr:row>50</xdr:row>
      <xdr:rowOff>45720</xdr:rowOff>
    </xdr:from>
    <xdr:to>
      <xdr:col>15</xdr:col>
      <xdr:colOff>167640</xdr:colOff>
      <xdr:row>54</xdr:row>
      <xdr:rowOff>68014</xdr:rowOff>
    </xdr:to>
    <xdr:pic>
      <xdr:nvPicPr>
        <xdr:cNvPr id="2" name="Picture 1">
          <a:extLst>
            <a:ext uri="{FF2B5EF4-FFF2-40B4-BE49-F238E27FC236}">
              <a16:creationId xmlns:a16="http://schemas.microsoft.com/office/drawing/2014/main" xmlns="" id="{1E10452B-269A-4F7E-A849-CDC9937EDB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060" y="8427720"/>
          <a:ext cx="2072640" cy="692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leg.colorado.gov/sites/default/files/fy2020-21_edufig.pdf" TargetMode="External"/><Relationship Id="rId7" Type="http://schemas.openxmlformats.org/officeDocument/2006/relationships/comments" Target="../comments1.xml"/><Relationship Id="rId2" Type="http://schemas.openxmlformats.org/officeDocument/2006/relationships/hyperlink" Target="https://www.sos.state.co.us/CCR/NumericalSubDocList.do?deptID=4&amp;deptName=300%20Department%20of%20Education&amp;agencyID=109&amp;agencyName=301%20Colorado%20State%20Board%20of%20Education&amp;ccrDocID=3138&amp;ccrDocName=1%20CCR%20301-89%20RULES%20FOR%20ADMINISTRATION%20O" TargetMode="External"/><Relationship Id="rId1" Type="http://schemas.openxmlformats.org/officeDocument/2006/relationships/hyperlink" Target="http://www.lexisnexis.com/hottopics/colorado?app=00075&amp;view=full&amp;interface=1&amp;docinfo=off&amp;searchtype=get&amp;search=C.R.S.+22-5-122" TargetMode="External"/><Relationship Id="rId6" Type="http://schemas.openxmlformats.org/officeDocument/2006/relationships/vmlDrawing" Target="../drawings/vmlDrawing3.vm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tabSelected="1" workbookViewId="0">
      <pane xSplit="1" ySplit="7" topLeftCell="B8" activePane="bottomRight" state="frozen"/>
      <selection activeCell="C1" sqref="C1"/>
      <selection pane="topRight" activeCell="C1" sqref="C1"/>
      <selection pane="bottomLeft" activeCell="C1" sqref="C1"/>
      <selection pane="bottomRight" activeCell="A11" sqref="A11"/>
    </sheetView>
  </sheetViews>
  <sheetFormatPr defaultRowHeight="12.75" x14ac:dyDescent="0.2"/>
  <cols>
    <col min="1" max="1" width="55.5703125" bestFit="1" customWidth="1"/>
    <col min="2" max="2" width="11.42578125" style="1" customWidth="1"/>
    <col min="3" max="3" width="15.140625" customWidth="1"/>
    <col min="4" max="4" width="16.7109375" customWidth="1"/>
    <col min="5" max="5" width="14.28515625" bestFit="1" customWidth="1"/>
    <col min="6" max="6" width="16.85546875" customWidth="1"/>
    <col min="7" max="7" width="6.7109375" bestFit="1" customWidth="1"/>
  </cols>
  <sheetData>
    <row r="1" spans="1:6" ht="15.75" x14ac:dyDescent="0.25">
      <c r="A1" s="31" t="s">
        <v>619</v>
      </c>
    </row>
    <row r="3" spans="1:6" ht="13.5" thickBot="1" x14ac:dyDescent="0.25"/>
    <row r="4" spans="1:6" ht="13.5" thickBot="1" x14ac:dyDescent="0.25">
      <c r="A4" s="13" t="s">
        <v>449</v>
      </c>
      <c r="B4" s="35">
        <f>COUNTA(A8:A28)</f>
        <v>21</v>
      </c>
    </row>
    <row r="6" spans="1:6" s="21" customFormat="1" ht="51.75" thickBot="1" x14ac:dyDescent="0.25">
      <c r="A6" s="27" t="s">
        <v>455</v>
      </c>
      <c r="B6" s="27" t="s">
        <v>448</v>
      </c>
      <c r="C6" s="27" t="s">
        <v>424</v>
      </c>
      <c r="D6" s="27" t="s">
        <v>425</v>
      </c>
      <c r="E6" s="27" t="s">
        <v>426</v>
      </c>
      <c r="F6" s="27" t="s">
        <v>620</v>
      </c>
    </row>
    <row r="7" spans="1:6" x14ac:dyDescent="0.2">
      <c r="A7" s="10"/>
      <c r="B7" s="11"/>
      <c r="E7" s="32"/>
    </row>
    <row r="8" spans="1:6" x14ac:dyDescent="0.2">
      <c r="A8" s="10" t="s">
        <v>428</v>
      </c>
      <c r="B8" s="11">
        <f>COUNTIF('District &amp; BOCES Listing'!$I$16:$I$190,A8)</f>
        <v>5</v>
      </c>
      <c r="C8" s="12">
        <f>'District &amp; BOCES Listing'!$D$9/$B$4</f>
        <v>67071.428571428565</v>
      </c>
      <c r="D8" s="12">
        <f>'District &amp; BOCES Listing'!$D$10*(Summary!B8/Summary!$B$29)</f>
        <v>40242.857142857145</v>
      </c>
      <c r="E8" s="33">
        <f>SUMIF('District &amp; BOCES Listing'!$I$16:$I$190,A8,'District &amp; BOCES Listing'!$H$16:$H$190)</f>
        <v>28890.702981106195</v>
      </c>
      <c r="F8" s="12">
        <f>SUM(C8:E8)</f>
        <v>136204.98869539192</v>
      </c>
    </row>
    <row r="9" spans="1:6" x14ac:dyDescent="0.2">
      <c r="A9" s="10" t="s">
        <v>427</v>
      </c>
      <c r="B9" s="11">
        <f>COUNTIF('District &amp; BOCES Listing'!$I$16:$I$190,A9)</f>
        <v>21</v>
      </c>
      <c r="C9" s="12">
        <f>'District &amp; BOCES Listing'!$D$9/$B$4</f>
        <v>67071.428571428565</v>
      </c>
      <c r="D9" s="12">
        <f>'District &amp; BOCES Listing'!$D$10*(Summary!B9/Summary!$B$29)</f>
        <v>169020</v>
      </c>
      <c r="E9" s="33">
        <f>SUMIF('District &amp; BOCES Listing'!$I$16:$I$190,A9,'District &amp; BOCES Listing'!$H$16:$H$190)</f>
        <v>46605.996361971731</v>
      </c>
      <c r="F9" s="12">
        <f t="shared" ref="F9:F28" si="0">SUM(C9:E9)</f>
        <v>282697.4249334003</v>
      </c>
    </row>
    <row r="10" spans="1:6" x14ac:dyDescent="0.2">
      <c r="A10" s="10" t="s">
        <v>624</v>
      </c>
      <c r="B10" s="11">
        <f>COUNTIF('District &amp; BOCES Listing'!$I$16:$I$190,A10)</f>
        <v>0</v>
      </c>
      <c r="C10" s="12">
        <f>'District &amp; BOCES Listing'!$D$9/$B$4</f>
        <v>67071.428571428565</v>
      </c>
      <c r="D10" s="12">
        <f>'District &amp; BOCES Listing'!$D$10*(Summary!B10/Summary!$B$29)</f>
        <v>0</v>
      </c>
      <c r="E10" s="33">
        <f>SUMIF('District &amp; BOCES Listing'!$I$16:$I$190,A10,'District &amp; BOCES Listing'!$H$16:$H$190)</f>
        <v>0</v>
      </c>
      <c r="F10" s="12">
        <f t="shared" ref="F10" si="1">SUM(C10:E10)</f>
        <v>67071.428571428565</v>
      </c>
    </row>
    <row r="11" spans="1:6" x14ac:dyDescent="0.2">
      <c r="A11" s="10" t="s">
        <v>607</v>
      </c>
      <c r="B11" s="11">
        <f>COUNTIF('District &amp; BOCES Listing'!$I$16:$I$190,A11)</f>
        <v>5</v>
      </c>
      <c r="C11" s="12">
        <f>'District &amp; BOCES Listing'!$D$9/$B$4</f>
        <v>67071.428571428565</v>
      </c>
      <c r="D11" s="12">
        <f>'District &amp; BOCES Listing'!$D$10*(Summary!B11/Summary!$B$29)</f>
        <v>40242.857142857145</v>
      </c>
      <c r="E11" s="33">
        <f>SUMIF('District &amp; BOCES Listing'!$I$16:$I$190,A11,'District &amp; BOCES Listing'!$H$16:$H$190)</f>
        <v>4379.1991885458956</v>
      </c>
      <c r="F11" s="12">
        <f t="shared" ref="F11" si="2">SUM(C11:E11)</f>
        <v>111693.48490283161</v>
      </c>
    </row>
    <row r="12" spans="1:6" x14ac:dyDescent="0.2">
      <c r="A12" s="10" t="s">
        <v>429</v>
      </c>
      <c r="B12" s="11">
        <f>COUNTIF('District &amp; BOCES Listing'!$I$16:$I$190,A12)</f>
        <v>20</v>
      </c>
      <c r="C12" s="12">
        <f>'District &amp; BOCES Listing'!$D$9/$B$4</f>
        <v>67071.428571428565</v>
      </c>
      <c r="D12" s="12">
        <f>'District &amp; BOCES Listing'!$D$10*(Summary!B12/Summary!$B$29)</f>
        <v>160971.42857142858</v>
      </c>
      <c r="E12" s="33">
        <f>SUMIF('District &amp; BOCES Listing'!$I$16:$I$190,A12,'District &amp; BOCES Listing'!$H$16:$H$190)</f>
        <v>2715.1098635044427</v>
      </c>
      <c r="F12" s="12">
        <f t="shared" si="0"/>
        <v>230757.96700636161</v>
      </c>
    </row>
    <row r="13" spans="1:6" x14ac:dyDescent="0.2">
      <c r="A13" s="10" t="s">
        <v>430</v>
      </c>
      <c r="B13" s="11">
        <f>COUNTIF('District &amp; BOCES Listing'!$I$16:$I$190,A13)</f>
        <v>5</v>
      </c>
      <c r="C13" s="12">
        <f>'District &amp; BOCES Listing'!$D$9/$B$4</f>
        <v>67071.428571428565</v>
      </c>
      <c r="D13" s="12">
        <f>'District &amp; BOCES Listing'!$D$10*(Summary!B13/Summary!$B$29)</f>
        <v>40242.857142857145</v>
      </c>
      <c r="E13" s="33">
        <f>SUMIF('District &amp; BOCES Listing'!$I$16:$I$190,A13,'District &amp; BOCES Listing'!$H$16:$H$190)</f>
        <v>93696.845139937112</v>
      </c>
      <c r="F13" s="12">
        <f t="shared" si="0"/>
        <v>201011.13085422281</v>
      </c>
    </row>
    <row r="14" spans="1:6" x14ac:dyDescent="0.2">
      <c r="A14" s="10" t="s">
        <v>431</v>
      </c>
      <c r="B14" s="11">
        <f>COUNTIF('District &amp; BOCES Listing'!$I$16:$I$190,A14)</f>
        <v>3</v>
      </c>
      <c r="C14" s="12">
        <f>'District &amp; BOCES Listing'!$D$9/$B$4</f>
        <v>67071.428571428565</v>
      </c>
      <c r="D14" s="12">
        <f>'District &amp; BOCES Listing'!$D$10*(Summary!B14/Summary!$B$29)</f>
        <v>24145.714285714286</v>
      </c>
      <c r="E14" s="33">
        <f>SUMIF('District &amp; BOCES Listing'!$I$16:$I$190,A14,'District &amp; BOCES Listing'!$H$16:$H$190)</f>
        <v>40458.790690652459</v>
      </c>
      <c r="F14" s="12">
        <f t="shared" si="0"/>
        <v>131675.93354779531</v>
      </c>
    </row>
    <row r="15" spans="1:6" x14ac:dyDescent="0.2">
      <c r="A15" s="10" t="s">
        <v>432</v>
      </c>
      <c r="B15" s="11">
        <f>COUNTIF('District &amp; BOCES Listing'!$I$16:$I$190,A15)</f>
        <v>4</v>
      </c>
      <c r="C15" s="12">
        <f>'District &amp; BOCES Listing'!$D$9/$B$4</f>
        <v>67071.428571428565</v>
      </c>
      <c r="D15" s="12">
        <f>'District &amp; BOCES Listing'!$D$10*(Summary!B15/Summary!$B$29)</f>
        <v>32194.285714285714</v>
      </c>
      <c r="E15" s="33">
        <f>SUMIF('District &amp; BOCES Listing'!$I$16:$I$190,A15,'District &amp; BOCES Listing'!$H$16:$H$190)</f>
        <v>12172.667688141177</v>
      </c>
      <c r="F15" s="12">
        <f t="shared" si="0"/>
        <v>111438.38197385546</v>
      </c>
    </row>
    <row r="16" spans="1:6" x14ac:dyDescent="0.2">
      <c r="A16" s="10" t="s">
        <v>433</v>
      </c>
      <c r="B16" s="11">
        <f>COUNTIF('District &amp; BOCES Listing'!$I$16:$I$190,A16)</f>
        <v>3</v>
      </c>
      <c r="C16" s="12">
        <f>'District &amp; BOCES Listing'!$D$9/$B$4</f>
        <v>67071.428571428565</v>
      </c>
      <c r="D16" s="12">
        <f>'District &amp; BOCES Listing'!$D$10*(Summary!B16/Summary!$B$29)</f>
        <v>24145.714285714286</v>
      </c>
      <c r="E16" s="33">
        <f>SUMIF('District &amp; BOCES Listing'!$I$16:$I$190,A16,'District &amp; BOCES Listing'!$H$16:$H$190)</f>
        <v>717.05668437692088</v>
      </c>
      <c r="F16" s="12">
        <f t="shared" si="0"/>
        <v>91934.199541519774</v>
      </c>
    </row>
    <row r="17" spans="1:6" x14ac:dyDescent="0.2">
      <c r="A17" s="10" t="s">
        <v>434</v>
      </c>
      <c r="B17" s="11">
        <f>COUNTIF('District &amp; BOCES Listing'!$I$16:$I$190,A17)</f>
        <v>6</v>
      </c>
      <c r="C17" s="12">
        <f>'District &amp; BOCES Listing'!$D$9/$B$4</f>
        <v>67071.428571428565</v>
      </c>
      <c r="D17" s="12">
        <f>'District &amp; BOCES Listing'!$D$10*(Summary!B17/Summary!$B$29)</f>
        <v>48291.428571428572</v>
      </c>
      <c r="E17" s="33">
        <f>SUMIF('District &amp; BOCES Listing'!$I$16:$I$190,A17,'District &amp; BOCES Listing'!$H$16:$H$190)</f>
        <v>5043.9082236909398</v>
      </c>
      <c r="F17" s="12">
        <f t="shared" si="0"/>
        <v>120406.76536654808</v>
      </c>
    </row>
    <row r="18" spans="1:6" x14ac:dyDescent="0.2">
      <c r="A18" s="10" t="s">
        <v>435</v>
      </c>
      <c r="B18" s="11">
        <f>COUNTIF('District &amp; BOCES Listing'!$I$16:$I$190,A18)</f>
        <v>12</v>
      </c>
      <c r="C18" s="12">
        <f>'District &amp; BOCES Listing'!$D$9/$B$4</f>
        <v>67071.428571428565</v>
      </c>
      <c r="D18" s="12">
        <f>'District &amp; BOCES Listing'!$D$10*(Summary!B18/Summary!$B$29)</f>
        <v>96582.857142857145</v>
      </c>
      <c r="E18" s="33">
        <f>SUMIF('District &amp; BOCES Listing'!$I$16:$I$190,A18,'District &amp; BOCES Listing'!$H$16:$H$190)</f>
        <v>1737.6943642654635</v>
      </c>
      <c r="F18" s="12">
        <f t="shared" si="0"/>
        <v>165391.98007855116</v>
      </c>
    </row>
    <row r="19" spans="1:6" x14ac:dyDescent="0.2">
      <c r="A19" s="10" t="s">
        <v>436</v>
      </c>
      <c r="B19" s="11">
        <f>COUNTIF('District &amp; BOCES Listing'!$I$16:$I$190,A19)</f>
        <v>7</v>
      </c>
      <c r="C19" s="12">
        <f>'District &amp; BOCES Listing'!$D$9/$B$4</f>
        <v>67071.428571428565</v>
      </c>
      <c r="D19" s="12">
        <f>'District &amp; BOCES Listing'!$D$10*(Summary!B19/Summary!$B$29)</f>
        <v>56340</v>
      </c>
      <c r="E19" s="33">
        <f>SUMIF('District &amp; BOCES Listing'!$I$16:$I$190,A19,'District &amp; BOCES Listing'!$H$16:$H$190)</f>
        <v>2644.1929468085555</v>
      </c>
      <c r="F19" s="12">
        <f t="shared" si="0"/>
        <v>126055.62151823712</v>
      </c>
    </row>
    <row r="20" spans="1:6" x14ac:dyDescent="0.2">
      <c r="A20" s="10" t="s">
        <v>437</v>
      </c>
      <c r="B20" s="11">
        <f>COUNTIF('District &amp; BOCES Listing'!$I$16:$I$190,A20)</f>
        <v>17</v>
      </c>
      <c r="C20" s="12">
        <f>'District &amp; BOCES Listing'!$D$9/$B$4</f>
        <v>67071.428571428565</v>
      </c>
      <c r="D20" s="12">
        <f>'District &amp; BOCES Listing'!$D$10*(Summary!B20/Summary!$B$29)</f>
        <v>136825.71428571429</v>
      </c>
      <c r="E20" s="33">
        <f>SUMIF('District &amp; BOCES Listing'!$I$16:$I$190,A20,'District &amp; BOCES Listing'!$H$16:$H$190)</f>
        <v>40805.699976913435</v>
      </c>
      <c r="F20" s="12">
        <f t="shared" si="0"/>
        <v>244702.84283405627</v>
      </c>
    </row>
    <row r="21" spans="1:6" x14ac:dyDescent="0.2">
      <c r="A21" s="10" t="s">
        <v>438</v>
      </c>
      <c r="B21" s="11">
        <f>COUNTIF('District &amp; BOCES Listing'!$I$16:$I$190,A21)</f>
        <v>2</v>
      </c>
      <c r="C21" s="12">
        <f>'District &amp; BOCES Listing'!$D$9/$B$4</f>
        <v>67071.428571428565</v>
      </c>
      <c r="D21" s="12">
        <f>'District &amp; BOCES Listing'!$D$10*(Summary!B21/Summary!$B$29)</f>
        <v>16097.142857142857</v>
      </c>
      <c r="E21" s="33">
        <f>SUMIF('District &amp; BOCES Listing'!$I$16:$I$190,A21,'District &amp; BOCES Listing'!$H$16:$H$190)</f>
        <v>427.30537187182858</v>
      </c>
      <c r="F21" s="12">
        <f t="shared" si="0"/>
        <v>83595.87680044325</v>
      </c>
    </row>
    <row r="22" spans="1:6" x14ac:dyDescent="0.2">
      <c r="A22" s="10" t="s">
        <v>439</v>
      </c>
      <c r="B22" s="11">
        <f>COUNTIF('District &amp; BOCES Listing'!$I$16:$I$190,A22)</f>
        <v>8</v>
      </c>
      <c r="C22" s="12">
        <f>'District &amp; BOCES Listing'!$D$9/$B$4</f>
        <v>67071.428571428565</v>
      </c>
      <c r="D22" s="12">
        <f>'District &amp; BOCES Listing'!$D$10*(Summary!B22/Summary!$B$29)</f>
        <v>64388.571428571428</v>
      </c>
      <c r="E22" s="33">
        <f>SUMIF('District &amp; BOCES Listing'!$I$16:$I$190,A22,'District &amp; BOCES Listing'!$H$16:$H$190)</f>
        <v>2922.5551086023888</v>
      </c>
      <c r="F22" s="12">
        <f t="shared" si="0"/>
        <v>134382.55510860239</v>
      </c>
    </row>
    <row r="23" spans="1:6" x14ac:dyDescent="0.2">
      <c r="A23" s="10" t="s">
        <v>445</v>
      </c>
      <c r="B23" s="11">
        <f>COUNTIF('District &amp; BOCES Listing'!$I$16:$I$190,A23)</f>
        <v>15</v>
      </c>
      <c r="C23" s="12">
        <f>'District &amp; BOCES Listing'!$D$9/$B$4</f>
        <v>67071.428571428565</v>
      </c>
      <c r="D23" s="12">
        <f>'District &amp; BOCES Listing'!$D$10*(Summary!B23/Summary!$B$29)</f>
        <v>120728.57142857143</v>
      </c>
      <c r="E23" s="33">
        <f>SUMIF('District &amp; BOCES Listing'!$I$16:$I$190,A23,'District &amp; BOCES Listing'!$H$16:$H$190)</f>
        <v>2842.1236529582748</v>
      </c>
      <c r="F23" s="12">
        <f t="shared" si="0"/>
        <v>190642.12365295828</v>
      </c>
    </row>
    <row r="24" spans="1:6" x14ac:dyDescent="0.2">
      <c r="A24" s="10" t="s">
        <v>440</v>
      </c>
      <c r="B24" s="11">
        <f>COUNTIF('District &amp; BOCES Listing'!$I$16:$I$190,A24)</f>
        <v>6</v>
      </c>
      <c r="C24" s="12">
        <f>'District &amp; BOCES Listing'!$D$9/$B$4</f>
        <v>67071.428571428565</v>
      </c>
      <c r="D24" s="12">
        <f>'District &amp; BOCES Listing'!$D$10*(Summary!B24/Summary!$B$29)</f>
        <v>48291.428571428572</v>
      </c>
      <c r="E24" s="33">
        <f>SUMIF('District &amp; BOCES Listing'!$I$16:$I$190,A24,'District &amp; BOCES Listing'!$H$16:$H$190)</f>
        <v>1965.866448856571</v>
      </c>
      <c r="F24" s="12">
        <f t="shared" si="0"/>
        <v>117328.7235917137</v>
      </c>
    </row>
    <row r="25" spans="1:6" x14ac:dyDescent="0.2">
      <c r="A25" s="10" t="s">
        <v>441</v>
      </c>
      <c r="B25" s="11">
        <f>COUNTIF('District &amp; BOCES Listing'!$I$16:$I$190,A25)</f>
        <v>15</v>
      </c>
      <c r="C25" s="12">
        <f>'District &amp; BOCES Listing'!$D$9/$B$4</f>
        <v>67071.428571428565</v>
      </c>
      <c r="D25" s="12">
        <f>'District &amp; BOCES Listing'!$D$10*(Summary!B25/Summary!$B$29)</f>
        <v>120728.57142857143</v>
      </c>
      <c r="E25" s="33">
        <f>SUMIF('District &amp; BOCES Listing'!$I$16:$I$190,A25,'District &amp; BOCES Listing'!$H$16:$H$190)</f>
        <v>12320.655907321025</v>
      </c>
      <c r="F25" s="12">
        <f t="shared" si="0"/>
        <v>200120.65590732102</v>
      </c>
    </row>
    <row r="26" spans="1:6" x14ac:dyDescent="0.2">
      <c r="A26" s="10" t="s">
        <v>442</v>
      </c>
      <c r="B26" s="11">
        <f>COUNTIF('District &amp; BOCES Listing'!$I$16:$I$190,A26)</f>
        <v>12</v>
      </c>
      <c r="C26" s="12">
        <f>'District &amp; BOCES Listing'!$D$9/$B$4</f>
        <v>67071.428571428565</v>
      </c>
      <c r="D26" s="12">
        <f>'District &amp; BOCES Listing'!$D$10*(Summary!B26/Summary!$B$29)</f>
        <v>96582.857142857145</v>
      </c>
      <c r="E26" s="33">
        <f>SUMIF('District &amp; BOCES Listing'!$I$16:$I$190,A26,'District &amp; BOCES Listing'!$H$16:$H$190)</f>
        <v>1118.3297117658701</v>
      </c>
      <c r="F26" s="12">
        <f t="shared" si="0"/>
        <v>164772.61542605158</v>
      </c>
    </row>
    <row r="27" spans="1:6" x14ac:dyDescent="0.2">
      <c r="A27" s="10" t="s">
        <v>443</v>
      </c>
      <c r="B27" s="11">
        <f>COUNTIF('District &amp; BOCES Listing'!$I$16:$I$190,A27)</f>
        <v>5</v>
      </c>
      <c r="C27" s="12">
        <f>'District &amp; BOCES Listing'!$D$9/$B$4</f>
        <v>67071.428571428565</v>
      </c>
      <c r="D27" s="12">
        <f>'District &amp; BOCES Listing'!$D$10*(Summary!B27/Summary!$B$29)</f>
        <v>40242.857142857145</v>
      </c>
      <c r="E27" s="33">
        <f>SUMIF('District &amp; BOCES Listing'!$I$16:$I$190,A27,'District &amp; BOCES Listing'!$H$16:$H$190)</f>
        <v>664.92125534463253</v>
      </c>
      <c r="F27" s="12">
        <f t="shared" si="0"/>
        <v>107979.20696963034</v>
      </c>
    </row>
    <row r="28" spans="1:6" x14ac:dyDescent="0.2">
      <c r="A28" s="10" t="s">
        <v>444</v>
      </c>
      <c r="B28" s="11">
        <f>COUNTIF('District &amp; BOCES Listing'!$I$16:$I$190,A28)</f>
        <v>3</v>
      </c>
      <c r="C28" s="12">
        <f>'District &amp; BOCES Listing'!$D$9/$B$4</f>
        <v>67071.428571428565</v>
      </c>
      <c r="D28" s="12">
        <f>'District &amp; BOCES Listing'!$D$10*(Summary!B28/Summary!$B$29)</f>
        <v>24145.714285714286</v>
      </c>
      <c r="E28" s="33">
        <f>SUMIF('District &amp; BOCES Listing'!$I$16:$I$190,A28,'District &amp; BOCES Listing'!$H$16:$H$190)</f>
        <v>1439.7725740762071</v>
      </c>
      <c r="F28" s="12">
        <f t="shared" si="0"/>
        <v>92656.915431219066</v>
      </c>
    </row>
    <row r="29" spans="1:6" x14ac:dyDescent="0.2">
      <c r="A29" s="22" t="s">
        <v>447</v>
      </c>
      <c r="B29" s="23">
        <f>COUNTA('District &amp; BOCES Listing'!D16:D190)</f>
        <v>175</v>
      </c>
      <c r="C29" s="24">
        <f>SUM(C8:C28)</f>
        <v>1408500</v>
      </c>
      <c r="D29" s="24">
        <f>SUM(D8:D28)</f>
        <v>1400451.4285714284</v>
      </c>
      <c r="E29" s="34">
        <f>SUM(E8:E28)</f>
        <v>303569.39414071105</v>
      </c>
      <c r="F29" s="24">
        <f>SUM(F8:F28)</f>
        <v>3112520.8227121397</v>
      </c>
    </row>
    <row r="30" spans="1:6" x14ac:dyDescent="0.2">
      <c r="E30" s="16"/>
    </row>
    <row r="32" spans="1:6" x14ac:dyDescent="0.2">
      <c r="A32" s="25" t="s">
        <v>606</v>
      </c>
    </row>
    <row r="34" spans="1:6" ht="44.25" customHeight="1" x14ac:dyDescent="0.2">
      <c r="A34" s="115" t="s">
        <v>608</v>
      </c>
      <c r="B34" s="116"/>
      <c r="C34" s="116"/>
      <c r="D34" s="116"/>
      <c r="E34" s="116"/>
      <c r="F34" s="116"/>
    </row>
    <row r="35" spans="1:6" x14ac:dyDescent="0.2">
      <c r="A35" s="115" t="s">
        <v>460</v>
      </c>
      <c r="B35" s="116"/>
      <c r="C35" s="116"/>
      <c r="D35" s="116"/>
      <c r="E35" s="116"/>
      <c r="F35" s="116"/>
    </row>
    <row r="36" spans="1:6" ht="17.45" customHeight="1" x14ac:dyDescent="0.2">
      <c r="A36" s="116"/>
      <c r="B36" s="116"/>
      <c r="C36" s="116"/>
      <c r="D36" s="116"/>
      <c r="E36" s="116"/>
      <c r="F36" s="116"/>
    </row>
    <row r="37" spans="1:6" x14ac:dyDescent="0.2">
      <c r="A37" s="115" t="s">
        <v>621</v>
      </c>
      <c r="B37" s="116"/>
      <c r="C37" s="116"/>
      <c r="D37" s="116"/>
      <c r="E37" s="116"/>
      <c r="F37" s="116"/>
    </row>
    <row r="38" spans="1:6" ht="25.5" customHeight="1" x14ac:dyDescent="0.2">
      <c r="A38" s="116"/>
      <c r="B38" s="116"/>
      <c r="C38" s="116"/>
      <c r="D38" s="116"/>
      <c r="E38" s="116"/>
      <c r="F38" s="116"/>
    </row>
    <row r="40" spans="1:6" x14ac:dyDescent="0.2">
      <c r="A40" s="115" t="s">
        <v>461</v>
      </c>
      <c r="B40" s="116"/>
      <c r="C40" s="116"/>
      <c r="D40" s="116"/>
      <c r="E40" s="116"/>
      <c r="F40" s="116"/>
    </row>
    <row r="41" spans="1:6" x14ac:dyDescent="0.2">
      <c r="A41" s="116"/>
      <c r="B41" s="116"/>
      <c r="C41" s="116"/>
      <c r="D41" s="116"/>
      <c r="E41" s="116"/>
      <c r="F41" s="116"/>
    </row>
  </sheetData>
  <mergeCells count="4">
    <mergeCell ref="A35:F36"/>
    <mergeCell ref="A37:F38"/>
    <mergeCell ref="A40:F41"/>
    <mergeCell ref="A34:F34"/>
  </mergeCells>
  <printOptions horizontalCentered="1"/>
  <pageMargins left="0" right="0" top="0.9" bottom="0.75" header="0.3" footer="0.3"/>
  <pageSetup fitToHeight="0" orientation="portrait" r:id="rId1"/>
  <headerFooter>
    <oddHeader>&amp;C&amp;"Arial,Bold"DRAFT
FY 2019-20 BOCES ALLOCATIONS
PER HB12-1345</oddHeader>
    <oddFooter>&amp;L&amp;G&amp;RSchool Finance and Operations
February 2019</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01"/>
  <sheetViews>
    <sheetView zoomScaleNormal="100" zoomScaleSheetLayoutView="96" workbookViewId="0">
      <pane ySplit="14" topLeftCell="A15" activePane="bottomLeft" state="frozen"/>
      <selection activeCell="C1" sqref="C1"/>
      <selection pane="bottomLeft" activeCell="A2" sqref="A2"/>
    </sheetView>
  </sheetViews>
  <sheetFormatPr defaultColWidth="8.85546875" defaultRowHeight="12.75" x14ac:dyDescent="0.2"/>
  <cols>
    <col min="1" max="1" width="8.85546875" style="17"/>
    <col min="2" max="2" width="20.5703125" style="17" customWidth="1"/>
    <col min="3" max="3" width="5.85546875" style="17" customWidth="1"/>
    <col min="4" max="4" width="28.85546875" style="17" customWidth="1"/>
    <col min="5" max="5" width="12.7109375" style="17" customWidth="1"/>
    <col min="6" max="6" width="11.28515625" style="17" customWidth="1"/>
    <col min="7" max="7" width="12.85546875" style="97" customWidth="1"/>
    <col min="8" max="8" width="18.28515625" style="17" bestFit="1" customWidth="1"/>
    <col min="9" max="9" width="22.42578125" style="17" bestFit="1" customWidth="1"/>
    <col min="10" max="10" width="10.28515625" style="17" bestFit="1" customWidth="1"/>
    <col min="11" max="11" width="12.28515625" style="17" customWidth="1"/>
    <col min="12" max="16384" width="8.85546875" style="17"/>
  </cols>
  <sheetData>
    <row r="1" spans="1:18" customFormat="1" x14ac:dyDescent="0.2">
      <c r="E1" s="76"/>
      <c r="F1" s="76"/>
      <c r="G1" s="77"/>
      <c r="H1" s="76"/>
      <c r="I1" s="76"/>
      <c r="K1" s="39" t="s">
        <v>477</v>
      </c>
      <c r="L1" s="10" t="s">
        <v>474</v>
      </c>
      <c r="O1" s="10" t="s">
        <v>478</v>
      </c>
      <c r="R1" s="10" t="s">
        <v>479</v>
      </c>
    </row>
    <row r="2" spans="1:18" customFormat="1" ht="15.75" x14ac:dyDescent="0.25">
      <c r="A2" s="31" t="s">
        <v>619</v>
      </c>
      <c r="E2" s="76"/>
      <c r="F2" s="76"/>
      <c r="G2" s="77"/>
      <c r="H2" s="76"/>
      <c r="I2" s="76"/>
      <c r="K2" s="2"/>
      <c r="L2" s="42" t="s">
        <v>475</v>
      </c>
      <c r="O2" s="41" t="s">
        <v>476</v>
      </c>
      <c r="R2" s="114" t="s">
        <v>618</v>
      </c>
    </row>
    <row r="3" spans="1:18" customFormat="1" ht="13.5" thickBot="1" x14ac:dyDescent="0.25">
      <c r="A3" s="7"/>
      <c r="B3" s="7"/>
      <c r="C3" s="7" t="s">
        <v>450</v>
      </c>
      <c r="D3" s="7"/>
      <c r="E3" s="78"/>
      <c r="F3" s="76"/>
      <c r="G3" s="77"/>
      <c r="H3" s="76"/>
      <c r="I3" s="76"/>
      <c r="K3" s="39" t="s">
        <v>463</v>
      </c>
      <c r="L3" s="42"/>
    </row>
    <row r="4" spans="1:18" customFormat="1" x14ac:dyDescent="0.2">
      <c r="A4" s="121" t="s">
        <v>615</v>
      </c>
      <c r="B4" s="122"/>
      <c r="C4" s="101"/>
      <c r="D4" s="100">
        <v>3318279</v>
      </c>
      <c r="E4" s="79" t="s">
        <v>617</v>
      </c>
      <c r="F4" s="78"/>
      <c r="G4" s="77"/>
      <c r="H4" s="76"/>
      <c r="I4" s="76"/>
      <c r="K4" s="10" t="s">
        <v>481</v>
      </c>
    </row>
    <row r="5" spans="1:18" customFormat="1" x14ac:dyDescent="0.2">
      <c r="A5" s="127"/>
      <c r="B5" s="128"/>
      <c r="C5" s="76"/>
      <c r="D5" s="102"/>
      <c r="E5" s="76"/>
      <c r="F5" s="76"/>
      <c r="G5" s="77"/>
      <c r="H5" s="76"/>
      <c r="I5" s="76"/>
    </row>
    <row r="6" spans="1:18" customFormat="1" x14ac:dyDescent="0.2">
      <c r="A6" s="123" t="s">
        <v>446</v>
      </c>
      <c r="B6" s="124"/>
      <c r="C6" s="103"/>
      <c r="D6" s="104">
        <f>184277+3419+583</f>
        <v>188279</v>
      </c>
      <c r="E6" s="80"/>
      <c r="F6" s="78"/>
      <c r="G6" s="77"/>
      <c r="H6" s="76"/>
      <c r="I6" s="76"/>
      <c r="K6" s="10" t="s">
        <v>612</v>
      </c>
    </row>
    <row r="7" spans="1:18" customFormat="1" ht="13.5" thickBot="1" x14ac:dyDescent="0.25">
      <c r="A7" s="117" t="s">
        <v>423</v>
      </c>
      <c r="B7" s="118"/>
      <c r="C7" s="105"/>
      <c r="D7" s="106">
        <f>D4+D5-D6</f>
        <v>3130000</v>
      </c>
      <c r="E7" s="81"/>
      <c r="F7" s="76"/>
      <c r="G7" s="82"/>
      <c r="H7" s="76"/>
      <c r="I7" s="76"/>
      <c r="K7" s="10" t="s">
        <v>613</v>
      </c>
    </row>
    <row r="8" spans="1:18" customFormat="1" ht="13.5" thickBot="1" x14ac:dyDescent="0.25">
      <c r="A8" s="6"/>
      <c r="B8" s="6"/>
      <c r="C8" s="6"/>
      <c r="D8" s="6"/>
      <c r="E8" s="78"/>
      <c r="F8" s="76"/>
      <c r="G8" s="77"/>
      <c r="H8" s="76"/>
      <c r="I8" s="76"/>
      <c r="K8" s="10"/>
    </row>
    <row r="9" spans="1:18" customFormat="1" ht="30.2" customHeight="1" x14ac:dyDescent="0.2">
      <c r="A9" s="125" t="s">
        <v>458</v>
      </c>
      <c r="B9" s="126"/>
      <c r="C9" s="107">
        <v>0.45</v>
      </c>
      <c r="D9" s="108">
        <f>$D$7*C9</f>
        <v>1408500</v>
      </c>
      <c r="E9" s="76"/>
      <c r="F9" s="76"/>
      <c r="G9" s="77"/>
      <c r="H9" s="76"/>
      <c r="I9" s="76"/>
      <c r="J9" s="9">
        <f>D9/Summary!B4</f>
        <v>67071.428571428565</v>
      </c>
      <c r="K9" s="71">
        <f>J9*20</f>
        <v>1341428.5714285714</v>
      </c>
      <c r="L9" s="10" t="s">
        <v>464</v>
      </c>
    </row>
    <row r="10" spans="1:18" customFormat="1" ht="26.45" customHeight="1" x14ac:dyDescent="0.2">
      <c r="A10" s="127" t="s">
        <v>457</v>
      </c>
      <c r="B10" s="128"/>
      <c r="C10" s="109">
        <v>0.45</v>
      </c>
      <c r="D10" s="110">
        <f>$D$7*C10</f>
        <v>1408500</v>
      </c>
      <c r="E10" s="76"/>
      <c r="F10" s="76"/>
      <c r="G10" s="77"/>
      <c r="H10" s="76"/>
      <c r="I10" s="76"/>
      <c r="J10" s="9">
        <f>D10/Summary!B29</f>
        <v>8048.5714285714284</v>
      </c>
      <c r="K10" s="71">
        <f>J10*176</f>
        <v>1416548.5714285714</v>
      </c>
      <c r="L10" s="10" t="s">
        <v>465</v>
      </c>
    </row>
    <row r="11" spans="1:18" customFormat="1" x14ac:dyDescent="0.2">
      <c r="A11" s="119" t="s">
        <v>456</v>
      </c>
      <c r="B11" s="120"/>
      <c r="C11" s="111">
        <v>0.1</v>
      </c>
      <c r="D11" s="112">
        <f>$D$7*C11</f>
        <v>313000</v>
      </c>
      <c r="E11" s="76"/>
      <c r="F11" s="76"/>
      <c r="G11" s="77"/>
      <c r="H11" s="76"/>
      <c r="I11" s="76"/>
      <c r="J11" s="72">
        <f>D11/G191</f>
        <v>0.35370033264781775</v>
      </c>
      <c r="K11" s="70">
        <f>J11*(E191+F191)</f>
        <v>313000</v>
      </c>
      <c r="L11" s="10" t="s">
        <v>466</v>
      </c>
    </row>
    <row r="12" spans="1:18" customFormat="1" ht="13.5" thickBot="1" x14ac:dyDescent="0.25">
      <c r="A12" s="117" t="s">
        <v>423</v>
      </c>
      <c r="B12" s="118"/>
      <c r="C12" s="105"/>
      <c r="D12" s="113">
        <f>SUM(D9:D11)</f>
        <v>3130000</v>
      </c>
      <c r="E12" s="76"/>
      <c r="F12" s="76"/>
      <c r="G12" s="77"/>
      <c r="H12" s="76"/>
      <c r="I12" s="76"/>
      <c r="J12" s="9"/>
      <c r="K12" s="10"/>
    </row>
    <row r="13" spans="1:18" customFormat="1" x14ac:dyDescent="0.2">
      <c r="A13" s="8"/>
      <c r="B13" s="5"/>
      <c r="C13" s="5"/>
      <c r="D13" s="9"/>
      <c r="E13" s="81"/>
      <c r="F13" s="76"/>
      <c r="G13" s="77"/>
      <c r="H13" s="76"/>
      <c r="I13" s="83"/>
    </row>
    <row r="14" spans="1:18" s="26" customFormat="1" ht="51.75" thickBot="1" x14ac:dyDescent="0.25">
      <c r="A14" s="27" t="s">
        <v>0</v>
      </c>
      <c r="B14" s="27" t="s">
        <v>1</v>
      </c>
      <c r="C14" s="27"/>
      <c r="D14" s="27" t="s">
        <v>2</v>
      </c>
      <c r="E14" s="84" t="s">
        <v>452</v>
      </c>
      <c r="F14" s="84" t="s">
        <v>453</v>
      </c>
      <c r="G14" s="84" t="s">
        <v>616</v>
      </c>
      <c r="H14" s="84" t="s">
        <v>426</v>
      </c>
      <c r="I14" s="84" t="s">
        <v>459</v>
      </c>
      <c r="J14" s="43"/>
      <c r="K14" s="39" t="s">
        <v>471</v>
      </c>
    </row>
    <row r="15" spans="1:18" customFormat="1" x14ac:dyDescent="0.2">
      <c r="B15" s="2"/>
      <c r="D15" s="2"/>
      <c r="E15" s="85"/>
      <c r="F15" s="76"/>
      <c r="G15" s="77"/>
      <c r="H15" s="76"/>
      <c r="I15" s="76"/>
      <c r="K15" s="40" t="s">
        <v>472</v>
      </c>
    </row>
    <row r="16" spans="1:18" customFormat="1" x14ac:dyDescent="0.2">
      <c r="A16" s="3" t="s">
        <v>3</v>
      </c>
      <c r="B16" s="14" t="s">
        <v>4</v>
      </c>
      <c r="C16" s="15"/>
      <c r="D16" s="14" t="s">
        <v>5</v>
      </c>
      <c r="E16" s="86">
        <f>VLOOKUP(A16,'PSFA Runs'!A:E,5,FALSE)</f>
        <v>8953.5</v>
      </c>
      <c r="F16" s="87">
        <f>VLOOKUP(A16,'PSFA Runs'!A:F,6,FALSE)</f>
        <v>0</v>
      </c>
      <c r="G16" s="88">
        <f>SUM(E16:F16)</f>
        <v>8953.5</v>
      </c>
      <c r="H16" s="89">
        <f t="shared" ref="H16:H47" si="0">$D$11*(E16/$G$191)</f>
        <v>3166.8559283622362</v>
      </c>
      <c r="I16" s="90" t="s">
        <v>428</v>
      </c>
      <c r="J16" s="17"/>
      <c r="K16" s="10" t="s">
        <v>473</v>
      </c>
    </row>
    <row r="17" spans="1:11" customFormat="1" x14ac:dyDescent="0.2">
      <c r="A17" s="3" t="s">
        <v>6</v>
      </c>
      <c r="B17" s="14" t="s">
        <v>4</v>
      </c>
      <c r="C17" s="15"/>
      <c r="D17" s="4" t="s">
        <v>421</v>
      </c>
      <c r="E17" s="91">
        <f>VLOOKUP(A17,'PSFA Runs'!A:E,5,FALSE)</f>
        <v>37592.800000000003</v>
      </c>
      <c r="F17" s="87">
        <f>VLOOKUP(A17,'PSFA Runs'!A:F,6,FALSE)</f>
        <v>4349.5</v>
      </c>
      <c r="G17" s="88">
        <f t="shared" ref="G17:G77" si="1">SUM(E17:F17)</f>
        <v>41942.300000000003</v>
      </c>
      <c r="H17" s="89">
        <f t="shared" si="0"/>
        <v>13296.585865162884</v>
      </c>
      <c r="I17" s="90" t="s">
        <v>428</v>
      </c>
      <c r="J17" s="17"/>
      <c r="K17" s="10" t="s">
        <v>611</v>
      </c>
    </row>
    <row r="18" spans="1:11" customFormat="1" x14ac:dyDescent="0.2">
      <c r="A18" s="3" t="s">
        <v>7</v>
      </c>
      <c r="B18" s="14" t="s">
        <v>4</v>
      </c>
      <c r="C18" s="15"/>
      <c r="D18" s="14" t="s">
        <v>8</v>
      </c>
      <c r="E18" s="86">
        <f>VLOOKUP(A18,'PSFA Runs'!A:E,5,FALSE)</f>
        <v>6676.3</v>
      </c>
      <c r="F18" s="87">
        <f>VLOOKUP(A18,'PSFA Runs'!A:F,6,FALSE)</f>
        <v>640</v>
      </c>
      <c r="G18" s="88">
        <f t="shared" si="1"/>
        <v>7316.3</v>
      </c>
      <c r="H18" s="89">
        <f t="shared" si="0"/>
        <v>2361.4095308566257</v>
      </c>
      <c r="I18" s="90" t="s">
        <v>428</v>
      </c>
      <c r="J18" s="17"/>
    </row>
    <row r="19" spans="1:11" customFormat="1" x14ac:dyDescent="0.2">
      <c r="A19" s="3" t="s">
        <v>9</v>
      </c>
      <c r="B19" s="14" t="s">
        <v>4</v>
      </c>
      <c r="C19" s="15"/>
      <c r="D19" s="14" t="s">
        <v>10</v>
      </c>
      <c r="E19" s="86">
        <f>VLOOKUP(A19,'PSFA Runs'!A:E,5,FALSE)</f>
        <v>19392.400000000001</v>
      </c>
      <c r="F19" s="87">
        <f>VLOOKUP(A19,'PSFA Runs'!A:F,6,FALSE)</f>
        <v>586</v>
      </c>
      <c r="G19" s="88">
        <f t="shared" si="1"/>
        <v>19978.400000000001</v>
      </c>
      <c r="H19" s="89">
        <f t="shared" si="0"/>
        <v>6859.0983308395407</v>
      </c>
      <c r="I19" s="90" t="s">
        <v>428</v>
      </c>
      <c r="J19" s="17"/>
    </row>
    <row r="20" spans="1:11" customFormat="1" x14ac:dyDescent="0.2">
      <c r="A20" s="3" t="s">
        <v>11</v>
      </c>
      <c r="B20" s="14" t="s">
        <v>4</v>
      </c>
      <c r="C20" s="15"/>
      <c r="D20" s="14" t="s">
        <v>12</v>
      </c>
      <c r="E20" s="86">
        <f>VLOOKUP(A20,'PSFA Runs'!A:E,5,FALSE)</f>
        <v>1098</v>
      </c>
      <c r="F20" s="87">
        <f>VLOOKUP(A20,'PSFA Runs'!A:F,6,FALSE)</f>
        <v>0</v>
      </c>
      <c r="G20" s="88">
        <f t="shared" si="1"/>
        <v>1098</v>
      </c>
      <c r="H20" s="89">
        <f t="shared" si="0"/>
        <v>388.36296524730386</v>
      </c>
      <c r="I20" s="90" t="s">
        <v>429</v>
      </c>
      <c r="J20" s="17"/>
    </row>
    <row r="21" spans="1:11" customFormat="1" x14ac:dyDescent="0.2">
      <c r="A21" s="3" t="s">
        <v>13</v>
      </c>
      <c r="B21" s="14" t="s">
        <v>4</v>
      </c>
      <c r="C21" s="15"/>
      <c r="D21" s="14" t="s">
        <v>14</v>
      </c>
      <c r="E21" s="86">
        <f>VLOOKUP(A21,'PSFA Runs'!A:E,5,FALSE)</f>
        <v>1045.4000000000001</v>
      </c>
      <c r="F21" s="87">
        <f>VLOOKUP(A21,'PSFA Runs'!A:F,6,FALSE)</f>
        <v>0</v>
      </c>
      <c r="G21" s="88">
        <f t="shared" si="1"/>
        <v>1045.4000000000001</v>
      </c>
      <c r="H21" s="89">
        <f t="shared" si="0"/>
        <v>369.75832775002868</v>
      </c>
      <c r="I21" s="90" t="s">
        <v>429</v>
      </c>
      <c r="J21" s="17"/>
    </row>
    <row r="22" spans="1:11" customFormat="1" x14ac:dyDescent="0.2">
      <c r="A22" s="3" t="s">
        <v>15</v>
      </c>
      <c r="B22" s="14" t="s">
        <v>4</v>
      </c>
      <c r="C22" s="15"/>
      <c r="D22" s="14" t="s">
        <v>16</v>
      </c>
      <c r="E22" s="86">
        <f>VLOOKUP(A22,'PSFA Runs'!A:E,5,FALSE)</f>
        <v>9066.2999999999993</v>
      </c>
      <c r="F22" s="87">
        <f>VLOOKUP(A22,'PSFA Runs'!A:F,6,FALSE)</f>
        <v>980</v>
      </c>
      <c r="G22" s="88">
        <f t="shared" si="1"/>
        <v>10046.299999999999</v>
      </c>
      <c r="H22" s="89">
        <f t="shared" si="0"/>
        <v>3206.7533258849098</v>
      </c>
      <c r="I22" s="90" t="s">
        <v>428</v>
      </c>
      <c r="J22" s="17"/>
    </row>
    <row r="23" spans="1:11" customFormat="1" x14ac:dyDescent="0.2">
      <c r="A23" s="3" t="s">
        <v>17</v>
      </c>
      <c r="B23" s="14" t="s">
        <v>18</v>
      </c>
      <c r="C23" s="15"/>
      <c r="D23" s="14" t="s">
        <v>19</v>
      </c>
      <c r="E23" s="86">
        <f>VLOOKUP(A23,'PSFA Runs'!A:E,5,FALSE)</f>
        <v>2464.5</v>
      </c>
      <c r="F23" s="87">
        <f>VLOOKUP(A23,'PSFA Runs'!A:F,6,FALSE)</f>
        <v>0</v>
      </c>
      <c r="G23" s="88">
        <f t="shared" si="1"/>
        <v>2464.5</v>
      </c>
      <c r="H23" s="89">
        <f t="shared" si="0"/>
        <v>871.69446981054682</v>
      </c>
      <c r="I23" s="90" t="s">
        <v>445</v>
      </c>
      <c r="J23" s="17"/>
    </row>
    <row r="24" spans="1:11" customFormat="1" x14ac:dyDescent="0.2">
      <c r="A24" s="3" t="s">
        <v>20</v>
      </c>
      <c r="B24" s="14" t="s">
        <v>18</v>
      </c>
      <c r="C24" s="15"/>
      <c r="D24" s="14" t="s">
        <v>21</v>
      </c>
      <c r="E24" s="86">
        <f>VLOOKUP(A24,'PSFA Runs'!A:E,5,FALSE)</f>
        <v>284.7</v>
      </c>
      <c r="F24" s="87">
        <f>VLOOKUP(A24,'PSFA Runs'!A:F,6,FALSE)</f>
        <v>0</v>
      </c>
      <c r="G24" s="88">
        <f t="shared" si="1"/>
        <v>284.7</v>
      </c>
      <c r="H24" s="89">
        <f t="shared" si="0"/>
        <v>100.6984847048337</v>
      </c>
      <c r="I24" s="90" t="s">
        <v>445</v>
      </c>
      <c r="J24" s="17"/>
    </row>
    <row r="25" spans="1:11" customFormat="1" x14ac:dyDescent="0.2">
      <c r="A25" s="3" t="s">
        <v>22</v>
      </c>
      <c r="B25" s="14" t="s">
        <v>23</v>
      </c>
      <c r="C25" s="15"/>
      <c r="D25" s="14" t="s">
        <v>24</v>
      </c>
      <c r="E25" s="86">
        <f>VLOOKUP(A25,'PSFA Runs'!A:E,5,FALSE)</f>
        <v>2570.9</v>
      </c>
      <c r="F25" s="87">
        <f>VLOOKUP(A25,'PSFA Runs'!A:F,6,FALSE)</f>
        <v>0</v>
      </c>
      <c r="G25" s="88">
        <f t="shared" si="1"/>
        <v>2570.9</v>
      </c>
      <c r="H25" s="89">
        <f t="shared" si="0"/>
        <v>909.32818520427452</v>
      </c>
      <c r="I25" s="90" t="s">
        <v>431</v>
      </c>
      <c r="J25" s="17"/>
    </row>
    <row r="26" spans="1:11" customFormat="1" x14ac:dyDescent="0.2">
      <c r="A26" s="3" t="s">
        <v>27</v>
      </c>
      <c r="B26" s="14" t="s">
        <v>23</v>
      </c>
      <c r="C26" s="15"/>
      <c r="D26" s="14" t="s">
        <v>28</v>
      </c>
      <c r="E26" s="86">
        <f>VLOOKUP(A26,'PSFA Runs'!A:E,5,FALSE)</f>
        <v>54877.7</v>
      </c>
      <c r="F26" s="87">
        <f>VLOOKUP(A26,'PSFA Runs'!A:F,6,FALSE)</f>
        <v>0</v>
      </c>
      <c r="G26" s="88">
        <f t="shared" si="1"/>
        <v>54877.7</v>
      </c>
      <c r="H26" s="89">
        <f t="shared" si="0"/>
        <v>19410.260744947147</v>
      </c>
      <c r="I26" s="90" t="s">
        <v>430</v>
      </c>
      <c r="J26" s="17"/>
    </row>
    <row r="27" spans="1:11" customFormat="1" x14ac:dyDescent="0.2">
      <c r="A27" s="3" t="s">
        <v>29</v>
      </c>
      <c r="B27" s="14" t="s">
        <v>23</v>
      </c>
      <c r="C27" s="15"/>
      <c r="D27" s="14" t="s">
        <v>30</v>
      </c>
      <c r="E27" s="86">
        <f>VLOOKUP(A27,'PSFA Runs'!A:E,5,FALSE)</f>
        <v>14642.6</v>
      </c>
      <c r="F27" s="87">
        <f>VLOOKUP(A27,'PSFA Runs'!A:F,6,FALSE)</f>
        <v>0</v>
      </c>
      <c r="G27" s="88">
        <f t="shared" si="1"/>
        <v>14642.6</v>
      </c>
      <c r="H27" s="89">
        <f t="shared" si="0"/>
        <v>5179.0924908289362</v>
      </c>
      <c r="I27" s="90" t="s">
        <v>430</v>
      </c>
      <c r="J27" s="17"/>
    </row>
    <row r="28" spans="1:11" customFormat="1" x14ac:dyDescent="0.2">
      <c r="A28" s="3" t="s">
        <v>31</v>
      </c>
      <c r="B28" s="14" t="s">
        <v>23</v>
      </c>
      <c r="C28" s="15"/>
      <c r="D28" s="14" t="s">
        <v>32</v>
      </c>
      <c r="E28" s="86">
        <f>VLOOKUP(A28,'PSFA Runs'!A:E,5,FALSE)</f>
        <v>255</v>
      </c>
      <c r="F28" s="87">
        <f>VLOOKUP(A28,'PSFA Runs'!A:F,6,FALSE)</f>
        <v>0</v>
      </c>
      <c r="G28" s="88">
        <f t="shared" si="1"/>
        <v>255</v>
      </c>
      <c r="H28" s="89">
        <f t="shared" si="0"/>
        <v>90.193584825193511</v>
      </c>
      <c r="I28" s="90" t="s">
        <v>429</v>
      </c>
      <c r="J28" s="17"/>
    </row>
    <row r="29" spans="1:11" customFormat="1" x14ac:dyDescent="0.2">
      <c r="A29" s="3" t="s">
        <v>33</v>
      </c>
      <c r="B29" s="14" t="s">
        <v>23</v>
      </c>
      <c r="C29" s="15"/>
      <c r="D29" s="14" t="s">
        <v>34</v>
      </c>
      <c r="E29" s="86">
        <f>VLOOKUP(A29,'PSFA Runs'!A:E,5,FALSE)</f>
        <v>39096.400000000001</v>
      </c>
      <c r="F29" s="87">
        <f>VLOOKUP(A29,'PSFA Runs'!A:F,6,FALSE)</f>
        <v>1030.5</v>
      </c>
      <c r="G29" s="88">
        <f t="shared" si="1"/>
        <v>40126.9</v>
      </c>
      <c r="H29" s="89">
        <f t="shared" si="0"/>
        <v>13828.409685332141</v>
      </c>
      <c r="I29" s="90" t="s">
        <v>430</v>
      </c>
      <c r="J29" s="17"/>
    </row>
    <row r="30" spans="1:11" customFormat="1" x14ac:dyDescent="0.2">
      <c r="A30" s="3" t="s">
        <v>35</v>
      </c>
      <c r="B30" s="14" t="s">
        <v>23</v>
      </c>
      <c r="C30" s="15"/>
      <c r="D30" s="14" t="s">
        <v>36</v>
      </c>
      <c r="E30" s="86">
        <f>VLOOKUP(A30,'PSFA Runs'!A:E,5,FALSE)</f>
        <v>2138</v>
      </c>
      <c r="F30" s="87">
        <f>VLOOKUP(A30,'PSFA Runs'!A:F,6,FALSE)</f>
        <v>0</v>
      </c>
      <c r="G30" s="88">
        <f t="shared" si="1"/>
        <v>2138</v>
      </c>
      <c r="H30" s="89">
        <f t="shared" si="0"/>
        <v>756.21131120103428</v>
      </c>
      <c r="I30" s="90" t="s">
        <v>429</v>
      </c>
      <c r="J30" s="17"/>
    </row>
    <row r="31" spans="1:11" customFormat="1" x14ac:dyDescent="0.2">
      <c r="A31" s="3" t="s">
        <v>37</v>
      </c>
      <c r="B31" s="14" t="s">
        <v>38</v>
      </c>
      <c r="C31" s="15"/>
      <c r="D31" s="14" t="s">
        <v>39</v>
      </c>
      <c r="E31" s="86">
        <f>VLOOKUP(A31,'PSFA Runs'!A:E,5,FALSE)</f>
        <v>1731.8</v>
      </c>
      <c r="F31" s="87">
        <f>VLOOKUP(A31,'PSFA Runs'!A:F,6,FALSE)</f>
        <v>0</v>
      </c>
      <c r="G31" s="88">
        <f t="shared" si="1"/>
        <v>1731.8</v>
      </c>
      <c r="H31" s="89">
        <f t="shared" si="0"/>
        <v>612.53823607949073</v>
      </c>
      <c r="I31" s="90" t="s">
        <v>439</v>
      </c>
      <c r="J31" s="17"/>
    </row>
    <row r="32" spans="1:11" customFormat="1" x14ac:dyDescent="0.2">
      <c r="A32" s="3" t="s">
        <v>40</v>
      </c>
      <c r="B32" s="14" t="s">
        <v>41</v>
      </c>
      <c r="C32" s="15"/>
      <c r="D32" s="14" t="s">
        <v>42</v>
      </c>
      <c r="E32" s="86">
        <f>VLOOKUP(A32,'PSFA Runs'!A:E,5,FALSE)</f>
        <v>145.80000000000001</v>
      </c>
      <c r="F32" s="87">
        <f>VLOOKUP(A32,'PSFA Runs'!A:F,6,FALSE)</f>
        <v>0</v>
      </c>
      <c r="G32" s="88">
        <f t="shared" si="1"/>
        <v>145.80000000000001</v>
      </c>
      <c r="H32" s="89">
        <f t="shared" si="0"/>
        <v>51.569508500051825</v>
      </c>
      <c r="I32" s="76" t="s">
        <v>442</v>
      </c>
      <c r="J32" s="16"/>
    </row>
    <row r="33" spans="1:10" customFormat="1" x14ac:dyDescent="0.2">
      <c r="A33" s="3" t="s">
        <v>43</v>
      </c>
      <c r="B33" s="14" t="s">
        <v>41</v>
      </c>
      <c r="C33" s="15"/>
      <c r="D33" s="14" t="s">
        <v>44</v>
      </c>
      <c r="E33" s="86">
        <f>VLOOKUP(A33,'PSFA Runs'!A:E,5,FALSE)</f>
        <v>56.5</v>
      </c>
      <c r="F33" s="87">
        <f>VLOOKUP(A33,'PSFA Runs'!A:F,6,FALSE)</f>
        <v>0</v>
      </c>
      <c r="G33" s="88">
        <f t="shared" si="1"/>
        <v>56.5</v>
      </c>
      <c r="H33" s="89">
        <f t="shared" si="0"/>
        <v>19.984068794601704</v>
      </c>
      <c r="I33" s="76" t="s">
        <v>442</v>
      </c>
      <c r="J33" s="16"/>
    </row>
    <row r="34" spans="1:10" customFormat="1" x14ac:dyDescent="0.2">
      <c r="A34" s="3" t="s">
        <v>45</v>
      </c>
      <c r="B34" s="14" t="s">
        <v>41</v>
      </c>
      <c r="C34" s="15"/>
      <c r="D34" s="14" t="s">
        <v>46</v>
      </c>
      <c r="E34" s="86">
        <f>VLOOKUP(A34,'PSFA Runs'!A:E,5,FALSE)</f>
        <v>290.5</v>
      </c>
      <c r="F34" s="87">
        <f>VLOOKUP(A34,'PSFA Runs'!A:F,6,FALSE)</f>
        <v>0</v>
      </c>
      <c r="G34" s="88">
        <f t="shared" si="1"/>
        <v>290.5</v>
      </c>
      <c r="H34" s="89">
        <f t="shared" si="0"/>
        <v>102.74994663419105</v>
      </c>
      <c r="I34" s="76" t="s">
        <v>442</v>
      </c>
      <c r="J34" s="16"/>
    </row>
    <row r="35" spans="1:10" customFormat="1" x14ac:dyDescent="0.2">
      <c r="A35" s="3" t="s">
        <v>47</v>
      </c>
      <c r="B35" s="14" t="s">
        <v>41</v>
      </c>
      <c r="C35" s="15"/>
      <c r="D35" s="14" t="s">
        <v>48</v>
      </c>
      <c r="E35" s="86">
        <f>VLOOKUP(A35,'PSFA Runs'!A:E,5,FALSE)</f>
        <v>81.5</v>
      </c>
      <c r="F35" s="87">
        <f>VLOOKUP(A35,'PSFA Runs'!A:F,6,FALSE)</f>
        <v>0</v>
      </c>
      <c r="G35" s="88">
        <f t="shared" si="1"/>
        <v>81.5</v>
      </c>
      <c r="H35" s="89">
        <f t="shared" si="0"/>
        <v>28.826577110797146</v>
      </c>
      <c r="I35" s="76" t="s">
        <v>442</v>
      </c>
      <c r="J35" s="16"/>
    </row>
    <row r="36" spans="1:10" customFormat="1" x14ac:dyDescent="0.2">
      <c r="A36" s="3" t="s">
        <v>49</v>
      </c>
      <c r="B36" s="14" t="s">
        <v>41</v>
      </c>
      <c r="C36" s="15"/>
      <c r="D36" s="14" t="s">
        <v>50</v>
      </c>
      <c r="E36" s="86">
        <f>VLOOKUP(A36,'PSFA Runs'!A:E,5,FALSE)</f>
        <v>50</v>
      </c>
      <c r="F36" s="87">
        <f>VLOOKUP(A36,'PSFA Runs'!A:F,6,FALSE)</f>
        <v>0</v>
      </c>
      <c r="G36" s="88">
        <f t="shared" si="1"/>
        <v>50</v>
      </c>
      <c r="H36" s="89">
        <f t="shared" si="0"/>
        <v>17.685016632390887</v>
      </c>
      <c r="I36" s="76" t="s">
        <v>442</v>
      </c>
      <c r="J36" s="16"/>
    </row>
    <row r="37" spans="1:10" customFormat="1" x14ac:dyDescent="0.2">
      <c r="A37" s="3" t="s">
        <v>51</v>
      </c>
      <c r="B37" s="14" t="s">
        <v>52</v>
      </c>
      <c r="C37" s="15"/>
      <c r="D37" s="14" t="s">
        <v>53</v>
      </c>
      <c r="E37" s="86">
        <f>VLOOKUP(A37,'PSFA Runs'!A:E,5,FALSE)</f>
        <v>2471.4</v>
      </c>
      <c r="F37" s="87">
        <f>VLOOKUP(A37,'PSFA Runs'!A:F,6,FALSE)</f>
        <v>0</v>
      </c>
      <c r="G37" s="88">
        <f t="shared" si="1"/>
        <v>2471.4</v>
      </c>
      <c r="H37" s="89">
        <f t="shared" si="0"/>
        <v>874.13500210581674</v>
      </c>
      <c r="I37" s="76" t="s">
        <v>440</v>
      </c>
      <c r="J37" s="16"/>
    </row>
    <row r="38" spans="1:10" customFormat="1" x14ac:dyDescent="0.2">
      <c r="A38" s="3" t="s">
        <v>54</v>
      </c>
      <c r="B38" s="14" t="s">
        <v>52</v>
      </c>
      <c r="C38" s="15"/>
      <c r="D38" s="14" t="s">
        <v>55</v>
      </c>
      <c r="E38" s="86">
        <f>VLOOKUP(A38,'PSFA Runs'!A:E,5,FALSE)</f>
        <v>237.4</v>
      </c>
      <c r="F38" s="87">
        <f>VLOOKUP(A38,'PSFA Runs'!A:F,6,FALSE)</f>
        <v>0</v>
      </c>
      <c r="G38" s="88">
        <f t="shared" si="1"/>
        <v>237.4</v>
      </c>
      <c r="H38" s="89">
        <f t="shared" si="0"/>
        <v>83.968458970591939</v>
      </c>
      <c r="I38" s="76" t="s">
        <v>442</v>
      </c>
      <c r="J38" s="16"/>
    </row>
    <row r="39" spans="1:10" customFormat="1" x14ac:dyDescent="0.2">
      <c r="A39" s="3" t="s">
        <v>56</v>
      </c>
      <c r="B39" s="14" t="s">
        <v>57</v>
      </c>
      <c r="C39" s="15"/>
      <c r="D39" s="14" t="s">
        <v>58</v>
      </c>
      <c r="E39" s="86">
        <f>VLOOKUP(A39,'PSFA Runs'!A:E,5,FALSE)</f>
        <v>31517.5</v>
      </c>
      <c r="F39" s="87">
        <f>VLOOKUP(A39,'PSFA Runs'!A:F,6,FALSE)</f>
        <v>0</v>
      </c>
      <c r="G39" s="88">
        <f t="shared" si="1"/>
        <v>31517.5</v>
      </c>
      <c r="H39" s="89">
        <f t="shared" si="0"/>
        <v>11147.750234227595</v>
      </c>
      <c r="I39" s="90" t="s">
        <v>427</v>
      </c>
      <c r="J39" s="17"/>
    </row>
    <row r="40" spans="1:10" customFormat="1" x14ac:dyDescent="0.2">
      <c r="A40" s="3" t="s">
        <v>59</v>
      </c>
      <c r="B40" s="14" t="s">
        <v>57</v>
      </c>
      <c r="C40" s="15"/>
      <c r="D40" s="14" t="s">
        <v>60</v>
      </c>
      <c r="E40" s="86">
        <f>VLOOKUP(A40,'PSFA Runs'!A:E,5,FALSE)</f>
        <v>30142.7</v>
      </c>
      <c r="F40" s="87">
        <f>VLOOKUP(A40,'PSFA Runs'!A:F,6,FALSE)</f>
        <v>0</v>
      </c>
      <c r="G40" s="88">
        <f t="shared" si="1"/>
        <v>30142.7</v>
      </c>
      <c r="H40" s="89">
        <f t="shared" si="0"/>
        <v>10661.483016903376</v>
      </c>
      <c r="I40" s="90" t="s">
        <v>431</v>
      </c>
      <c r="J40" s="17"/>
    </row>
    <row r="41" spans="1:10" customFormat="1" x14ac:dyDescent="0.2">
      <c r="A41" s="3" t="s">
        <v>61</v>
      </c>
      <c r="B41" s="14" t="s">
        <v>62</v>
      </c>
      <c r="C41" s="15"/>
      <c r="D41" s="14" t="s">
        <v>63</v>
      </c>
      <c r="E41" s="86">
        <f>VLOOKUP(A41,'PSFA Runs'!A:E,5,FALSE)</f>
        <v>1051.9000000000001</v>
      </c>
      <c r="F41" s="87">
        <f>VLOOKUP(A41,'PSFA Runs'!A:F,6,FALSE)</f>
        <v>0</v>
      </c>
      <c r="G41" s="88">
        <f t="shared" si="1"/>
        <v>1051.9000000000001</v>
      </c>
      <c r="H41" s="89">
        <f t="shared" si="0"/>
        <v>372.05737991223947</v>
      </c>
      <c r="I41" s="90" t="s">
        <v>434</v>
      </c>
      <c r="J41" s="17"/>
    </row>
    <row r="42" spans="1:10" customFormat="1" x14ac:dyDescent="0.2">
      <c r="A42" s="3" t="s">
        <v>64</v>
      </c>
      <c r="B42" s="14" t="s">
        <v>62</v>
      </c>
      <c r="C42" s="15"/>
      <c r="D42" s="14" t="s">
        <v>65</v>
      </c>
      <c r="E42" s="86">
        <f>VLOOKUP(A42,'PSFA Runs'!A:E,5,FALSE)</f>
        <v>1299.5</v>
      </c>
      <c r="F42" s="87">
        <f>VLOOKUP(A42,'PSFA Runs'!A:F,6,FALSE)</f>
        <v>77</v>
      </c>
      <c r="G42" s="88">
        <f t="shared" si="1"/>
        <v>1376.5</v>
      </c>
      <c r="H42" s="89">
        <f t="shared" si="0"/>
        <v>459.63358227583916</v>
      </c>
      <c r="I42" s="90" t="s">
        <v>434</v>
      </c>
      <c r="J42" s="17"/>
    </row>
    <row r="43" spans="1:10" customFormat="1" x14ac:dyDescent="0.2">
      <c r="A43" s="3" t="s">
        <v>66</v>
      </c>
      <c r="B43" s="14" t="s">
        <v>67</v>
      </c>
      <c r="C43" s="15"/>
      <c r="D43" s="14" t="s">
        <v>68</v>
      </c>
      <c r="E43" s="86">
        <f>VLOOKUP(A43,'PSFA Runs'!A:E,5,FALSE)</f>
        <v>102.8</v>
      </c>
      <c r="F43" s="87">
        <f>VLOOKUP(A43,'PSFA Runs'!A:F,6,FALSE)</f>
        <v>0</v>
      </c>
      <c r="G43" s="88">
        <f t="shared" si="1"/>
        <v>102.8</v>
      </c>
      <c r="H43" s="89">
        <f t="shared" si="0"/>
        <v>36.360394196195664</v>
      </c>
      <c r="I43" s="90" t="s">
        <v>429</v>
      </c>
      <c r="J43" s="17"/>
    </row>
    <row r="44" spans="1:10" customFormat="1" x14ac:dyDescent="0.2">
      <c r="A44" s="3" t="s">
        <v>69</v>
      </c>
      <c r="B44" s="14" t="s">
        <v>67</v>
      </c>
      <c r="C44" s="15"/>
      <c r="D44" s="14" t="s">
        <v>70</v>
      </c>
      <c r="E44" s="86">
        <f>VLOOKUP(A44,'PSFA Runs'!A:E,5,FALSE)</f>
        <v>186.5</v>
      </c>
      <c r="F44" s="87">
        <f>VLOOKUP(A44,'PSFA Runs'!A:F,6,FALSE)</f>
        <v>0</v>
      </c>
      <c r="G44" s="88">
        <f t="shared" si="1"/>
        <v>186.5</v>
      </c>
      <c r="H44" s="89">
        <f t="shared" si="0"/>
        <v>65.965112038818006</v>
      </c>
      <c r="I44" s="90" t="s">
        <v>429</v>
      </c>
      <c r="J44" s="17"/>
    </row>
    <row r="45" spans="1:10" customFormat="1" x14ac:dyDescent="0.2">
      <c r="A45" s="3" t="s">
        <v>71</v>
      </c>
      <c r="B45" s="14" t="s">
        <v>72</v>
      </c>
      <c r="C45" s="15"/>
      <c r="D45" s="14" t="s">
        <v>73</v>
      </c>
      <c r="E45" s="86">
        <f>VLOOKUP(A45,'PSFA Runs'!A:E,5,FALSE)</f>
        <v>715</v>
      </c>
      <c r="F45" s="87">
        <f>VLOOKUP(A45,'PSFA Runs'!A:F,6,FALSE)</f>
        <v>0</v>
      </c>
      <c r="G45" s="88">
        <f t="shared" si="1"/>
        <v>715</v>
      </c>
      <c r="H45" s="89">
        <f t="shared" si="0"/>
        <v>252.89573784318966</v>
      </c>
      <c r="I45" s="90" t="s">
        <v>433</v>
      </c>
      <c r="J45" s="10"/>
    </row>
    <row r="46" spans="1:10" customFormat="1" x14ac:dyDescent="0.2">
      <c r="A46" s="3" t="s">
        <v>74</v>
      </c>
      <c r="B46" s="14" t="s">
        <v>75</v>
      </c>
      <c r="C46" s="15"/>
      <c r="D46" s="14" t="s">
        <v>76</v>
      </c>
      <c r="E46" s="86">
        <f>VLOOKUP(A46,'PSFA Runs'!A:E,5,FALSE)</f>
        <v>1106</v>
      </c>
      <c r="F46" s="87">
        <f>VLOOKUP(A46,'PSFA Runs'!A:F,6,FALSE)</f>
        <v>0</v>
      </c>
      <c r="G46" s="88">
        <f t="shared" si="1"/>
        <v>1106</v>
      </c>
      <c r="H46" s="89">
        <f t="shared" si="0"/>
        <v>391.19256790848635</v>
      </c>
      <c r="I46" s="90" t="s">
        <v>445</v>
      </c>
      <c r="J46" s="17"/>
    </row>
    <row r="47" spans="1:10" customFormat="1" x14ac:dyDescent="0.2">
      <c r="A47" s="3" t="s">
        <v>77</v>
      </c>
      <c r="B47" s="14" t="s">
        <v>75</v>
      </c>
      <c r="C47" s="15"/>
      <c r="D47" s="14" t="s">
        <v>78</v>
      </c>
      <c r="E47" s="86">
        <f>VLOOKUP(A47,'PSFA Runs'!A:E,5,FALSE)</f>
        <v>355.2</v>
      </c>
      <c r="F47" s="87">
        <f>VLOOKUP(A47,'PSFA Runs'!A:F,6,FALSE)</f>
        <v>0</v>
      </c>
      <c r="G47" s="88">
        <f t="shared" si="1"/>
        <v>355.2</v>
      </c>
      <c r="H47" s="89">
        <f t="shared" si="0"/>
        <v>125.63435815650486</v>
      </c>
      <c r="I47" s="90" t="s">
        <v>445</v>
      </c>
      <c r="J47" s="17"/>
    </row>
    <row r="48" spans="1:10" customFormat="1" x14ac:dyDescent="0.2">
      <c r="A48" s="3" t="s">
        <v>79</v>
      </c>
      <c r="B48" s="14" t="s">
        <v>75</v>
      </c>
      <c r="C48" s="15"/>
      <c r="D48" s="14" t="s">
        <v>80</v>
      </c>
      <c r="E48" s="86">
        <f>VLOOKUP(A48,'PSFA Runs'!A:E,5,FALSE)</f>
        <v>172</v>
      </c>
      <c r="F48" s="87">
        <f>VLOOKUP(A48,'PSFA Runs'!A:F,6,FALSE)</f>
        <v>0</v>
      </c>
      <c r="G48" s="88">
        <f t="shared" si="1"/>
        <v>172</v>
      </c>
      <c r="H48" s="89">
        <f t="shared" ref="H48:H80" si="2">$D$11*(E48/$G$191)</f>
        <v>60.836457215424645</v>
      </c>
      <c r="I48" s="90" t="s">
        <v>445</v>
      </c>
      <c r="J48" s="17"/>
    </row>
    <row r="49" spans="1:10" customFormat="1" x14ac:dyDescent="0.2">
      <c r="A49" s="3" t="s">
        <v>81</v>
      </c>
      <c r="B49" s="14" t="s">
        <v>82</v>
      </c>
      <c r="C49" s="15"/>
      <c r="D49" s="14" t="s">
        <v>83</v>
      </c>
      <c r="E49" s="86">
        <f>VLOOKUP(A49,'PSFA Runs'!A:E,5,FALSE)</f>
        <v>220.5</v>
      </c>
      <c r="F49" s="87">
        <f>VLOOKUP(A49,'PSFA Runs'!A:F,6,FALSE)</f>
        <v>0</v>
      </c>
      <c r="G49" s="88">
        <f t="shared" si="1"/>
        <v>220.5</v>
      </c>
      <c r="H49" s="89">
        <f t="shared" si="2"/>
        <v>77.990923348843808</v>
      </c>
      <c r="I49" s="90" t="s">
        <v>445</v>
      </c>
      <c r="J49" s="17"/>
    </row>
    <row r="50" spans="1:10" customFormat="1" x14ac:dyDescent="0.2">
      <c r="A50" s="3" t="s">
        <v>84</v>
      </c>
      <c r="B50" s="14" t="s">
        <v>82</v>
      </c>
      <c r="C50" s="15"/>
      <c r="D50" s="14" t="s">
        <v>85</v>
      </c>
      <c r="E50" s="86">
        <f>VLOOKUP(A50,'PSFA Runs'!A:E,5,FALSE)</f>
        <v>272.39999999999998</v>
      </c>
      <c r="F50" s="87">
        <f>VLOOKUP(A50,'PSFA Runs'!A:F,6,FALSE)</f>
        <v>0</v>
      </c>
      <c r="G50" s="88">
        <f t="shared" si="1"/>
        <v>272.39999999999998</v>
      </c>
      <c r="H50" s="89">
        <f t="shared" si="2"/>
        <v>96.347970613265531</v>
      </c>
      <c r="I50" s="90" t="s">
        <v>445</v>
      </c>
      <c r="J50" s="17"/>
    </row>
    <row r="51" spans="1:10" customFormat="1" x14ac:dyDescent="0.2">
      <c r="A51" s="3" t="s">
        <v>86</v>
      </c>
      <c r="B51" s="14" t="s">
        <v>87</v>
      </c>
      <c r="C51" s="15"/>
      <c r="D51" s="14" t="s">
        <v>88</v>
      </c>
      <c r="E51" s="86">
        <f>VLOOKUP(A51,'PSFA Runs'!A:E,5,FALSE)</f>
        <v>458</v>
      </c>
      <c r="F51" s="87">
        <f>VLOOKUP(A51,'PSFA Runs'!A:F,6,FALSE)</f>
        <v>0</v>
      </c>
      <c r="G51" s="88">
        <f t="shared" si="1"/>
        <v>458</v>
      </c>
      <c r="H51" s="89">
        <f t="shared" si="2"/>
        <v>161.99475235270052</v>
      </c>
      <c r="I51" s="90" t="s">
        <v>441</v>
      </c>
      <c r="J51" s="17"/>
    </row>
    <row r="52" spans="1:10" customFormat="1" x14ac:dyDescent="0.2">
      <c r="A52" s="3" t="s">
        <v>89</v>
      </c>
      <c r="B52" s="14" t="s">
        <v>90</v>
      </c>
      <c r="C52" s="15"/>
      <c r="D52" s="14" t="s">
        <v>91</v>
      </c>
      <c r="E52" s="86">
        <f>VLOOKUP(A52,'PSFA Runs'!A:E,5,FALSE)</f>
        <v>390.5</v>
      </c>
      <c r="F52" s="87">
        <f>VLOOKUP(A52,'PSFA Runs'!A:F,6,FALSE)</f>
        <v>0</v>
      </c>
      <c r="G52" s="88">
        <f t="shared" si="1"/>
        <v>390.5</v>
      </c>
      <c r="H52" s="89">
        <f t="shared" si="2"/>
        <v>138.11997989897282</v>
      </c>
      <c r="I52" s="90" t="s">
        <v>441</v>
      </c>
      <c r="J52" s="17"/>
    </row>
    <row r="53" spans="1:10" customFormat="1" x14ac:dyDescent="0.2">
      <c r="A53" s="3" t="s">
        <v>92</v>
      </c>
      <c r="B53" s="14" t="s">
        <v>93</v>
      </c>
      <c r="C53" s="15"/>
      <c r="D53" s="14" t="s">
        <v>94</v>
      </c>
      <c r="E53" s="86">
        <f>VLOOKUP(A53,'PSFA Runs'!A:E,5,FALSE)</f>
        <v>4799.6000000000004</v>
      </c>
      <c r="F53" s="87">
        <f>VLOOKUP(A53,'PSFA Runs'!A:F,6,FALSE)</f>
        <v>0</v>
      </c>
      <c r="G53" s="88">
        <f t="shared" si="1"/>
        <v>4799.6000000000004</v>
      </c>
      <c r="H53" s="89">
        <f t="shared" si="2"/>
        <v>1697.620116576466</v>
      </c>
      <c r="I53" s="90" t="s">
        <v>432</v>
      </c>
      <c r="J53" s="17"/>
    </row>
    <row r="54" spans="1:10" customFormat="1" x14ac:dyDescent="0.2">
      <c r="A54" s="3" t="s">
        <v>95</v>
      </c>
      <c r="B54" s="14" t="s">
        <v>96</v>
      </c>
      <c r="C54" s="15"/>
      <c r="D54" s="14" t="s">
        <v>97</v>
      </c>
      <c r="E54" s="86">
        <f>VLOOKUP(A54,'PSFA Runs'!A:E,5,FALSE)</f>
        <v>91201.600000000006</v>
      </c>
      <c r="F54" s="87">
        <f>VLOOKUP(A54,'PSFA Runs'!A:F,6,FALSE)</f>
        <v>0</v>
      </c>
      <c r="G54" s="88">
        <f t="shared" si="1"/>
        <v>91201.600000000006</v>
      </c>
      <c r="H54" s="89">
        <f t="shared" si="2"/>
        <v>32258.036258013213</v>
      </c>
      <c r="I54" s="90" t="s">
        <v>430</v>
      </c>
      <c r="J54" s="17"/>
    </row>
    <row r="55" spans="1:10" customFormat="1" x14ac:dyDescent="0.2">
      <c r="A55" s="3" t="s">
        <v>98</v>
      </c>
      <c r="B55" s="14" t="s">
        <v>99</v>
      </c>
      <c r="C55" s="15"/>
      <c r="D55" s="14" t="s">
        <v>100</v>
      </c>
      <c r="E55" s="86">
        <f>VLOOKUP(A55,'PSFA Runs'!A:E,5,FALSE)</f>
        <v>231.9</v>
      </c>
      <c r="F55" s="87">
        <f>VLOOKUP(A55,'PSFA Runs'!A:F,6,FALSE)</f>
        <v>0</v>
      </c>
      <c r="G55" s="88">
        <f t="shared" si="1"/>
        <v>231.9</v>
      </c>
      <c r="H55" s="89">
        <f t="shared" si="2"/>
        <v>82.02310714102893</v>
      </c>
      <c r="I55" s="90" t="s">
        <v>439</v>
      </c>
      <c r="J55" s="17"/>
    </row>
    <row r="56" spans="1:10" customFormat="1" x14ac:dyDescent="0.2">
      <c r="A56" s="3" t="s">
        <v>101</v>
      </c>
      <c r="B56" s="14" t="s">
        <v>102</v>
      </c>
      <c r="C56" s="15"/>
      <c r="D56" s="14" t="s">
        <v>103</v>
      </c>
      <c r="E56" s="86">
        <f>VLOOKUP(A56,'PSFA Runs'!A:E,5,FALSE)</f>
        <v>65086.3</v>
      </c>
      <c r="F56" s="87">
        <f>VLOOKUP(A56,'PSFA Runs'!A:F,6,FALSE)</f>
        <v>1193</v>
      </c>
      <c r="G56" s="88">
        <f t="shared" si="1"/>
        <v>66279.3</v>
      </c>
      <c r="H56" s="89">
        <f t="shared" si="2"/>
        <v>23021.045960815663</v>
      </c>
      <c r="I56" s="90" t="s">
        <v>430</v>
      </c>
      <c r="J56" s="17"/>
    </row>
    <row r="57" spans="1:10" customFormat="1" x14ac:dyDescent="0.2">
      <c r="A57" s="3" t="s">
        <v>104</v>
      </c>
      <c r="B57" s="14" t="s">
        <v>105</v>
      </c>
      <c r="C57" s="15"/>
      <c r="D57" s="14" t="s">
        <v>106</v>
      </c>
      <c r="E57" s="86">
        <f>VLOOKUP(A57,'PSFA Runs'!A:E,5,FALSE)</f>
        <v>6693</v>
      </c>
      <c r="F57" s="87">
        <f>VLOOKUP(A57,'PSFA Runs'!A:F,6,FALSE)</f>
        <v>292</v>
      </c>
      <c r="G57" s="88">
        <f>SUM(E57:F57)</f>
        <v>6985</v>
      </c>
      <c r="H57" s="89">
        <f t="shared" si="2"/>
        <v>2367.3163264118443</v>
      </c>
      <c r="I57" s="90" t="s">
        <v>434</v>
      </c>
      <c r="J57" s="17"/>
    </row>
    <row r="58" spans="1:10" customFormat="1" x14ac:dyDescent="0.2">
      <c r="A58" s="3" t="s">
        <v>110</v>
      </c>
      <c r="B58" s="14" t="s">
        <v>108</v>
      </c>
      <c r="C58" s="15"/>
      <c r="D58" s="14" t="s">
        <v>111</v>
      </c>
      <c r="E58" s="86">
        <f>VLOOKUP(A58,'PSFA Runs'!A:E,5,FALSE)</f>
        <v>248.9</v>
      </c>
      <c r="F58" s="87">
        <f>VLOOKUP(A58,'PSFA Runs'!A:F,6,FALSE)</f>
        <v>0</v>
      </c>
      <c r="G58" s="88">
        <f t="shared" si="1"/>
        <v>248.9</v>
      </c>
      <c r="H58" s="89">
        <f t="shared" si="2"/>
        <v>88.036012796041831</v>
      </c>
      <c r="I58" s="90" t="s">
        <v>429</v>
      </c>
      <c r="J58" s="17"/>
    </row>
    <row r="59" spans="1:10" customFormat="1" x14ac:dyDescent="0.2">
      <c r="A59" s="3" t="s">
        <v>112</v>
      </c>
      <c r="B59" s="14" t="s">
        <v>108</v>
      </c>
      <c r="C59" s="15"/>
      <c r="D59" s="14" t="s">
        <v>113</v>
      </c>
      <c r="E59" s="86">
        <f>VLOOKUP(A59,'PSFA Runs'!A:E,5,FALSE)</f>
        <v>325</v>
      </c>
      <c r="F59" s="87">
        <f>VLOOKUP(A59,'PSFA Runs'!A:F,6,FALSE)</f>
        <v>0</v>
      </c>
      <c r="G59" s="88">
        <f t="shared" si="1"/>
        <v>325</v>
      </c>
      <c r="H59" s="89">
        <f t="shared" si="2"/>
        <v>114.95260811054075</v>
      </c>
      <c r="I59" s="90" t="s">
        <v>437</v>
      </c>
      <c r="J59" s="17"/>
    </row>
    <row r="60" spans="1:10" customFormat="1" x14ac:dyDescent="0.2">
      <c r="A60" s="3" t="s">
        <v>114</v>
      </c>
      <c r="B60" s="14" t="s">
        <v>108</v>
      </c>
      <c r="C60" s="15"/>
      <c r="D60" s="14" t="s">
        <v>115</v>
      </c>
      <c r="E60" s="86">
        <f>VLOOKUP(A60,'PSFA Runs'!A:E,5,FALSE)</f>
        <v>236.5</v>
      </c>
      <c r="F60" s="87">
        <f>VLOOKUP(A60,'PSFA Runs'!A:F,6,FALSE)</f>
        <v>0</v>
      </c>
      <c r="G60" s="88">
        <f t="shared" si="1"/>
        <v>236.5</v>
      </c>
      <c r="H60" s="89">
        <f t="shared" si="2"/>
        <v>83.65012867120889</v>
      </c>
      <c r="I60" s="90" t="s">
        <v>437</v>
      </c>
      <c r="J60" s="17"/>
    </row>
    <row r="61" spans="1:10" customFormat="1" x14ac:dyDescent="0.2">
      <c r="A61" s="3" t="s">
        <v>116</v>
      </c>
      <c r="B61" s="14" t="s">
        <v>108</v>
      </c>
      <c r="C61" s="15"/>
      <c r="D61" s="14" t="s">
        <v>117</v>
      </c>
      <c r="E61" s="86">
        <f>VLOOKUP(A61,'PSFA Runs'!A:E,5,FALSE)</f>
        <v>50</v>
      </c>
      <c r="F61" s="87">
        <f>VLOOKUP(A61,'PSFA Runs'!A:F,6,FALSE)</f>
        <v>0</v>
      </c>
      <c r="G61" s="88">
        <f t="shared" si="1"/>
        <v>50</v>
      </c>
      <c r="H61" s="89">
        <f t="shared" si="2"/>
        <v>17.685016632390887</v>
      </c>
      <c r="I61" s="90" t="s">
        <v>429</v>
      </c>
      <c r="J61" s="17"/>
    </row>
    <row r="62" spans="1:10" customFormat="1" x14ac:dyDescent="0.2">
      <c r="A62" s="3" t="s">
        <v>118</v>
      </c>
      <c r="B62" s="14" t="s">
        <v>119</v>
      </c>
      <c r="C62" s="15"/>
      <c r="D62" s="14" t="s">
        <v>120</v>
      </c>
      <c r="E62" s="86">
        <f>VLOOKUP(A62,'PSFA Runs'!A:E,5,FALSE)</f>
        <v>462</v>
      </c>
      <c r="F62" s="87">
        <f>VLOOKUP(A62,'PSFA Runs'!A:F,6,FALSE)</f>
        <v>0</v>
      </c>
      <c r="G62" s="88">
        <f t="shared" si="1"/>
        <v>462</v>
      </c>
      <c r="H62" s="89">
        <f t="shared" si="2"/>
        <v>163.40955368329179</v>
      </c>
      <c r="I62" s="90" t="s">
        <v>437</v>
      </c>
      <c r="J62" s="17"/>
    </row>
    <row r="63" spans="1:10" customFormat="1" x14ac:dyDescent="0.2">
      <c r="A63" s="3" t="s">
        <v>121</v>
      </c>
      <c r="B63" s="14" t="s">
        <v>119</v>
      </c>
      <c r="C63" s="15"/>
      <c r="D63" s="14" t="s">
        <v>122</v>
      </c>
      <c r="E63" s="86">
        <f>VLOOKUP(A63,'PSFA Runs'!A:E,5,FALSE)</f>
        <v>11699.2</v>
      </c>
      <c r="F63" s="87">
        <f>VLOOKUP(A63,'PSFA Runs'!A:F,6,FALSE)</f>
        <v>0</v>
      </c>
      <c r="G63" s="88">
        <f t="shared" si="1"/>
        <v>11699.2</v>
      </c>
      <c r="H63" s="89">
        <f t="shared" si="2"/>
        <v>4138.0109317133492</v>
      </c>
      <c r="I63" s="90" t="s">
        <v>437</v>
      </c>
      <c r="J63" s="17"/>
    </row>
    <row r="64" spans="1:10" customFormat="1" x14ac:dyDescent="0.2">
      <c r="A64" s="3" t="s">
        <v>123</v>
      </c>
      <c r="B64" s="14" t="s">
        <v>119</v>
      </c>
      <c r="C64" s="15"/>
      <c r="D64" s="14" t="s">
        <v>124</v>
      </c>
      <c r="E64" s="86">
        <f>VLOOKUP(A64,'PSFA Runs'!A:E,5,FALSE)</f>
        <v>9448.7999999999993</v>
      </c>
      <c r="F64" s="87">
        <f>VLOOKUP(A64,'PSFA Runs'!A:F,6,FALSE)</f>
        <v>0</v>
      </c>
      <c r="G64" s="88">
        <f t="shared" si="1"/>
        <v>9448.7999999999993</v>
      </c>
      <c r="H64" s="89">
        <f t="shared" si="2"/>
        <v>3342.0437031227002</v>
      </c>
      <c r="I64" s="90" t="s">
        <v>437</v>
      </c>
      <c r="J64" s="17"/>
    </row>
    <row r="65" spans="1:12" customFormat="1" x14ac:dyDescent="0.2">
      <c r="A65" s="3" t="s">
        <v>125</v>
      </c>
      <c r="B65" s="14" t="s">
        <v>119</v>
      </c>
      <c r="C65" s="15"/>
      <c r="D65" s="14" t="s">
        <v>126</v>
      </c>
      <c r="E65" s="86">
        <f>VLOOKUP(A65,'PSFA Runs'!A:E,5,FALSE)</f>
        <v>8444.4</v>
      </c>
      <c r="F65" s="87">
        <f>VLOOKUP(A65,'PSFA Runs'!A:F,6,FALSE)</f>
        <v>0</v>
      </c>
      <c r="G65" s="88">
        <f t="shared" si="1"/>
        <v>8444.4</v>
      </c>
      <c r="H65" s="89">
        <f t="shared" si="2"/>
        <v>2986.7870890112317</v>
      </c>
      <c r="I65" s="90" t="s">
        <v>437</v>
      </c>
      <c r="J65" s="17"/>
    </row>
    <row r="66" spans="1:12" customFormat="1" x14ac:dyDescent="0.2">
      <c r="A66" s="3" t="s">
        <v>127</v>
      </c>
      <c r="B66" s="14" t="s">
        <v>119</v>
      </c>
      <c r="C66" s="15"/>
      <c r="D66" s="14" t="s">
        <v>128</v>
      </c>
      <c r="E66" s="86">
        <f>VLOOKUP(A66,'PSFA Runs'!A:E,5,FALSE)</f>
        <v>26211.3</v>
      </c>
      <c r="F66" s="87">
        <f>VLOOKUP(A66,'PSFA Runs'!A:F,6,FALSE)</f>
        <v>3488</v>
      </c>
      <c r="G66" s="88">
        <f t="shared" si="1"/>
        <v>29699.3</v>
      </c>
      <c r="H66" s="89">
        <f t="shared" si="2"/>
        <v>9270.9455291317445</v>
      </c>
      <c r="I66" s="90" t="s">
        <v>437</v>
      </c>
      <c r="J66" s="17"/>
    </row>
    <row r="67" spans="1:12" customFormat="1" x14ac:dyDescent="0.2">
      <c r="A67" s="3" t="s">
        <v>129</v>
      </c>
      <c r="B67" s="14" t="s">
        <v>119</v>
      </c>
      <c r="C67" s="15"/>
      <c r="D67" s="14" t="s">
        <v>130</v>
      </c>
      <c r="E67" s="86">
        <f>VLOOKUP(A67,'PSFA Runs'!A:E,5,FALSE)</f>
        <v>5197.2</v>
      </c>
      <c r="F67" s="87">
        <f>VLOOKUP(A67,'PSFA Runs'!A:F,6,FALSE)</f>
        <v>0</v>
      </c>
      <c r="G67" s="88">
        <f t="shared" si="1"/>
        <v>5197.2</v>
      </c>
      <c r="H67" s="89">
        <f t="shared" si="2"/>
        <v>1838.2513688372383</v>
      </c>
      <c r="I67" s="90" t="s">
        <v>437</v>
      </c>
      <c r="J67" s="17"/>
    </row>
    <row r="68" spans="1:12" customFormat="1" x14ac:dyDescent="0.2">
      <c r="A68" s="3" t="s">
        <v>131</v>
      </c>
      <c r="B68" s="14" t="s">
        <v>119</v>
      </c>
      <c r="C68" s="15"/>
      <c r="D68" s="14" t="s">
        <v>132</v>
      </c>
      <c r="E68" s="86">
        <f>VLOOKUP(A68,'PSFA Runs'!A:E,5,FALSE)</f>
        <v>1425.5</v>
      </c>
      <c r="F68" s="87">
        <f>VLOOKUP(A68,'PSFA Runs'!A:F,6,FALSE)</f>
        <v>0</v>
      </c>
      <c r="G68" s="88">
        <f t="shared" si="1"/>
        <v>1425.5</v>
      </c>
      <c r="H68" s="89">
        <f t="shared" si="2"/>
        <v>504.19982418946421</v>
      </c>
      <c r="I68" s="76" t="s">
        <v>444</v>
      </c>
      <c r="J68" s="16"/>
    </row>
    <row r="69" spans="1:12" customFormat="1" x14ac:dyDescent="0.2">
      <c r="A69" s="3" t="s">
        <v>133</v>
      </c>
      <c r="B69" s="14" t="s">
        <v>119</v>
      </c>
      <c r="C69" s="15"/>
      <c r="D69" s="14" t="s">
        <v>134</v>
      </c>
      <c r="E69" s="86">
        <f>VLOOKUP(A69,'PSFA Runs'!A:E,5,FALSE)</f>
        <v>25965.9</v>
      </c>
      <c r="F69" s="87">
        <f>VLOOKUP(A69,'PSFA Runs'!A:F,6,FALSE)</f>
        <v>0</v>
      </c>
      <c r="G69" s="88">
        <f t="shared" si="1"/>
        <v>25965.9</v>
      </c>
      <c r="H69" s="89">
        <f t="shared" si="2"/>
        <v>9184.1474674999699</v>
      </c>
      <c r="I69" s="90" t="s">
        <v>437</v>
      </c>
      <c r="J69" s="17"/>
    </row>
    <row r="70" spans="1:12" customFormat="1" x14ac:dyDescent="0.2">
      <c r="A70" s="3" t="s">
        <v>135</v>
      </c>
      <c r="B70" s="14" t="s">
        <v>119</v>
      </c>
      <c r="C70" s="15"/>
      <c r="D70" s="14" t="s">
        <v>136</v>
      </c>
      <c r="E70" s="86">
        <f>VLOOKUP(A70,'PSFA Runs'!A:E,5,FALSE)</f>
        <v>1094.9000000000001</v>
      </c>
      <c r="F70" s="87">
        <f>VLOOKUP(A70,'PSFA Runs'!A:F,6,FALSE)</f>
        <v>0</v>
      </c>
      <c r="G70" s="88">
        <f t="shared" si="1"/>
        <v>1094.9000000000001</v>
      </c>
      <c r="H70" s="89">
        <f t="shared" si="2"/>
        <v>387.26649421609568</v>
      </c>
      <c r="I70" s="90" t="s">
        <v>437</v>
      </c>
      <c r="J70" s="17"/>
    </row>
    <row r="71" spans="1:12" customFormat="1" x14ac:dyDescent="0.2">
      <c r="A71" s="3" t="s">
        <v>137</v>
      </c>
      <c r="B71" s="14" t="s">
        <v>119</v>
      </c>
      <c r="C71" s="15"/>
      <c r="D71" s="14" t="s">
        <v>138</v>
      </c>
      <c r="E71" s="86">
        <f>VLOOKUP(A71,'PSFA Runs'!A:E,5,FALSE)</f>
        <v>639.79999999999995</v>
      </c>
      <c r="F71" s="87">
        <f>VLOOKUP(A71,'PSFA Runs'!A:F,6,FALSE)</f>
        <v>0</v>
      </c>
      <c r="G71" s="88">
        <f t="shared" si="1"/>
        <v>639.79999999999995</v>
      </c>
      <c r="H71" s="89">
        <f t="shared" si="2"/>
        <v>226.29747282807378</v>
      </c>
      <c r="I71" s="90" t="s">
        <v>437</v>
      </c>
      <c r="J71" s="17"/>
    </row>
    <row r="72" spans="1:12" customFormat="1" x14ac:dyDescent="0.2">
      <c r="A72" s="3" t="s">
        <v>139</v>
      </c>
      <c r="B72" s="14" t="s">
        <v>119</v>
      </c>
      <c r="C72" s="15"/>
      <c r="D72" s="14" t="s">
        <v>140</v>
      </c>
      <c r="E72" s="86">
        <f>VLOOKUP(A72,'PSFA Runs'!A:E,5,FALSE)</f>
        <v>250.8</v>
      </c>
      <c r="F72" s="87">
        <f>VLOOKUP(A72,'PSFA Runs'!A:F,6,FALSE)</f>
        <v>0</v>
      </c>
      <c r="G72" s="88">
        <f t="shared" si="1"/>
        <v>250.8</v>
      </c>
      <c r="H72" s="89">
        <f t="shared" si="2"/>
        <v>88.708043428072699</v>
      </c>
      <c r="I72" s="90" t="s">
        <v>437</v>
      </c>
      <c r="J72" s="17"/>
    </row>
    <row r="73" spans="1:12" customFormat="1" x14ac:dyDescent="0.2">
      <c r="A73" s="3" t="s">
        <v>141</v>
      </c>
      <c r="B73" s="14" t="s">
        <v>119</v>
      </c>
      <c r="C73" s="15"/>
      <c r="D73" s="14" t="s">
        <v>142</v>
      </c>
      <c r="E73" s="86">
        <f>VLOOKUP(A73,'PSFA Runs'!A:E,5,FALSE)</f>
        <v>6593.5</v>
      </c>
      <c r="F73" s="87">
        <f>VLOOKUP(A73,'PSFA Runs'!A:F,6,FALSE)</f>
        <v>0</v>
      </c>
      <c r="G73" s="88">
        <f t="shared" si="1"/>
        <v>6593.5</v>
      </c>
      <c r="H73" s="89">
        <f t="shared" si="2"/>
        <v>2332.1231433133862</v>
      </c>
      <c r="I73" s="90" t="s">
        <v>437</v>
      </c>
      <c r="J73" s="17"/>
    </row>
    <row r="74" spans="1:12" customFormat="1" x14ac:dyDescent="0.2">
      <c r="A74" s="3" t="s">
        <v>143</v>
      </c>
      <c r="B74" s="14" t="s">
        <v>119</v>
      </c>
      <c r="C74" s="15"/>
      <c r="D74" s="14" t="s">
        <v>144</v>
      </c>
      <c r="E74" s="86">
        <f>VLOOKUP(A74,'PSFA Runs'!A:E,5,FALSE)</f>
        <v>26662.7</v>
      </c>
      <c r="F74" s="87">
        <f>VLOOKUP(A74,'PSFA Runs'!A:F,6,FALSE)</f>
        <v>0</v>
      </c>
      <c r="G74" s="88">
        <f t="shared" si="1"/>
        <v>26662.7</v>
      </c>
      <c r="H74" s="89">
        <f t="shared" si="2"/>
        <v>9430.6058592889694</v>
      </c>
      <c r="I74" s="90" t="s">
        <v>480</v>
      </c>
      <c r="J74" s="17"/>
      <c r="L74" s="17"/>
    </row>
    <row r="75" spans="1:12" customFormat="1" x14ac:dyDescent="0.2">
      <c r="A75" s="3" t="s">
        <v>145</v>
      </c>
      <c r="B75" s="14" t="s">
        <v>119</v>
      </c>
      <c r="C75" s="15"/>
      <c r="D75" s="14" t="s">
        <v>146</v>
      </c>
      <c r="E75" s="86">
        <f>VLOOKUP(A75,'PSFA Runs'!A:E,5,FALSE)</f>
        <v>213</v>
      </c>
      <c r="F75" s="87">
        <f>VLOOKUP(A75,'PSFA Runs'!A:F,6,FALSE)</f>
        <v>0</v>
      </c>
      <c r="G75" s="88">
        <f t="shared" si="1"/>
        <v>213</v>
      </c>
      <c r="H75" s="89">
        <f t="shared" si="2"/>
        <v>75.338170853985176</v>
      </c>
      <c r="I75" s="90" t="s">
        <v>437</v>
      </c>
      <c r="J75" s="17"/>
    </row>
    <row r="76" spans="1:12" customFormat="1" x14ac:dyDescent="0.2">
      <c r="A76" s="3" t="s">
        <v>147</v>
      </c>
      <c r="B76" s="14" t="s">
        <v>119</v>
      </c>
      <c r="C76" s="15"/>
      <c r="D76" s="14" t="s">
        <v>148</v>
      </c>
      <c r="E76" s="86">
        <f>VLOOKUP(A76,'PSFA Runs'!A:E,5,FALSE)</f>
        <v>283.2</v>
      </c>
      <c r="F76" s="87">
        <f>VLOOKUP(A76,'PSFA Runs'!A:F,6,FALSE)</f>
        <v>0</v>
      </c>
      <c r="G76" s="88">
        <f t="shared" si="1"/>
        <v>283.2</v>
      </c>
      <c r="H76" s="89">
        <f t="shared" si="2"/>
        <v>100.16793420586198</v>
      </c>
      <c r="I76" s="90" t="s">
        <v>437</v>
      </c>
      <c r="J76" s="17"/>
    </row>
    <row r="77" spans="1:12" customFormat="1" x14ac:dyDescent="0.2">
      <c r="A77" s="3" t="s">
        <v>149</v>
      </c>
      <c r="B77" s="14" t="s">
        <v>150</v>
      </c>
      <c r="C77" s="15"/>
      <c r="D77" s="14" t="s">
        <v>151</v>
      </c>
      <c r="E77" s="86">
        <f>VLOOKUP(A77,'PSFA Runs'!A:E,5,FALSE)</f>
        <v>3681</v>
      </c>
      <c r="F77" s="87">
        <f>VLOOKUP(A77,'PSFA Runs'!A:F,6,FALSE)</f>
        <v>0</v>
      </c>
      <c r="G77" s="88">
        <f t="shared" si="1"/>
        <v>3681</v>
      </c>
      <c r="H77" s="89">
        <f t="shared" si="2"/>
        <v>1301.970924476617</v>
      </c>
      <c r="I77" s="90" t="s">
        <v>441</v>
      </c>
      <c r="J77" s="17"/>
    </row>
    <row r="78" spans="1:12" customFormat="1" x14ac:dyDescent="0.2">
      <c r="A78" s="3" t="s">
        <v>152</v>
      </c>
      <c r="B78" s="14" t="s">
        <v>150</v>
      </c>
      <c r="C78" s="15"/>
      <c r="D78" s="18" t="s">
        <v>420</v>
      </c>
      <c r="E78" s="92">
        <f>VLOOKUP(A78,'PSFA Runs'!A:E,5,FALSE)</f>
        <v>1366.5</v>
      </c>
      <c r="F78" s="87">
        <f>VLOOKUP(A78,'PSFA Runs'!A:F,6,FALSE)</f>
        <v>0</v>
      </c>
      <c r="G78" s="88">
        <f t="shared" ref="G78:G141" si="3">SUM(E78:F78)</f>
        <v>1366.5</v>
      </c>
      <c r="H78" s="89">
        <f t="shared" si="2"/>
        <v>483.33150456324296</v>
      </c>
      <c r="I78" s="90" t="s">
        <v>437</v>
      </c>
      <c r="J78" s="17"/>
    </row>
    <row r="79" spans="1:12" customFormat="1" x14ac:dyDescent="0.2">
      <c r="A79" s="3" t="s">
        <v>153</v>
      </c>
      <c r="B79" s="14" t="s">
        <v>150</v>
      </c>
      <c r="C79" s="15"/>
      <c r="D79" s="14" t="s">
        <v>154</v>
      </c>
      <c r="E79" s="86">
        <f>VLOOKUP(A79,'PSFA Runs'!A:E,5,FALSE)</f>
        <v>220</v>
      </c>
      <c r="F79" s="87">
        <f>VLOOKUP(A79,'PSFA Runs'!A:F,6,FALSE)</f>
        <v>0</v>
      </c>
      <c r="G79" s="88">
        <f t="shared" si="3"/>
        <v>220</v>
      </c>
      <c r="H79" s="89">
        <f t="shared" si="2"/>
        <v>77.814073182519891</v>
      </c>
      <c r="I79" s="90" t="s">
        <v>441</v>
      </c>
      <c r="J79" s="17"/>
    </row>
    <row r="80" spans="1:12" customFormat="1" x14ac:dyDescent="0.2">
      <c r="A80" s="3" t="s">
        <v>155</v>
      </c>
      <c r="B80" s="14" t="s">
        <v>156</v>
      </c>
      <c r="C80" s="15"/>
      <c r="D80" s="14" t="s">
        <v>157</v>
      </c>
      <c r="E80" s="86">
        <f>VLOOKUP(A80,'PSFA Runs'!A:E,5,FALSE)</f>
        <v>5672.3</v>
      </c>
      <c r="F80" s="87">
        <f>VLOOKUP(A80,'PSFA Runs'!A:F,6,FALSE)</f>
        <v>567</v>
      </c>
      <c r="G80" s="88">
        <f t="shared" si="3"/>
        <v>6239.3</v>
      </c>
      <c r="H80" s="89">
        <f t="shared" si="2"/>
        <v>2006.2943968782167</v>
      </c>
      <c r="I80" s="90" t="s">
        <v>607</v>
      </c>
      <c r="J80" s="17"/>
    </row>
    <row r="81" spans="1:12" customFormat="1" x14ac:dyDescent="0.2">
      <c r="A81" s="3" t="s">
        <v>158</v>
      </c>
      <c r="B81" s="14" t="s">
        <v>156</v>
      </c>
      <c r="C81" s="15"/>
      <c r="D81" s="14" t="s">
        <v>159</v>
      </c>
      <c r="E81" s="86">
        <f>VLOOKUP(A81,'PSFA Runs'!A:E,5,FALSE)</f>
        <v>4813.3</v>
      </c>
      <c r="F81" s="87">
        <f>VLOOKUP(A81,'PSFA Runs'!A:F,6,FALSE)</f>
        <v>0</v>
      </c>
      <c r="G81" s="88">
        <f t="shared" si="3"/>
        <v>4813.3</v>
      </c>
      <c r="H81" s="89">
        <f t="shared" ref="H81:H112" si="4">$D$11*(E81/$G$191)</f>
        <v>1702.4658111337412</v>
      </c>
      <c r="I81" s="90" t="s">
        <v>607</v>
      </c>
      <c r="J81" s="17"/>
    </row>
    <row r="82" spans="1:12" customFormat="1" x14ac:dyDescent="0.2">
      <c r="A82" s="3" t="s">
        <v>160</v>
      </c>
      <c r="B82" s="14" t="s">
        <v>156</v>
      </c>
      <c r="C82" s="15"/>
      <c r="D82" s="14" t="s">
        <v>161</v>
      </c>
      <c r="E82" s="86">
        <f>VLOOKUP(A82,'PSFA Runs'!A:E,5,FALSE)</f>
        <v>1308.2</v>
      </c>
      <c r="F82" s="87">
        <f>VLOOKUP(A82,'PSFA Runs'!A:F,6,FALSE)</f>
        <v>0</v>
      </c>
      <c r="G82" s="88">
        <f t="shared" si="3"/>
        <v>1308.2</v>
      </c>
      <c r="H82" s="89">
        <f t="shared" si="4"/>
        <v>462.71077516987515</v>
      </c>
      <c r="I82" s="90" t="s">
        <v>607</v>
      </c>
      <c r="J82" s="17"/>
    </row>
    <row r="83" spans="1:12" customFormat="1" x14ac:dyDescent="0.2">
      <c r="A83" s="3" t="s">
        <v>162</v>
      </c>
      <c r="B83" s="14" t="s">
        <v>163</v>
      </c>
      <c r="C83" s="15"/>
      <c r="D83" s="14" t="s">
        <v>164</v>
      </c>
      <c r="E83" s="86">
        <f>VLOOKUP(A83,'PSFA Runs'!A:E,5,FALSE)</f>
        <v>453.7</v>
      </c>
      <c r="F83" s="87">
        <f>VLOOKUP(A83,'PSFA Runs'!A:F,6,FALSE)</f>
        <v>0</v>
      </c>
      <c r="G83" s="88">
        <f t="shared" si="3"/>
        <v>453.7</v>
      </c>
      <c r="H83" s="89">
        <f t="shared" si="4"/>
        <v>160.47384092231488</v>
      </c>
      <c r="I83" s="90" t="s">
        <v>433</v>
      </c>
      <c r="J83" s="17"/>
    </row>
    <row r="84" spans="1:12" customFormat="1" x14ac:dyDescent="0.2">
      <c r="A84" s="3" t="s">
        <v>165</v>
      </c>
      <c r="B84" s="14" t="s">
        <v>166</v>
      </c>
      <c r="C84" s="15"/>
      <c r="D84" s="14" t="s">
        <v>167</v>
      </c>
      <c r="E84" s="86">
        <f>VLOOKUP(A84,'PSFA Runs'!A:E,5,FALSE)</f>
        <v>443.4</v>
      </c>
      <c r="F84" s="87">
        <f>VLOOKUP(A84,'PSFA Runs'!A:F,6,FALSE)</f>
        <v>0</v>
      </c>
      <c r="G84" s="88">
        <f t="shared" si="3"/>
        <v>443.4</v>
      </c>
      <c r="H84" s="89">
        <f t="shared" si="4"/>
        <v>156.83072749604236</v>
      </c>
      <c r="I84" s="90" t="s">
        <v>436</v>
      </c>
      <c r="J84" s="17"/>
    </row>
    <row r="85" spans="1:12" customFormat="1" x14ac:dyDescent="0.2">
      <c r="A85" s="3" t="s">
        <v>168</v>
      </c>
      <c r="B85" s="14" t="s">
        <v>166</v>
      </c>
      <c r="C85" s="15"/>
      <c r="D85" s="14" t="s">
        <v>169</v>
      </c>
      <c r="E85" s="86">
        <f>VLOOKUP(A85,'PSFA Runs'!A:E,5,FALSE)</f>
        <v>1328.8</v>
      </c>
      <c r="F85" s="87">
        <f>VLOOKUP(A85,'PSFA Runs'!A:F,6,FALSE)</f>
        <v>0</v>
      </c>
      <c r="G85" s="88">
        <f t="shared" si="3"/>
        <v>1328.8</v>
      </c>
      <c r="H85" s="89">
        <f t="shared" si="4"/>
        <v>469.99700202242013</v>
      </c>
      <c r="I85" s="90" t="s">
        <v>436</v>
      </c>
      <c r="J85" s="17"/>
    </row>
    <row r="86" spans="1:12" customFormat="1" x14ac:dyDescent="0.2">
      <c r="A86" s="3" t="s">
        <v>170</v>
      </c>
      <c r="B86" s="14" t="s">
        <v>171</v>
      </c>
      <c r="C86" s="15"/>
      <c r="D86" s="14" t="s">
        <v>172</v>
      </c>
      <c r="E86" s="86">
        <f>VLOOKUP(A86,'PSFA Runs'!A:E,5,FALSE)</f>
        <v>2070.1</v>
      </c>
      <c r="F86" s="87">
        <f>VLOOKUP(A86,'PSFA Runs'!A:F,6,FALSE)</f>
        <v>0</v>
      </c>
      <c r="G86" s="88">
        <f>SUM(E86:F86)</f>
        <v>2070.1</v>
      </c>
      <c r="H86" s="89">
        <f t="shared" si="4"/>
        <v>732.19505861424739</v>
      </c>
      <c r="I86" s="90" t="s">
        <v>432</v>
      </c>
      <c r="J86" s="17"/>
    </row>
    <row r="87" spans="1:12" customFormat="1" x14ac:dyDescent="0.2">
      <c r="A87" s="3" t="s">
        <v>173</v>
      </c>
      <c r="B87" s="14" t="s">
        <v>174</v>
      </c>
      <c r="C87" s="15"/>
      <c r="D87" s="14" t="s">
        <v>175</v>
      </c>
      <c r="E87" s="86">
        <f>VLOOKUP(A87,'PSFA Runs'!A:E,5,FALSE)</f>
        <v>89.9</v>
      </c>
      <c r="F87" s="87">
        <f>VLOOKUP(A87,'PSFA Runs'!A:F,6,FALSE)</f>
        <v>0</v>
      </c>
      <c r="G87" s="88">
        <f>SUM(E87:F87)</f>
        <v>89.9</v>
      </c>
      <c r="H87" s="89">
        <f t="shared" si="4"/>
        <v>31.797659905038813</v>
      </c>
      <c r="I87" s="90" t="s">
        <v>445</v>
      </c>
      <c r="J87" s="17"/>
      <c r="L87" s="17"/>
    </row>
    <row r="88" spans="1:12" customFormat="1" x14ac:dyDescent="0.2">
      <c r="A88" s="3" t="s">
        <v>176</v>
      </c>
      <c r="B88" s="14" t="s">
        <v>177</v>
      </c>
      <c r="C88" s="15"/>
      <c r="D88" s="14" t="s">
        <v>178</v>
      </c>
      <c r="E88" s="86">
        <f>VLOOKUP(A88,'PSFA Runs'!A:E,5,FALSE)</f>
        <v>527.70000000000005</v>
      </c>
      <c r="F88" s="87">
        <f>VLOOKUP(A88,'PSFA Runs'!A:F,6,FALSE)</f>
        <v>0</v>
      </c>
      <c r="G88" s="88">
        <f t="shared" si="3"/>
        <v>527.70000000000005</v>
      </c>
      <c r="H88" s="89">
        <f t="shared" si="4"/>
        <v>186.64766553825345</v>
      </c>
      <c r="I88" s="90" t="s">
        <v>441</v>
      </c>
      <c r="J88" s="17"/>
    </row>
    <row r="89" spans="1:12" customFormat="1" x14ac:dyDescent="0.2">
      <c r="A89" s="3" t="s">
        <v>179</v>
      </c>
      <c r="B89" s="14" t="s">
        <v>177</v>
      </c>
      <c r="C89" s="15"/>
      <c r="D89" s="14" t="s">
        <v>180</v>
      </c>
      <c r="E89" s="86">
        <f>VLOOKUP(A89,'PSFA Runs'!A:E,5,FALSE)</f>
        <v>212</v>
      </c>
      <c r="F89" s="87">
        <f>VLOOKUP(A89,'PSFA Runs'!A:F,6,FALSE)</f>
        <v>0</v>
      </c>
      <c r="G89" s="88">
        <f t="shared" si="3"/>
        <v>212</v>
      </c>
      <c r="H89" s="89">
        <f t="shared" si="4"/>
        <v>74.984470521337357</v>
      </c>
      <c r="I89" s="90" t="s">
        <v>441</v>
      </c>
      <c r="J89" s="17"/>
    </row>
    <row r="90" spans="1:12" customFormat="1" x14ac:dyDescent="0.2">
      <c r="A90" s="3" t="s">
        <v>181</v>
      </c>
      <c r="B90" s="14" t="s">
        <v>182</v>
      </c>
      <c r="C90" s="15"/>
      <c r="D90" s="14" t="s">
        <v>183</v>
      </c>
      <c r="E90" s="86">
        <f>VLOOKUP(A90,'PSFA Runs'!A:E,5,FALSE)</f>
        <v>170</v>
      </c>
      <c r="F90" s="87">
        <f>VLOOKUP(A90,'PSFA Runs'!A:F,6,FALSE)</f>
        <v>0</v>
      </c>
      <c r="G90" s="88">
        <f t="shared" si="3"/>
        <v>170</v>
      </c>
      <c r="H90" s="89">
        <f t="shared" si="4"/>
        <v>60.129056550129008</v>
      </c>
      <c r="I90" s="90" t="s">
        <v>436</v>
      </c>
      <c r="J90" s="17"/>
    </row>
    <row r="91" spans="1:12" customFormat="1" x14ac:dyDescent="0.2">
      <c r="A91" s="3" t="s">
        <v>184</v>
      </c>
      <c r="B91" s="14" t="s">
        <v>185</v>
      </c>
      <c r="C91" s="15"/>
      <c r="D91" s="14" t="s">
        <v>186</v>
      </c>
      <c r="E91" s="86">
        <f>VLOOKUP(A91,'PSFA Runs'!A:E,5,FALSE)</f>
        <v>81673.600000000006</v>
      </c>
      <c r="F91" s="87">
        <f>VLOOKUP(A91,'PSFA Runs'!A:F,6,FALSE)</f>
        <v>620</v>
      </c>
      <c r="G91" s="88">
        <f>E91+F91</f>
        <v>82293.600000000006</v>
      </c>
      <c r="H91" s="89">
        <f t="shared" si="4"/>
        <v>28887.97948854481</v>
      </c>
      <c r="I91" s="90" t="s">
        <v>431</v>
      </c>
      <c r="J91" s="44"/>
    </row>
    <row r="92" spans="1:12" customFormat="1" x14ac:dyDescent="0.2">
      <c r="A92" s="3" t="s">
        <v>187</v>
      </c>
      <c r="B92" s="14" t="s">
        <v>188</v>
      </c>
      <c r="C92" s="15"/>
      <c r="D92" s="14" t="s">
        <v>189</v>
      </c>
      <c r="E92" s="86">
        <f>VLOOKUP(A92,'PSFA Runs'!A:E,5,FALSE)</f>
        <v>176.5</v>
      </c>
      <c r="F92" s="87">
        <f>VLOOKUP(A92,'PSFA Runs'!A:F,6,FALSE)</f>
        <v>0</v>
      </c>
      <c r="G92" s="88">
        <f t="shared" si="3"/>
        <v>176.5</v>
      </c>
      <c r="H92" s="89">
        <f t="shared" si="4"/>
        <v>62.428108712339828</v>
      </c>
      <c r="I92" s="76" t="s">
        <v>442</v>
      </c>
      <c r="J92" s="16"/>
    </row>
    <row r="93" spans="1:12" customFormat="1" x14ac:dyDescent="0.2">
      <c r="A93" s="3" t="s">
        <v>190</v>
      </c>
      <c r="B93" s="14" t="s">
        <v>188</v>
      </c>
      <c r="C93" s="15"/>
      <c r="D93" s="14" t="s">
        <v>191</v>
      </c>
      <c r="E93" s="86">
        <f>VLOOKUP(A93,'PSFA Runs'!A:E,5,FALSE)</f>
        <v>53.7</v>
      </c>
      <c r="F93" s="87">
        <f>VLOOKUP(A93,'PSFA Runs'!A:F,6,FALSE)</f>
        <v>0</v>
      </c>
      <c r="G93" s="88">
        <f t="shared" si="3"/>
        <v>53.7</v>
      </c>
      <c r="H93" s="89">
        <f t="shared" si="4"/>
        <v>18.993707863187815</v>
      </c>
      <c r="I93" s="76" t="s">
        <v>442</v>
      </c>
      <c r="J93" s="16"/>
    </row>
    <row r="94" spans="1:12" customFormat="1" x14ac:dyDescent="0.2">
      <c r="A94" s="3" t="s">
        <v>192</v>
      </c>
      <c r="B94" s="14" t="s">
        <v>193</v>
      </c>
      <c r="C94" s="15"/>
      <c r="D94" s="14" t="s">
        <v>194</v>
      </c>
      <c r="E94" s="86">
        <f>VLOOKUP(A94,'PSFA Runs'!A:E,5,FALSE)</f>
        <v>157.4</v>
      </c>
      <c r="F94" s="87">
        <f>VLOOKUP(A94,'PSFA Runs'!A:F,6,FALSE)</f>
        <v>0</v>
      </c>
      <c r="G94" s="88">
        <f t="shared" si="3"/>
        <v>157.4</v>
      </c>
      <c r="H94" s="89">
        <f t="shared" si="4"/>
        <v>55.672432358766507</v>
      </c>
      <c r="I94" s="90" t="s">
        <v>429</v>
      </c>
      <c r="J94" s="17"/>
    </row>
    <row r="95" spans="1:12" customFormat="1" x14ac:dyDescent="0.2">
      <c r="A95" s="3" t="s">
        <v>195</v>
      </c>
      <c r="B95" s="14" t="s">
        <v>193</v>
      </c>
      <c r="C95" s="15"/>
      <c r="D95" s="14" t="s">
        <v>196</v>
      </c>
      <c r="E95" s="86">
        <f>VLOOKUP(A95,'PSFA Runs'!A:E,5,FALSE)</f>
        <v>118.7</v>
      </c>
      <c r="F95" s="87">
        <f>VLOOKUP(A95,'PSFA Runs'!A:F,6,FALSE)</f>
        <v>0</v>
      </c>
      <c r="G95" s="88">
        <f t="shared" si="3"/>
        <v>118.7</v>
      </c>
      <c r="H95" s="89">
        <f t="shared" si="4"/>
        <v>41.98422948529597</v>
      </c>
      <c r="I95" s="90" t="s">
        <v>429</v>
      </c>
      <c r="J95" s="17"/>
    </row>
    <row r="96" spans="1:12" customFormat="1" x14ac:dyDescent="0.2">
      <c r="A96" s="3" t="s">
        <v>197</v>
      </c>
      <c r="B96" s="14" t="s">
        <v>193</v>
      </c>
      <c r="C96" s="15"/>
      <c r="D96" s="14" t="s">
        <v>198</v>
      </c>
      <c r="E96" s="86">
        <f>VLOOKUP(A96,'PSFA Runs'!A:E,5,FALSE)</f>
        <v>219.9</v>
      </c>
      <c r="F96" s="87">
        <f>VLOOKUP(A96,'PSFA Runs'!A:F,6,FALSE)</f>
        <v>0</v>
      </c>
      <c r="G96" s="88">
        <f t="shared" si="3"/>
        <v>219.9</v>
      </c>
      <c r="H96" s="89">
        <f t="shared" si="4"/>
        <v>77.778703149255108</v>
      </c>
      <c r="I96" s="90" t="s">
        <v>429</v>
      </c>
      <c r="J96" s="17"/>
    </row>
    <row r="97" spans="1:10" customFormat="1" x14ac:dyDescent="0.2">
      <c r="A97" s="3" t="s">
        <v>199</v>
      </c>
      <c r="B97" s="14" t="s">
        <v>193</v>
      </c>
      <c r="C97" s="15"/>
      <c r="D97" s="14" t="s">
        <v>200</v>
      </c>
      <c r="E97" s="86">
        <f>VLOOKUP(A97,'PSFA Runs'!A:E,5,FALSE)</f>
        <v>115.5</v>
      </c>
      <c r="F97" s="87">
        <f>VLOOKUP(A97,'PSFA Runs'!A:F,6,FALSE)</f>
        <v>0</v>
      </c>
      <c r="G97" s="88">
        <f t="shared" si="3"/>
        <v>115.5</v>
      </c>
      <c r="H97" s="89">
        <f t="shared" si="4"/>
        <v>40.852388420822948</v>
      </c>
      <c r="I97" s="90" t="s">
        <v>429</v>
      </c>
      <c r="J97" s="17"/>
    </row>
    <row r="98" spans="1:10" customFormat="1" x14ac:dyDescent="0.2">
      <c r="A98" s="3" t="s">
        <v>201</v>
      </c>
      <c r="B98" s="14" t="s">
        <v>193</v>
      </c>
      <c r="C98" s="15"/>
      <c r="D98" s="14" t="s">
        <v>202</v>
      </c>
      <c r="E98" s="86">
        <f>VLOOKUP(A98,'PSFA Runs'!A:E,5,FALSE)</f>
        <v>735.1</v>
      </c>
      <c r="F98" s="87">
        <f>VLOOKUP(A98,'PSFA Runs'!A:F,6,FALSE)</f>
        <v>0</v>
      </c>
      <c r="G98" s="88">
        <f t="shared" si="3"/>
        <v>735.1</v>
      </c>
      <c r="H98" s="89">
        <f t="shared" si="4"/>
        <v>260.00511452941083</v>
      </c>
      <c r="I98" s="90" t="s">
        <v>429</v>
      </c>
      <c r="J98" s="17"/>
    </row>
    <row r="99" spans="1:10" customFormat="1" x14ac:dyDescent="0.2">
      <c r="A99" s="3" t="s">
        <v>203</v>
      </c>
      <c r="B99" s="14" t="s">
        <v>204</v>
      </c>
      <c r="C99" s="15"/>
      <c r="D99" s="14" t="s">
        <v>205</v>
      </c>
      <c r="E99" s="86">
        <f>VLOOKUP(A99,'PSFA Runs'!A:E,5,FALSE)</f>
        <v>1052.8</v>
      </c>
      <c r="F99" s="87">
        <f>VLOOKUP(A99,'PSFA Runs'!A:F,6,FALSE)</f>
        <v>0</v>
      </c>
      <c r="G99" s="88">
        <f t="shared" si="3"/>
        <v>1052.8</v>
      </c>
      <c r="H99" s="89">
        <f t="shared" si="4"/>
        <v>372.3757102116225</v>
      </c>
      <c r="I99" s="90" t="s">
        <v>434</v>
      </c>
      <c r="J99" s="17"/>
    </row>
    <row r="100" spans="1:10" customFormat="1" x14ac:dyDescent="0.2">
      <c r="A100" s="3" t="s">
        <v>209</v>
      </c>
      <c r="B100" s="14" t="s">
        <v>207</v>
      </c>
      <c r="C100" s="15"/>
      <c r="D100" s="14" t="s">
        <v>210</v>
      </c>
      <c r="E100" s="86">
        <f>VLOOKUP(A100,'PSFA Runs'!A:E,5,FALSE)</f>
        <v>1431.4</v>
      </c>
      <c r="F100" s="87">
        <f>VLOOKUP(A100,'PSFA Runs'!A:F,6,FALSE)</f>
        <v>0</v>
      </c>
      <c r="G100" s="88">
        <f t="shared" si="3"/>
        <v>1431.4</v>
      </c>
      <c r="H100" s="89">
        <f t="shared" si="4"/>
        <v>506.28665615208627</v>
      </c>
      <c r="I100" s="90" t="s">
        <v>439</v>
      </c>
      <c r="J100" s="17"/>
    </row>
    <row r="101" spans="1:10" customFormat="1" x14ac:dyDescent="0.2">
      <c r="A101" s="3" t="s">
        <v>211</v>
      </c>
      <c r="B101" s="14" t="s">
        <v>207</v>
      </c>
      <c r="C101" s="15"/>
      <c r="D101" s="14" t="s">
        <v>212</v>
      </c>
      <c r="E101" s="86">
        <f>VLOOKUP(A101,'PSFA Runs'!A:E,5,FALSE)</f>
        <v>863.7</v>
      </c>
      <c r="F101" s="87">
        <f>VLOOKUP(A101,'PSFA Runs'!A:F,6,FALSE)</f>
        <v>0</v>
      </c>
      <c r="G101" s="88">
        <f t="shared" si="3"/>
        <v>863.7</v>
      </c>
      <c r="H101" s="89">
        <f t="shared" si="4"/>
        <v>305.49097730792016</v>
      </c>
      <c r="I101" s="90" t="s">
        <v>439</v>
      </c>
      <c r="J101" s="17"/>
    </row>
    <row r="102" spans="1:10" customFormat="1" x14ac:dyDescent="0.2">
      <c r="A102" s="3" t="s">
        <v>213</v>
      </c>
      <c r="B102" s="14" t="s">
        <v>214</v>
      </c>
      <c r="C102" s="15"/>
      <c r="D102" s="14" t="s">
        <v>215</v>
      </c>
      <c r="E102" s="86">
        <f>VLOOKUP(A102,'PSFA Runs'!A:E,5,FALSE)</f>
        <v>30179.9</v>
      </c>
      <c r="F102" s="87">
        <f>VLOOKUP(A102,'PSFA Runs'!A:F,6,FALSE)</f>
        <v>2204</v>
      </c>
      <c r="G102" s="88">
        <f t="shared" si="3"/>
        <v>32383.9</v>
      </c>
      <c r="H102" s="89">
        <f t="shared" si="4"/>
        <v>10674.640669277873</v>
      </c>
      <c r="I102" s="90" t="s">
        <v>427</v>
      </c>
      <c r="J102" s="10"/>
    </row>
    <row r="103" spans="1:10" customFormat="1" x14ac:dyDescent="0.2">
      <c r="A103" s="3" t="s">
        <v>216</v>
      </c>
      <c r="B103" s="14" t="s">
        <v>214</v>
      </c>
      <c r="C103" s="15"/>
      <c r="D103" s="14" t="s">
        <v>217</v>
      </c>
      <c r="E103" s="86">
        <f>VLOOKUP(A103,'PSFA Runs'!A:E,5,FALSE)</f>
        <v>15648.6</v>
      </c>
      <c r="F103" s="87">
        <f>VLOOKUP(A103,'PSFA Runs'!A:F,6,FALSE)</f>
        <v>0</v>
      </c>
      <c r="G103" s="88">
        <f t="shared" si="3"/>
        <v>15648.6</v>
      </c>
      <c r="H103" s="89">
        <f t="shared" si="4"/>
        <v>5534.915025472641</v>
      </c>
      <c r="I103" s="90" t="s">
        <v>427</v>
      </c>
      <c r="J103" s="17"/>
    </row>
    <row r="104" spans="1:10" customFormat="1" x14ac:dyDescent="0.2">
      <c r="A104" s="3" t="s">
        <v>218</v>
      </c>
      <c r="B104" s="14" t="s">
        <v>214</v>
      </c>
      <c r="C104" s="15"/>
      <c r="D104" s="14" t="s">
        <v>219</v>
      </c>
      <c r="E104" s="86">
        <f>VLOOKUP(A104,'PSFA Runs'!A:E,5,FALSE)</f>
        <v>1096.8</v>
      </c>
      <c r="F104" s="87">
        <f>VLOOKUP(A104,'PSFA Runs'!A:F,6,FALSE)</f>
        <v>0</v>
      </c>
      <c r="G104" s="88">
        <f t="shared" si="3"/>
        <v>1096.8</v>
      </c>
      <c r="H104" s="89">
        <f t="shared" si="4"/>
        <v>387.93852484812646</v>
      </c>
      <c r="I104" s="90" t="s">
        <v>427</v>
      </c>
      <c r="J104" s="17"/>
    </row>
    <row r="105" spans="1:10" customFormat="1" x14ac:dyDescent="0.2">
      <c r="A105" s="3" t="s">
        <v>220</v>
      </c>
      <c r="B105" s="14" t="s">
        <v>221</v>
      </c>
      <c r="C105" s="15"/>
      <c r="D105" s="14" t="s">
        <v>222</v>
      </c>
      <c r="E105" s="86">
        <f>VLOOKUP(A105,'PSFA Runs'!A:E,5,FALSE)</f>
        <v>992.5</v>
      </c>
      <c r="F105" s="87">
        <f>VLOOKUP(A105,'PSFA Runs'!A:F,6,FALSE)</f>
        <v>0</v>
      </c>
      <c r="G105" s="88">
        <f t="shared" si="3"/>
        <v>992.5</v>
      </c>
      <c r="H105" s="89">
        <f t="shared" si="4"/>
        <v>351.04758015295909</v>
      </c>
      <c r="I105" s="90" t="s">
        <v>441</v>
      </c>
      <c r="J105" s="17"/>
    </row>
    <row r="106" spans="1:10" customFormat="1" x14ac:dyDescent="0.2">
      <c r="A106" s="3" t="s">
        <v>223</v>
      </c>
      <c r="B106" s="14" t="s">
        <v>221</v>
      </c>
      <c r="C106" s="15"/>
      <c r="D106" s="14" t="s">
        <v>224</v>
      </c>
      <c r="E106" s="86">
        <f>VLOOKUP(A106,'PSFA Runs'!A:E,5,FALSE)</f>
        <v>188.3</v>
      </c>
      <c r="F106" s="87">
        <f>VLOOKUP(A106,'PSFA Runs'!A:F,6,FALSE)</f>
        <v>0</v>
      </c>
      <c r="G106" s="88">
        <f t="shared" si="3"/>
        <v>188.3</v>
      </c>
      <c r="H106" s="89">
        <f t="shared" si="4"/>
        <v>66.601772637584077</v>
      </c>
      <c r="I106" s="90" t="s">
        <v>441</v>
      </c>
      <c r="J106" s="17"/>
    </row>
    <row r="107" spans="1:10" customFormat="1" x14ac:dyDescent="0.2">
      <c r="A107" s="3" t="s">
        <v>225</v>
      </c>
      <c r="B107" s="14" t="s">
        <v>221</v>
      </c>
      <c r="C107" s="15"/>
      <c r="D107" s="14" t="s">
        <v>226</v>
      </c>
      <c r="E107" s="86">
        <f>VLOOKUP(A107,'PSFA Runs'!A:E,5,FALSE)</f>
        <v>369.2</v>
      </c>
      <c r="F107" s="87">
        <f>VLOOKUP(A107,'PSFA Runs'!A:F,6,FALSE)</f>
        <v>0</v>
      </c>
      <c r="G107" s="88">
        <f t="shared" si="3"/>
        <v>369.2</v>
      </c>
      <c r="H107" s="89">
        <f t="shared" si="4"/>
        <v>130.5861628135743</v>
      </c>
      <c r="I107" s="90" t="s">
        <v>441</v>
      </c>
      <c r="J107" s="17"/>
    </row>
    <row r="108" spans="1:10" customFormat="1" x14ac:dyDescent="0.2">
      <c r="A108" s="3" t="s">
        <v>227</v>
      </c>
      <c r="B108" s="14" t="s">
        <v>221</v>
      </c>
      <c r="C108" s="15"/>
      <c r="D108" s="14" t="s">
        <v>228</v>
      </c>
      <c r="E108" s="86">
        <f>VLOOKUP(A108,'PSFA Runs'!A:E,5,FALSE)</f>
        <v>115.6</v>
      </c>
      <c r="F108" s="87">
        <f>VLOOKUP(A108,'PSFA Runs'!A:F,6,FALSE)</f>
        <v>0</v>
      </c>
      <c r="G108" s="88">
        <f t="shared" si="3"/>
        <v>115.6</v>
      </c>
      <c r="H108" s="89">
        <f t="shared" si="4"/>
        <v>40.887758454087731</v>
      </c>
      <c r="I108" s="90" t="s">
        <v>441</v>
      </c>
      <c r="J108" s="17"/>
    </row>
    <row r="109" spans="1:10" customFormat="1" x14ac:dyDescent="0.2">
      <c r="A109" s="3" t="s">
        <v>229</v>
      </c>
      <c r="B109" s="14" t="s">
        <v>221</v>
      </c>
      <c r="C109" s="15"/>
      <c r="D109" s="14" t="s">
        <v>230</v>
      </c>
      <c r="E109" s="86">
        <f>VLOOKUP(A109,'PSFA Runs'!A:E,5,FALSE)</f>
        <v>450</v>
      </c>
      <c r="F109" s="87">
        <f>VLOOKUP(A109,'PSFA Runs'!A:F,6,FALSE)</f>
        <v>0</v>
      </c>
      <c r="G109" s="88">
        <f t="shared" si="3"/>
        <v>450</v>
      </c>
      <c r="H109" s="89">
        <f t="shared" si="4"/>
        <v>159.16514969151797</v>
      </c>
      <c r="I109" s="90" t="s">
        <v>441</v>
      </c>
      <c r="J109" s="17"/>
    </row>
    <row r="110" spans="1:10" customFormat="1" x14ac:dyDescent="0.2">
      <c r="A110" s="3" t="s">
        <v>231</v>
      </c>
      <c r="B110" s="14" t="s">
        <v>221</v>
      </c>
      <c r="C110" s="15"/>
      <c r="D110" s="14" t="s">
        <v>232</v>
      </c>
      <c r="E110" s="86">
        <f>VLOOKUP(A110,'PSFA Runs'!A:E,5,FALSE)</f>
        <v>50</v>
      </c>
      <c r="F110" s="87">
        <f>VLOOKUP(A110,'PSFA Runs'!A:F,6,FALSE)</f>
        <v>0</v>
      </c>
      <c r="G110" s="88">
        <f t="shared" si="3"/>
        <v>50</v>
      </c>
      <c r="H110" s="89">
        <f t="shared" si="4"/>
        <v>17.685016632390887</v>
      </c>
      <c r="I110" s="76" t="s">
        <v>442</v>
      </c>
      <c r="J110" s="16"/>
    </row>
    <row r="111" spans="1:10" customFormat="1" x14ac:dyDescent="0.2">
      <c r="A111" s="3" t="s">
        <v>233</v>
      </c>
      <c r="B111" s="14" t="s">
        <v>234</v>
      </c>
      <c r="C111" s="15"/>
      <c r="D111" s="18" t="s">
        <v>422</v>
      </c>
      <c r="E111" s="92">
        <f>VLOOKUP(A111,'PSFA Runs'!A:E,5,FALSE)</f>
        <v>202.5</v>
      </c>
      <c r="F111" s="87">
        <f>VLOOKUP(A111,'PSFA Runs'!A:F,6,FALSE)</f>
        <v>0</v>
      </c>
      <c r="G111" s="88">
        <f t="shared" si="3"/>
        <v>202.5</v>
      </c>
      <c r="H111" s="89">
        <f t="shared" si="4"/>
        <v>71.624317361183088</v>
      </c>
      <c r="I111" s="90" t="s">
        <v>429</v>
      </c>
      <c r="J111" s="17"/>
    </row>
    <row r="112" spans="1:10" customFormat="1" x14ac:dyDescent="0.2">
      <c r="A112" s="3" t="s">
        <v>235</v>
      </c>
      <c r="B112" s="14" t="s">
        <v>234</v>
      </c>
      <c r="C112" s="15"/>
      <c r="D112" s="14" t="s">
        <v>236</v>
      </c>
      <c r="E112" s="86">
        <f>VLOOKUP(A112,'PSFA Runs'!A:E,5,FALSE)</f>
        <v>493.2</v>
      </c>
      <c r="F112" s="87">
        <f>VLOOKUP(A112,'PSFA Runs'!A:F,6,FALSE)</f>
        <v>0</v>
      </c>
      <c r="G112" s="88">
        <f t="shared" si="3"/>
        <v>493.2</v>
      </c>
      <c r="H112" s="89">
        <f t="shared" si="4"/>
        <v>174.44500406190369</v>
      </c>
      <c r="I112" s="90" t="s">
        <v>429</v>
      </c>
      <c r="J112" s="17"/>
    </row>
    <row r="113" spans="1:10" customFormat="1" x14ac:dyDescent="0.2">
      <c r="A113" s="3" t="s">
        <v>237</v>
      </c>
      <c r="B113" s="14" t="s">
        <v>234</v>
      </c>
      <c r="C113" s="15"/>
      <c r="D113" s="14" t="s">
        <v>238</v>
      </c>
      <c r="E113" s="86">
        <f>VLOOKUP(A113,'PSFA Runs'!A:E,5,FALSE)</f>
        <v>50</v>
      </c>
      <c r="F113" s="87">
        <f>VLOOKUP(A113,'PSFA Runs'!A:F,6,FALSE)</f>
        <v>0</v>
      </c>
      <c r="G113" s="88">
        <f t="shared" si="3"/>
        <v>50</v>
      </c>
      <c r="H113" s="89">
        <f t="shared" ref="H113:H144" si="5">$D$11*(E113/$G$191)</f>
        <v>17.685016632390887</v>
      </c>
      <c r="I113" s="90" t="s">
        <v>429</v>
      </c>
      <c r="J113" s="17"/>
    </row>
    <row r="114" spans="1:10" customFormat="1" x14ac:dyDescent="0.2">
      <c r="A114" s="3" t="s">
        <v>239</v>
      </c>
      <c r="B114" s="14" t="s">
        <v>240</v>
      </c>
      <c r="C114" s="15"/>
      <c r="D114" s="14" t="s">
        <v>241</v>
      </c>
      <c r="E114" s="86">
        <f>VLOOKUP(A114,'PSFA Runs'!A:E,5,FALSE)</f>
        <v>2179.1</v>
      </c>
      <c r="F114" s="87">
        <f>VLOOKUP(A114,'PSFA Runs'!A:F,6,FALSE)</f>
        <v>0</v>
      </c>
      <c r="G114" s="88">
        <f t="shared" si="3"/>
        <v>2179.1</v>
      </c>
      <c r="H114" s="89">
        <f t="shared" si="5"/>
        <v>770.74839487285954</v>
      </c>
      <c r="I114" s="90" t="s">
        <v>427</v>
      </c>
      <c r="J114" s="17"/>
    </row>
    <row r="115" spans="1:10" customFormat="1" x14ac:dyDescent="0.2">
      <c r="A115" s="3" t="s">
        <v>242</v>
      </c>
      <c r="B115" s="14" t="s">
        <v>240</v>
      </c>
      <c r="C115" s="15"/>
      <c r="D115" s="14" t="s">
        <v>243</v>
      </c>
      <c r="E115" s="86">
        <f>VLOOKUP(A115,'PSFA Runs'!A:E,5,FALSE)</f>
        <v>198.4</v>
      </c>
      <c r="F115" s="87">
        <f>VLOOKUP(A115,'PSFA Runs'!A:F,6,FALSE)</f>
        <v>0</v>
      </c>
      <c r="G115" s="88">
        <f t="shared" si="3"/>
        <v>198.4</v>
      </c>
      <c r="H115" s="89">
        <f t="shared" si="5"/>
        <v>70.174145997327031</v>
      </c>
      <c r="I115" s="90" t="s">
        <v>435</v>
      </c>
      <c r="J115" s="17"/>
    </row>
    <row r="116" spans="1:10" customFormat="1" x14ac:dyDescent="0.2">
      <c r="A116" s="3" t="s">
        <v>244</v>
      </c>
      <c r="B116" s="14" t="s">
        <v>240</v>
      </c>
      <c r="C116" s="15"/>
      <c r="D116" s="14" t="s">
        <v>245</v>
      </c>
      <c r="E116" s="86">
        <f>VLOOKUP(A116,'PSFA Runs'!A:E,5,FALSE)</f>
        <v>307.8</v>
      </c>
      <c r="F116" s="87">
        <f>VLOOKUP(A116,'PSFA Runs'!A:F,6,FALSE)</f>
        <v>0</v>
      </c>
      <c r="G116" s="88">
        <f t="shared" si="3"/>
        <v>307.8</v>
      </c>
      <c r="H116" s="89">
        <f t="shared" si="5"/>
        <v>108.86896238899831</v>
      </c>
      <c r="I116" s="90" t="s">
        <v>435</v>
      </c>
      <c r="J116" s="17"/>
    </row>
    <row r="117" spans="1:10" customFormat="1" x14ac:dyDescent="0.2">
      <c r="A117" s="3" t="s">
        <v>246</v>
      </c>
      <c r="B117" s="14" t="s">
        <v>240</v>
      </c>
      <c r="C117" s="15"/>
      <c r="D117" s="14" t="s">
        <v>247</v>
      </c>
      <c r="E117" s="86">
        <f>VLOOKUP(A117,'PSFA Runs'!A:E,5,FALSE)</f>
        <v>156.6</v>
      </c>
      <c r="F117" s="87">
        <f>VLOOKUP(A117,'PSFA Runs'!A:F,6,FALSE)</f>
        <v>0</v>
      </c>
      <c r="G117" s="88">
        <f t="shared" si="3"/>
        <v>156.6</v>
      </c>
      <c r="H117" s="89">
        <f t="shared" si="5"/>
        <v>55.389472092648255</v>
      </c>
      <c r="I117" s="90" t="s">
        <v>435</v>
      </c>
      <c r="J117" s="17"/>
    </row>
    <row r="118" spans="1:10" customFormat="1" x14ac:dyDescent="0.2">
      <c r="A118" s="3" t="s">
        <v>248</v>
      </c>
      <c r="B118" s="14" t="s">
        <v>249</v>
      </c>
      <c r="C118" s="15"/>
      <c r="D118" s="14" t="s">
        <v>250</v>
      </c>
      <c r="E118" s="86">
        <f>VLOOKUP(A118,'PSFA Runs'!A:E,5,FALSE)</f>
        <v>163.1</v>
      </c>
      <c r="F118" s="87">
        <f>VLOOKUP(A118,'PSFA Runs'!A:F,6,FALSE)</f>
        <v>0</v>
      </c>
      <c r="G118" s="88">
        <f t="shared" si="3"/>
        <v>163.1</v>
      </c>
      <c r="H118" s="89">
        <f t="shared" si="5"/>
        <v>57.688524254859068</v>
      </c>
      <c r="I118" s="90" t="s">
        <v>607</v>
      </c>
      <c r="J118" s="17"/>
    </row>
    <row r="119" spans="1:10" customFormat="1" x14ac:dyDescent="0.2">
      <c r="A119" s="3" t="s">
        <v>251</v>
      </c>
      <c r="B119" s="14" t="s">
        <v>249</v>
      </c>
      <c r="C119" s="15"/>
      <c r="D119" s="14" t="s">
        <v>252</v>
      </c>
      <c r="E119" s="86">
        <f>VLOOKUP(A119,'PSFA Runs'!A:E,5,FALSE)</f>
        <v>424.2</v>
      </c>
      <c r="F119" s="87">
        <f>VLOOKUP(A119,'PSFA Runs'!A:F,6,FALSE)</f>
        <v>0</v>
      </c>
      <c r="G119" s="88">
        <f t="shared" si="3"/>
        <v>424.2</v>
      </c>
      <c r="H119" s="89">
        <f t="shared" si="5"/>
        <v>150.03968110920428</v>
      </c>
      <c r="I119" s="90" t="s">
        <v>607</v>
      </c>
      <c r="J119" s="17"/>
    </row>
    <row r="120" spans="1:10" customFormat="1" x14ac:dyDescent="0.2">
      <c r="A120" s="3" t="s">
        <v>253</v>
      </c>
      <c r="B120" s="14" t="s">
        <v>249</v>
      </c>
      <c r="C120" s="15"/>
      <c r="D120" s="14" t="s">
        <v>254</v>
      </c>
      <c r="E120" s="86">
        <f>VLOOKUP(A120,'PSFA Runs'!A:E,5,FALSE)</f>
        <v>21519.3</v>
      </c>
      <c r="F120" s="87">
        <f>VLOOKUP(A120,'PSFA Runs'!A:F,6,FALSE)</f>
        <v>819</v>
      </c>
      <c r="G120" s="88">
        <f t="shared" si="3"/>
        <v>22338.3</v>
      </c>
      <c r="H120" s="89">
        <f t="shared" si="5"/>
        <v>7611.383568348183</v>
      </c>
      <c r="I120" s="90" t="s">
        <v>432</v>
      </c>
      <c r="J120" s="17"/>
    </row>
    <row r="121" spans="1:10" customFormat="1" x14ac:dyDescent="0.2">
      <c r="A121" s="3" t="s">
        <v>255</v>
      </c>
      <c r="B121" s="14" t="s">
        <v>256</v>
      </c>
      <c r="C121" s="15"/>
      <c r="D121" s="14" t="s">
        <v>257</v>
      </c>
      <c r="E121" s="86">
        <f>VLOOKUP(A121,'PSFA Runs'!A:E,5,FALSE)</f>
        <v>89</v>
      </c>
      <c r="F121" s="87">
        <f>VLOOKUP(A121,'PSFA Runs'!A:F,6,FALSE)</f>
        <v>0</v>
      </c>
      <c r="G121" s="88">
        <f t="shared" si="3"/>
        <v>89</v>
      </c>
      <c r="H121" s="89">
        <f t="shared" si="5"/>
        <v>31.479329605655778</v>
      </c>
      <c r="I121" s="90" t="s">
        <v>445</v>
      </c>
      <c r="J121" s="17"/>
    </row>
    <row r="122" spans="1:10" customFormat="1" x14ac:dyDescent="0.2">
      <c r="A122" s="3" t="s">
        <v>258</v>
      </c>
      <c r="B122" s="14" t="s">
        <v>259</v>
      </c>
      <c r="C122" s="15"/>
      <c r="D122" s="14" t="s">
        <v>260</v>
      </c>
      <c r="E122" s="86">
        <f>VLOOKUP(A122,'PSFA Runs'!A:E,5,FALSE)</f>
        <v>2127.1</v>
      </c>
      <c r="F122" s="87">
        <f>VLOOKUP(A122,'PSFA Runs'!A:F,6,FALSE)</f>
        <v>0</v>
      </c>
      <c r="G122" s="88">
        <f t="shared" si="3"/>
        <v>2127.1</v>
      </c>
      <c r="H122" s="89">
        <f t="shared" si="5"/>
        <v>752.35597757517303</v>
      </c>
      <c r="I122" s="90" t="s">
        <v>436</v>
      </c>
      <c r="J122" s="17"/>
    </row>
    <row r="123" spans="1:10" customFormat="1" x14ac:dyDescent="0.2">
      <c r="A123" s="3" t="s">
        <v>261</v>
      </c>
      <c r="B123" s="14" t="s">
        <v>262</v>
      </c>
      <c r="C123" s="15"/>
      <c r="D123" s="14" t="s">
        <v>263</v>
      </c>
      <c r="E123" s="86">
        <f>VLOOKUP(A123,'PSFA Runs'!A:E,5,FALSE)</f>
        <v>2765.8</v>
      </c>
      <c r="F123" s="87">
        <f>VLOOKUP(A123,'PSFA Runs'!A:F,6,FALSE)</f>
        <v>0</v>
      </c>
      <c r="G123" s="88">
        <f t="shared" si="3"/>
        <v>2765.8</v>
      </c>
      <c r="H123" s="89">
        <f t="shared" si="5"/>
        <v>978.26438003733438</v>
      </c>
      <c r="I123" s="90" t="s">
        <v>439</v>
      </c>
      <c r="J123" s="17"/>
    </row>
    <row r="124" spans="1:10" customFormat="1" x14ac:dyDescent="0.2">
      <c r="A124" s="3" t="s">
        <v>264</v>
      </c>
      <c r="B124" s="14" t="s">
        <v>265</v>
      </c>
      <c r="C124" s="15"/>
      <c r="D124" s="14" t="s">
        <v>266</v>
      </c>
      <c r="E124" s="86">
        <f>VLOOKUP(A124,'PSFA Runs'!A:E,5,FALSE)</f>
        <v>672.3</v>
      </c>
      <c r="F124" s="87">
        <f>VLOOKUP(A124,'PSFA Runs'!A:F,6,FALSE)</f>
        <v>0</v>
      </c>
      <c r="G124" s="88">
        <f t="shared" si="3"/>
        <v>672.3</v>
      </c>
      <c r="H124" s="89">
        <f t="shared" si="5"/>
        <v>237.79273363912785</v>
      </c>
      <c r="I124" s="90" t="s">
        <v>439</v>
      </c>
      <c r="J124" s="17"/>
    </row>
    <row r="125" spans="1:10" customFormat="1" x14ac:dyDescent="0.2">
      <c r="A125" s="3" t="s">
        <v>267</v>
      </c>
      <c r="B125" s="14" t="s">
        <v>262</v>
      </c>
      <c r="C125" s="15"/>
      <c r="D125" s="14" t="s">
        <v>268</v>
      </c>
      <c r="E125" s="86">
        <f>VLOOKUP(A125,'PSFA Runs'!A:E,5,FALSE)</f>
        <v>484.3</v>
      </c>
      <c r="F125" s="87">
        <f>VLOOKUP(A125,'PSFA Runs'!A:F,6,FALSE)</f>
        <v>0</v>
      </c>
      <c r="G125" s="88">
        <f t="shared" si="3"/>
        <v>484.3</v>
      </c>
      <c r="H125" s="89">
        <f t="shared" si="5"/>
        <v>171.29707110133813</v>
      </c>
      <c r="I125" s="90" t="s">
        <v>439</v>
      </c>
      <c r="J125" s="17"/>
    </row>
    <row r="126" spans="1:10" customFormat="1" x14ac:dyDescent="0.2">
      <c r="A126" s="3" t="s">
        <v>269</v>
      </c>
      <c r="B126" s="14" t="s">
        <v>270</v>
      </c>
      <c r="C126" s="15"/>
      <c r="D126" s="14" t="s">
        <v>271</v>
      </c>
      <c r="E126" s="86">
        <f>VLOOKUP(A126,'PSFA Runs'!A:E,5,FALSE)</f>
        <v>6026.2</v>
      </c>
      <c r="F126" s="87">
        <f>VLOOKUP(A126,'PSFA Runs'!A:F,6,FALSE)</f>
        <v>0</v>
      </c>
      <c r="G126" s="88">
        <f t="shared" si="3"/>
        <v>6026.2</v>
      </c>
      <c r="H126" s="89">
        <f t="shared" si="5"/>
        <v>2131.4689446022794</v>
      </c>
      <c r="I126" s="90" t="s">
        <v>432</v>
      </c>
      <c r="J126" s="17"/>
    </row>
    <row r="127" spans="1:10" customFormat="1" x14ac:dyDescent="0.2">
      <c r="A127" s="3" t="s">
        <v>272</v>
      </c>
      <c r="B127" s="14" t="s">
        <v>270</v>
      </c>
      <c r="C127" s="15"/>
      <c r="D127" s="14" t="s">
        <v>273</v>
      </c>
      <c r="E127" s="86">
        <f>VLOOKUP(A127,'PSFA Runs'!A:E,5,FALSE)</f>
        <v>261.7</v>
      </c>
      <c r="F127" s="87">
        <f>VLOOKUP(A127,'PSFA Runs'!A:F,6,FALSE)</f>
        <v>0</v>
      </c>
      <c r="G127" s="88">
        <f t="shared" si="3"/>
        <v>261.7</v>
      </c>
      <c r="H127" s="89">
        <f t="shared" si="5"/>
        <v>92.563377053933905</v>
      </c>
      <c r="I127" s="90" t="s">
        <v>443</v>
      </c>
      <c r="J127" s="17"/>
    </row>
    <row r="128" spans="1:10" customFormat="1" x14ac:dyDescent="0.2">
      <c r="A128" s="3" t="s">
        <v>274</v>
      </c>
      <c r="B128" s="14" t="s">
        <v>275</v>
      </c>
      <c r="C128" s="15"/>
      <c r="D128" s="14" t="s">
        <v>276</v>
      </c>
      <c r="E128" s="86">
        <f>VLOOKUP(A128,'PSFA Runs'!A:E,5,FALSE)</f>
        <v>1472.5</v>
      </c>
      <c r="F128" s="87">
        <f>VLOOKUP(A128,'PSFA Runs'!A:F,6,FALSE)</f>
        <v>0</v>
      </c>
      <c r="G128" s="88">
        <f t="shared" si="3"/>
        <v>1472.5</v>
      </c>
      <c r="H128" s="89">
        <f t="shared" si="5"/>
        <v>520.82373982391164</v>
      </c>
      <c r="I128" s="90" t="s">
        <v>427</v>
      </c>
      <c r="J128" s="17"/>
    </row>
    <row r="129" spans="1:10" customFormat="1" x14ac:dyDescent="0.2">
      <c r="A129" s="3" t="s">
        <v>277</v>
      </c>
      <c r="B129" s="14" t="s">
        <v>275</v>
      </c>
      <c r="C129" s="15"/>
      <c r="D129" s="14" t="s">
        <v>278</v>
      </c>
      <c r="E129" s="86">
        <f>VLOOKUP(A129,'PSFA Runs'!A:E,5,FALSE)</f>
        <v>3383</v>
      </c>
      <c r="F129" s="87">
        <f>VLOOKUP(A129,'PSFA Runs'!A:F,6,FALSE)</f>
        <v>0</v>
      </c>
      <c r="G129" s="88">
        <f t="shared" si="3"/>
        <v>3383</v>
      </c>
      <c r="H129" s="89">
        <f t="shared" si="5"/>
        <v>1196.5682253475675</v>
      </c>
      <c r="I129" s="90" t="s">
        <v>427</v>
      </c>
      <c r="J129" s="17"/>
    </row>
    <row r="130" spans="1:10" customFormat="1" x14ac:dyDescent="0.2">
      <c r="A130" s="3" t="s">
        <v>279</v>
      </c>
      <c r="B130" s="14" t="s">
        <v>275</v>
      </c>
      <c r="C130" s="15"/>
      <c r="D130" s="14" t="s">
        <v>280</v>
      </c>
      <c r="E130" s="86">
        <f>VLOOKUP(A130,'PSFA Runs'!A:E,5,FALSE)</f>
        <v>205.5</v>
      </c>
      <c r="F130" s="87">
        <f>VLOOKUP(A130,'PSFA Runs'!A:F,6,FALSE)</f>
        <v>0</v>
      </c>
      <c r="G130" s="88">
        <f t="shared" si="3"/>
        <v>205.5</v>
      </c>
      <c r="H130" s="89">
        <f t="shared" si="5"/>
        <v>72.685418359126544</v>
      </c>
      <c r="I130" s="90" t="s">
        <v>427</v>
      </c>
      <c r="J130" s="17"/>
    </row>
    <row r="131" spans="1:10" customFormat="1" x14ac:dyDescent="0.2">
      <c r="A131" s="3" t="s">
        <v>281</v>
      </c>
      <c r="B131" s="14" t="s">
        <v>275</v>
      </c>
      <c r="C131" s="15"/>
      <c r="D131" s="14" t="s">
        <v>282</v>
      </c>
      <c r="E131" s="86">
        <f>VLOOKUP(A131,'PSFA Runs'!A:E,5,FALSE)</f>
        <v>688</v>
      </c>
      <c r="F131" s="87">
        <f>VLOOKUP(A131,'PSFA Runs'!A:F,6,FALSE)</f>
        <v>0</v>
      </c>
      <c r="G131" s="88">
        <f t="shared" si="3"/>
        <v>688</v>
      </c>
      <c r="H131" s="89">
        <f t="shared" si="5"/>
        <v>243.34582886169858</v>
      </c>
      <c r="I131" s="90" t="s">
        <v>427</v>
      </c>
      <c r="J131" s="17"/>
    </row>
    <row r="132" spans="1:10" customFormat="1" x14ac:dyDescent="0.2">
      <c r="A132" s="3" t="s">
        <v>283</v>
      </c>
      <c r="B132" s="14" t="s">
        <v>284</v>
      </c>
      <c r="C132" s="15"/>
      <c r="D132" s="14" t="s">
        <v>285</v>
      </c>
      <c r="E132" s="86">
        <f>VLOOKUP(A132,'PSFA Runs'!A:E,5,FALSE)</f>
        <v>1489.5</v>
      </c>
      <c r="F132" s="87">
        <f>VLOOKUP(A132,'PSFA Runs'!A:F,6,FALSE)</f>
        <v>0</v>
      </c>
      <c r="G132" s="88">
        <f t="shared" si="3"/>
        <v>1489.5</v>
      </c>
      <c r="H132" s="89">
        <f t="shared" si="5"/>
        <v>526.83664547892454</v>
      </c>
      <c r="I132" s="90" t="s">
        <v>440</v>
      </c>
      <c r="J132" s="17"/>
    </row>
    <row r="133" spans="1:10" customFormat="1" x14ac:dyDescent="0.2">
      <c r="A133" s="3" t="s">
        <v>286</v>
      </c>
      <c r="B133" s="14" t="s">
        <v>284</v>
      </c>
      <c r="C133" s="15"/>
      <c r="D133" s="14" t="s">
        <v>287</v>
      </c>
      <c r="E133" s="86">
        <f>VLOOKUP(A133,'PSFA Runs'!A:E,5,FALSE)</f>
        <v>800.9</v>
      </c>
      <c r="F133" s="87">
        <f>VLOOKUP(A133,'PSFA Runs'!A:F,6,FALSE)</f>
        <v>0</v>
      </c>
      <c r="G133" s="88">
        <f t="shared" si="3"/>
        <v>800.9</v>
      </c>
      <c r="H133" s="89">
        <f t="shared" si="5"/>
        <v>283.27859641763717</v>
      </c>
      <c r="I133" s="90" t="s">
        <v>440</v>
      </c>
      <c r="J133" s="17"/>
    </row>
    <row r="134" spans="1:10" customFormat="1" x14ac:dyDescent="0.2">
      <c r="A134" s="3" t="s">
        <v>288</v>
      </c>
      <c r="B134" s="14" t="s">
        <v>284</v>
      </c>
      <c r="C134" s="15"/>
      <c r="D134" s="14" t="s">
        <v>289</v>
      </c>
      <c r="E134" s="86">
        <f>VLOOKUP(A134,'PSFA Runs'!A:E,5,FALSE)</f>
        <v>165.5</v>
      </c>
      <c r="F134" s="87">
        <f>VLOOKUP(A134,'PSFA Runs'!A:F,6,FALSE)</f>
        <v>0</v>
      </c>
      <c r="G134" s="88">
        <f t="shared" si="3"/>
        <v>165.5</v>
      </c>
      <c r="H134" s="89">
        <f t="shared" si="5"/>
        <v>58.537405053213831</v>
      </c>
      <c r="I134" s="90" t="s">
        <v>441</v>
      </c>
      <c r="J134" s="17"/>
    </row>
    <row r="135" spans="1:10" customFormat="1" x14ac:dyDescent="0.2">
      <c r="A135" s="3" t="s">
        <v>290</v>
      </c>
      <c r="B135" s="14" t="s">
        <v>284</v>
      </c>
      <c r="C135" s="15"/>
      <c r="D135" s="14" t="s">
        <v>291</v>
      </c>
      <c r="E135" s="86">
        <f>VLOOKUP(A135,'PSFA Runs'!A:E,5,FALSE)</f>
        <v>386.5</v>
      </c>
      <c r="F135" s="87">
        <f>VLOOKUP(A135,'PSFA Runs'!A:F,6,FALSE)</f>
        <v>0</v>
      </c>
      <c r="G135" s="88">
        <f t="shared" si="3"/>
        <v>386.5</v>
      </c>
      <c r="H135" s="89">
        <f t="shared" si="5"/>
        <v>136.70517856838157</v>
      </c>
      <c r="I135" s="90" t="s">
        <v>441</v>
      </c>
      <c r="J135" s="17"/>
    </row>
    <row r="136" spans="1:10" customFormat="1" x14ac:dyDescent="0.2">
      <c r="A136" s="3" t="s">
        <v>292</v>
      </c>
      <c r="B136" s="14" t="s">
        <v>284</v>
      </c>
      <c r="C136" s="15"/>
      <c r="D136" s="14" t="s">
        <v>293</v>
      </c>
      <c r="E136" s="86">
        <f>VLOOKUP(A136,'PSFA Runs'!A:E,5,FALSE)</f>
        <v>219.7</v>
      </c>
      <c r="F136" s="87">
        <f>VLOOKUP(A136,'PSFA Runs'!A:F,6,FALSE)</f>
        <v>0</v>
      </c>
      <c r="G136" s="88">
        <f t="shared" si="3"/>
        <v>219.7</v>
      </c>
      <c r="H136" s="89">
        <f t="shared" si="5"/>
        <v>77.707963082725556</v>
      </c>
      <c r="I136" s="90" t="s">
        <v>440</v>
      </c>
      <c r="J136" s="17"/>
    </row>
    <row r="137" spans="1:10" customFormat="1" x14ac:dyDescent="0.2">
      <c r="A137" s="3" t="s">
        <v>294</v>
      </c>
      <c r="B137" s="14" t="s">
        <v>284</v>
      </c>
      <c r="C137" s="15"/>
      <c r="D137" s="14" t="s">
        <v>295</v>
      </c>
      <c r="E137" s="86">
        <f>VLOOKUP(A137,'PSFA Runs'!A:E,5,FALSE)</f>
        <v>343.7</v>
      </c>
      <c r="F137" s="87">
        <f>VLOOKUP(A137,'PSFA Runs'!A:F,6,FALSE)</f>
        <v>0</v>
      </c>
      <c r="G137" s="88">
        <f t="shared" si="3"/>
        <v>343.7</v>
      </c>
      <c r="H137" s="89">
        <f t="shared" si="5"/>
        <v>121.56680433105494</v>
      </c>
      <c r="I137" s="90" t="s">
        <v>440</v>
      </c>
      <c r="J137" s="17"/>
    </row>
    <row r="138" spans="1:10" customFormat="1" x14ac:dyDescent="0.2">
      <c r="A138" s="3" t="s">
        <v>296</v>
      </c>
      <c r="B138" s="14" t="s">
        <v>297</v>
      </c>
      <c r="C138" s="15"/>
      <c r="D138" s="14" t="s">
        <v>298</v>
      </c>
      <c r="E138" s="86">
        <f>VLOOKUP(A138,'PSFA Runs'!A:E,5,FALSE)</f>
        <v>165.7</v>
      </c>
      <c r="F138" s="87">
        <f>VLOOKUP(A138,'PSFA Runs'!A:F,6,FALSE)</f>
        <v>0</v>
      </c>
      <c r="G138" s="88">
        <f t="shared" si="3"/>
        <v>165.7</v>
      </c>
      <c r="H138" s="89">
        <f t="shared" si="5"/>
        <v>58.608145119743391</v>
      </c>
      <c r="I138" s="90" t="s">
        <v>443</v>
      </c>
      <c r="J138" s="17"/>
    </row>
    <row r="139" spans="1:10" customFormat="1" x14ac:dyDescent="0.2">
      <c r="A139" s="3" t="s">
        <v>299</v>
      </c>
      <c r="B139" s="14" t="s">
        <v>297</v>
      </c>
      <c r="C139" s="15"/>
      <c r="D139" s="14" t="s">
        <v>300</v>
      </c>
      <c r="E139" s="86">
        <f>VLOOKUP(A139,'PSFA Runs'!A:E,5,FALSE)</f>
        <v>333.3</v>
      </c>
      <c r="F139" s="87">
        <f>VLOOKUP(A139,'PSFA Runs'!A:F,6,FALSE)</f>
        <v>0</v>
      </c>
      <c r="G139" s="88">
        <f t="shared" si="3"/>
        <v>333.3</v>
      </c>
      <c r="H139" s="89">
        <f t="shared" si="5"/>
        <v>117.88832087151765</v>
      </c>
      <c r="I139" s="90" t="s">
        <v>443</v>
      </c>
      <c r="J139" s="17"/>
    </row>
    <row r="140" spans="1:10" customFormat="1" x14ac:dyDescent="0.2">
      <c r="A140" s="3" t="s">
        <v>301</v>
      </c>
      <c r="B140" s="14" t="s">
        <v>302</v>
      </c>
      <c r="C140" s="15"/>
      <c r="D140" s="14" t="s">
        <v>303</v>
      </c>
      <c r="E140" s="86">
        <f>VLOOKUP(A140,'PSFA Runs'!A:E,5,FALSE)</f>
        <v>858.6</v>
      </c>
      <c r="F140" s="87">
        <f>VLOOKUP(A140,'PSFA Runs'!A:F,6,FALSE)</f>
        <v>0</v>
      </c>
      <c r="G140" s="88">
        <f t="shared" si="3"/>
        <v>858.6</v>
      </c>
      <c r="H140" s="89">
        <f t="shared" si="5"/>
        <v>303.68710561141631</v>
      </c>
      <c r="I140" s="90" t="s">
        <v>433</v>
      </c>
      <c r="J140" s="17"/>
    </row>
    <row r="141" spans="1:10" customFormat="1" x14ac:dyDescent="0.2">
      <c r="A141" s="3" t="s">
        <v>304</v>
      </c>
      <c r="B141" s="14" t="s">
        <v>302</v>
      </c>
      <c r="C141" s="15"/>
      <c r="D141" s="14" t="s">
        <v>305</v>
      </c>
      <c r="E141" s="86">
        <f>VLOOKUP(A141,'PSFA Runs'!A:E,5,FALSE)</f>
        <v>643.6</v>
      </c>
      <c r="F141" s="87">
        <f>VLOOKUP(A141,'PSFA Runs'!A:F,6,FALSE)</f>
        <v>0</v>
      </c>
      <c r="G141" s="88">
        <f t="shared" si="3"/>
        <v>643.6</v>
      </c>
      <c r="H141" s="89">
        <f t="shared" si="5"/>
        <v>227.64153409213549</v>
      </c>
      <c r="I141" s="90" t="s">
        <v>434</v>
      </c>
      <c r="J141" s="17"/>
    </row>
    <row r="142" spans="1:10" customFormat="1" x14ac:dyDescent="0.2">
      <c r="A142" s="3" t="s">
        <v>306</v>
      </c>
      <c r="B142" s="14" t="s">
        <v>307</v>
      </c>
      <c r="C142" s="15"/>
      <c r="D142" s="14" t="s">
        <v>308</v>
      </c>
      <c r="E142" s="86">
        <f>VLOOKUP(A142,'PSFA Runs'!A:E,5,FALSE)</f>
        <v>599</v>
      </c>
      <c r="F142" s="87">
        <f>VLOOKUP(A142,'PSFA Runs'!A:F,6,FALSE)</f>
        <v>0</v>
      </c>
      <c r="G142" s="88">
        <f t="shared" ref="G142:G188" si="6">SUM(E142:F142)</f>
        <v>599</v>
      </c>
      <c r="H142" s="89">
        <f t="shared" si="5"/>
        <v>211.86649925604283</v>
      </c>
      <c r="I142" s="90" t="s">
        <v>435</v>
      </c>
      <c r="J142" s="17"/>
    </row>
    <row r="143" spans="1:10" customFormat="1" x14ac:dyDescent="0.2">
      <c r="A143" s="3" t="s">
        <v>309</v>
      </c>
      <c r="B143" s="14" t="s">
        <v>307</v>
      </c>
      <c r="C143" s="15"/>
      <c r="D143" s="14" t="s">
        <v>310</v>
      </c>
      <c r="E143" s="86">
        <f>VLOOKUP(A143,'PSFA Runs'!A:E,5,FALSE)</f>
        <v>320.5</v>
      </c>
      <c r="F143" s="87">
        <f>VLOOKUP(A143,'PSFA Runs'!A:F,6,FALSE)</f>
        <v>0</v>
      </c>
      <c r="G143" s="88">
        <f t="shared" si="6"/>
        <v>320.5</v>
      </c>
      <c r="H143" s="89">
        <f t="shared" si="5"/>
        <v>113.36095661362558</v>
      </c>
      <c r="I143" s="90" t="s">
        <v>435</v>
      </c>
      <c r="J143" s="17"/>
    </row>
    <row r="144" spans="1:10" customFormat="1" x14ac:dyDescent="0.2">
      <c r="A144" s="3" t="s">
        <v>314</v>
      </c>
      <c r="B144" s="14" t="s">
        <v>315</v>
      </c>
      <c r="C144" s="15"/>
      <c r="D144" s="14" t="s">
        <v>316</v>
      </c>
      <c r="E144" s="86">
        <f>VLOOKUP(A144,'PSFA Runs'!A:E,5,FALSE)</f>
        <v>193.5</v>
      </c>
      <c r="F144" s="87">
        <f>VLOOKUP(A144,'PSFA Runs'!A:F,6,FALSE)</f>
        <v>0</v>
      </c>
      <c r="G144" s="88">
        <f t="shared" si="6"/>
        <v>193.5</v>
      </c>
      <c r="H144" s="89">
        <f t="shared" si="5"/>
        <v>68.441014367352722</v>
      </c>
      <c r="I144" s="76" t="s">
        <v>442</v>
      </c>
      <c r="J144" s="16"/>
    </row>
    <row r="145" spans="1:10" customFormat="1" x14ac:dyDescent="0.2">
      <c r="A145" s="3" t="s">
        <v>317</v>
      </c>
      <c r="B145" s="14" t="s">
        <v>315</v>
      </c>
      <c r="C145" s="15"/>
      <c r="D145" s="14" t="s">
        <v>318</v>
      </c>
      <c r="E145" s="86">
        <f>VLOOKUP(A145,'PSFA Runs'!A:E,5,FALSE)</f>
        <v>1534.6</v>
      </c>
      <c r="F145" s="87">
        <f>VLOOKUP(A145,'PSFA Runs'!A:F,6,FALSE)</f>
        <v>0</v>
      </c>
      <c r="G145" s="88">
        <f t="shared" si="6"/>
        <v>1534.6</v>
      </c>
      <c r="H145" s="89">
        <f t="shared" ref="H145:H177" si="7">$D$11*(E145/$G$191)</f>
        <v>542.78853048134101</v>
      </c>
      <c r="I145" s="76" t="s">
        <v>442</v>
      </c>
      <c r="J145" s="16"/>
    </row>
    <row r="146" spans="1:10" customFormat="1" x14ac:dyDescent="0.2">
      <c r="A146" s="3" t="s">
        <v>319</v>
      </c>
      <c r="B146" s="14" t="s">
        <v>315</v>
      </c>
      <c r="C146" s="15"/>
      <c r="D146" s="14" t="s">
        <v>320</v>
      </c>
      <c r="E146" s="86">
        <f>VLOOKUP(A146,'PSFA Runs'!A:E,5,FALSE)</f>
        <v>291.8</v>
      </c>
      <c r="F146" s="87">
        <f>VLOOKUP(A146,'PSFA Runs'!A:F,6,FALSE)</f>
        <v>0</v>
      </c>
      <c r="G146" s="88">
        <f t="shared" si="6"/>
        <v>291.8</v>
      </c>
      <c r="H146" s="89">
        <f t="shared" si="7"/>
        <v>103.20975706663322</v>
      </c>
      <c r="I146" s="76" t="s">
        <v>442</v>
      </c>
      <c r="J146" s="16"/>
    </row>
    <row r="147" spans="1:10" customFormat="1" x14ac:dyDescent="0.2">
      <c r="A147" s="3" t="s">
        <v>321</v>
      </c>
      <c r="B147" s="14" t="s">
        <v>315</v>
      </c>
      <c r="C147" s="15"/>
      <c r="D147" s="14" t="s">
        <v>322</v>
      </c>
      <c r="E147" s="86">
        <f>VLOOKUP(A147,'PSFA Runs'!A:E,5,FALSE)</f>
        <v>232.8</v>
      </c>
      <c r="F147" s="87">
        <f>VLOOKUP(A147,'PSFA Runs'!A:F,6,FALSE)</f>
        <v>0</v>
      </c>
      <c r="G147" s="88">
        <f t="shared" si="6"/>
        <v>232.8</v>
      </c>
      <c r="H147" s="89">
        <f t="shared" si="7"/>
        <v>82.341437440411966</v>
      </c>
      <c r="I147" s="90" t="s">
        <v>440</v>
      </c>
      <c r="J147" s="17"/>
    </row>
    <row r="148" spans="1:10" customFormat="1" x14ac:dyDescent="0.2">
      <c r="A148" s="3" t="s">
        <v>323</v>
      </c>
      <c r="B148" s="14" t="s">
        <v>324</v>
      </c>
      <c r="C148" s="15"/>
      <c r="D148" s="14" t="s">
        <v>325</v>
      </c>
      <c r="E148" s="86">
        <f>VLOOKUP(A148,'PSFA Runs'!A:E,5,FALSE)</f>
        <v>16258.2</v>
      </c>
      <c r="F148" s="87">
        <f>VLOOKUP(A148,'PSFA Runs'!A:F,6,FALSE)</f>
        <v>0</v>
      </c>
      <c r="G148" s="88">
        <f t="shared" si="6"/>
        <v>16258.2</v>
      </c>
      <c r="H148" s="89">
        <f t="shared" si="7"/>
        <v>5750.5307482547505</v>
      </c>
      <c r="I148" s="90" t="s">
        <v>441</v>
      </c>
      <c r="J148" s="17"/>
    </row>
    <row r="149" spans="1:10" customFormat="1" x14ac:dyDescent="0.2">
      <c r="A149" s="3" t="s">
        <v>326</v>
      </c>
      <c r="B149" s="14" t="s">
        <v>324</v>
      </c>
      <c r="C149" s="15"/>
      <c r="D149" s="14" t="s">
        <v>327</v>
      </c>
      <c r="E149" s="86">
        <f>VLOOKUP(A149,'PSFA Runs'!A:E,5,FALSE)</f>
        <v>10418.6</v>
      </c>
      <c r="F149" s="87">
        <f>VLOOKUP(A149,'PSFA Runs'!A:F,6,FALSE)</f>
        <v>0</v>
      </c>
      <c r="G149" s="88">
        <f t="shared" si="6"/>
        <v>10418.6</v>
      </c>
      <c r="H149" s="89">
        <f t="shared" si="7"/>
        <v>3685.0622857245539</v>
      </c>
      <c r="I149" s="90" t="s">
        <v>441</v>
      </c>
      <c r="J149" s="17"/>
    </row>
    <row r="150" spans="1:10" customFormat="1" x14ac:dyDescent="0.2">
      <c r="A150" s="3" t="s">
        <v>328</v>
      </c>
      <c r="B150" s="14" t="s">
        <v>329</v>
      </c>
      <c r="C150" s="15"/>
      <c r="D150" s="14" t="s">
        <v>330</v>
      </c>
      <c r="E150" s="86">
        <f>VLOOKUP(A150,'PSFA Runs'!A:E,5,FALSE)</f>
        <v>718.9</v>
      </c>
      <c r="F150" s="87">
        <f>VLOOKUP(A150,'PSFA Runs'!A:F,6,FALSE)</f>
        <v>0</v>
      </c>
      <c r="G150" s="88">
        <f t="shared" si="6"/>
        <v>718.9</v>
      </c>
      <c r="H150" s="89">
        <f t="shared" si="7"/>
        <v>254.27516914051614</v>
      </c>
      <c r="I150" s="90" t="s">
        <v>438</v>
      </c>
      <c r="J150" s="17"/>
    </row>
    <row r="151" spans="1:10" customFormat="1" x14ac:dyDescent="0.2">
      <c r="A151" s="3" t="s">
        <v>331</v>
      </c>
      <c r="B151" s="14" t="s">
        <v>329</v>
      </c>
      <c r="C151" s="15"/>
      <c r="D151" s="14" t="s">
        <v>332</v>
      </c>
      <c r="E151" s="86">
        <f>VLOOKUP(A151,'PSFA Runs'!A:E,5,FALSE)</f>
        <v>489.2</v>
      </c>
      <c r="F151" s="87">
        <f>VLOOKUP(A151,'PSFA Runs'!A:F,6,FALSE)</f>
        <v>0</v>
      </c>
      <c r="G151" s="88">
        <f t="shared" si="6"/>
        <v>489.2</v>
      </c>
      <c r="H151" s="89">
        <f t="shared" si="7"/>
        <v>173.03020273131244</v>
      </c>
      <c r="I151" s="90" t="s">
        <v>438</v>
      </c>
      <c r="J151" s="17"/>
    </row>
    <row r="152" spans="1:10" customFormat="1" x14ac:dyDescent="0.2">
      <c r="A152" s="3" t="s">
        <v>333</v>
      </c>
      <c r="B152" s="14" t="s">
        <v>334</v>
      </c>
      <c r="C152" s="15"/>
      <c r="D152" s="14" t="s">
        <v>335</v>
      </c>
      <c r="E152" s="86">
        <f>VLOOKUP(A152,'PSFA Runs'!A:E,5,FALSE)</f>
        <v>445</v>
      </c>
      <c r="F152" s="87">
        <f>VLOOKUP(A152,'PSFA Runs'!A:F,6,FALSE)</f>
        <v>0</v>
      </c>
      <c r="G152" s="88">
        <f t="shared" si="6"/>
        <v>445</v>
      </c>
      <c r="H152" s="89">
        <f t="shared" si="7"/>
        <v>157.39664802827889</v>
      </c>
      <c r="I152" s="90" t="s">
        <v>445</v>
      </c>
      <c r="J152" s="17"/>
    </row>
    <row r="153" spans="1:10" customFormat="1" x14ac:dyDescent="0.2">
      <c r="A153" s="3" t="s">
        <v>336</v>
      </c>
      <c r="B153" s="14" t="s">
        <v>334</v>
      </c>
      <c r="C153" s="15"/>
      <c r="D153" s="14" t="s">
        <v>337</v>
      </c>
      <c r="E153" s="86">
        <f>VLOOKUP(A153,'PSFA Runs'!A:E,5,FALSE)</f>
        <v>1133</v>
      </c>
      <c r="F153" s="87">
        <f>VLOOKUP(A153,'PSFA Runs'!A:F,6,FALSE)</f>
        <v>0</v>
      </c>
      <c r="G153" s="88">
        <f t="shared" si="6"/>
        <v>1133</v>
      </c>
      <c r="H153" s="89">
        <f t="shared" si="7"/>
        <v>400.74247688997747</v>
      </c>
      <c r="I153" s="90" t="s">
        <v>445</v>
      </c>
      <c r="J153" s="17"/>
    </row>
    <row r="154" spans="1:10" customFormat="1" x14ac:dyDescent="0.2">
      <c r="A154" s="3" t="s">
        <v>338</v>
      </c>
      <c r="B154" s="14" t="s">
        <v>334</v>
      </c>
      <c r="C154" s="15"/>
      <c r="D154" s="14" t="s">
        <v>339</v>
      </c>
      <c r="E154" s="86">
        <f>VLOOKUP(A154,'PSFA Runs'!A:E,5,FALSE)</f>
        <v>376.3</v>
      </c>
      <c r="F154" s="87">
        <f>VLOOKUP(A154,'PSFA Runs'!A:F,6,FALSE)</f>
        <v>0</v>
      </c>
      <c r="G154" s="88">
        <f t="shared" si="6"/>
        <v>376.3</v>
      </c>
      <c r="H154" s="89">
        <f t="shared" si="7"/>
        <v>133.09743517537382</v>
      </c>
      <c r="I154" s="90" t="s">
        <v>445</v>
      </c>
      <c r="J154" s="17"/>
    </row>
    <row r="155" spans="1:10" customFormat="1" x14ac:dyDescent="0.2">
      <c r="A155" s="3" t="s">
        <v>340</v>
      </c>
      <c r="B155" s="14" t="s">
        <v>341</v>
      </c>
      <c r="C155" s="15"/>
      <c r="D155" s="14" t="s">
        <v>342</v>
      </c>
      <c r="E155" s="86">
        <f>VLOOKUP(A155,'PSFA Runs'!A:E,5,FALSE)</f>
        <v>400.7</v>
      </c>
      <c r="F155" s="87">
        <f>VLOOKUP(A155,'PSFA Runs'!A:F,6,FALSE)</f>
        <v>0</v>
      </c>
      <c r="G155" s="88">
        <f t="shared" si="6"/>
        <v>400.7</v>
      </c>
      <c r="H155" s="89">
        <f t="shared" si="7"/>
        <v>141.72772329198057</v>
      </c>
      <c r="I155" s="90" t="s">
        <v>436</v>
      </c>
      <c r="J155" s="17"/>
    </row>
    <row r="156" spans="1:10" customFormat="1" x14ac:dyDescent="0.2">
      <c r="A156" s="3" t="s">
        <v>343</v>
      </c>
      <c r="B156" s="14" t="s">
        <v>341</v>
      </c>
      <c r="C156" s="15"/>
      <c r="D156" s="14" t="s">
        <v>344</v>
      </c>
      <c r="E156" s="86">
        <f>VLOOKUP(A156,'PSFA Runs'!A:E,5,FALSE)</f>
        <v>2686.4</v>
      </c>
      <c r="F156" s="87">
        <f>VLOOKUP(A156,'PSFA Runs'!A:F,6,FALSE)</f>
        <v>90</v>
      </c>
      <c r="G156" s="88">
        <f t="shared" si="6"/>
        <v>2776.4</v>
      </c>
      <c r="H156" s="89">
        <f t="shared" si="7"/>
        <v>950.18057362509762</v>
      </c>
      <c r="I156" s="90" t="s">
        <v>436</v>
      </c>
      <c r="J156" s="17"/>
    </row>
    <row r="157" spans="1:10" customFormat="1" x14ac:dyDescent="0.2">
      <c r="A157" s="3" t="s">
        <v>345</v>
      </c>
      <c r="B157" s="14" t="s">
        <v>341</v>
      </c>
      <c r="C157" s="15"/>
      <c r="D157" s="14" t="s">
        <v>346</v>
      </c>
      <c r="E157" s="86">
        <f>VLOOKUP(A157,'PSFA Runs'!A:E,5,FALSE)</f>
        <v>319.39999999999998</v>
      </c>
      <c r="F157" s="87">
        <f>VLOOKUP(A157,'PSFA Runs'!A:F,6,FALSE)</f>
        <v>0</v>
      </c>
      <c r="G157" s="88">
        <f t="shared" si="6"/>
        <v>319.39999999999998</v>
      </c>
      <c r="H157" s="89">
        <f t="shared" si="7"/>
        <v>112.97188624771297</v>
      </c>
      <c r="I157" s="90" t="s">
        <v>436</v>
      </c>
      <c r="J157" s="17"/>
    </row>
    <row r="158" spans="1:10" customFormat="1" x14ac:dyDescent="0.2">
      <c r="A158" s="3" t="s">
        <v>347</v>
      </c>
      <c r="B158" s="14" t="s">
        <v>348</v>
      </c>
      <c r="C158" s="15"/>
      <c r="D158" s="14" t="s">
        <v>349</v>
      </c>
      <c r="E158" s="86">
        <f>VLOOKUP(A158,'PSFA Runs'!A:E,5,FALSE)</f>
        <v>162.19999999999999</v>
      </c>
      <c r="F158" s="87">
        <f>VLOOKUP(A158,'PSFA Runs'!A:F,6,FALSE)</f>
        <v>0</v>
      </c>
      <c r="G158" s="88">
        <f t="shared" si="6"/>
        <v>162.19999999999999</v>
      </c>
      <c r="H158" s="89">
        <f t="shared" si="7"/>
        <v>57.370193955476033</v>
      </c>
      <c r="I158" s="90" t="s">
        <v>445</v>
      </c>
      <c r="J158" s="17"/>
    </row>
    <row r="159" spans="1:10" customFormat="1" x14ac:dyDescent="0.2">
      <c r="A159" s="3" t="s">
        <v>350</v>
      </c>
      <c r="B159" s="14" t="s">
        <v>348</v>
      </c>
      <c r="C159" s="15"/>
      <c r="D159" s="14" t="s">
        <v>351</v>
      </c>
      <c r="E159" s="86">
        <f>VLOOKUP(A159,'PSFA Runs'!A:E,5,FALSE)</f>
        <v>230</v>
      </c>
      <c r="F159" s="87">
        <f>VLOOKUP(A159,'PSFA Runs'!A:F,6,FALSE)</f>
        <v>0</v>
      </c>
      <c r="G159" s="88">
        <f t="shared" si="6"/>
        <v>230</v>
      </c>
      <c r="H159" s="89">
        <f t="shared" si="7"/>
        <v>81.351076508998077</v>
      </c>
      <c r="I159" s="90" t="s">
        <v>445</v>
      </c>
      <c r="J159" s="17"/>
    </row>
    <row r="160" spans="1:10" customFormat="1" x14ac:dyDescent="0.2">
      <c r="A160" s="3" t="s">
        <v>352</v>
      </c>
      <c r="B160" s="14" t="s">
        <v>348</v>
      </c>
      <c r="C160" s="15"/>
      <c r="D160" s="14" t="s">
        <v>353</v>
      </c>
      <c r="E160" s="86">
        <f>VLOOKUP(A160,'PSFA Runs'!A:E,5,FALSE)</f>
        <v>634.70000000000005</v>
      </c>
      <c r="F160" s="87">
        <f>VLOOKUP(A160,'PSFA Runs'!A:F,6,FALSE)</f>
        <v>0</v>
      </c>
      <c r="G160" s="88">
        <f t="shared" si="6"/>
        <v>634.70000000000005</v>
      </c>
      <c r="H160" s="89">
        <f t="shared" si="7"/>
        <v>224.49360113156993</v>
      </c>
      <c r="I160" s="90" t="s">
        <v>445</v>
      </c>
      <c r="J160" s="17"/>
    </row>
    <row r="161" spans="1:10" customFormat="1" x14ac:dyDescent="0.2">
      <c r="A161" s="3" t="s">
        <v>354</v>
      </c>
      <c r="B161" s="14" t="s">
        <v>355</v>
      </c>
      <c r="C161" s="15"/>
      <c r="D161" s="14" t="s">
        <v>356</v>
      </c>
      <c r="E161" s="86">
        <f>VLOOKUP(A161,'PSFA Runs'!A:E,5,FALSE)</f>
        <v>81.599999999999994</v>
      </c>
      <c r="F161" s="87">
        <f>VLOOKUP(A161,'PSFA Runs'!A:F,6,FALSE)</f>
        <v>0</v>
      </c>
      <c r="G161" s="88">
        <f t="shared" si="6"/>
        <v>81.599999999999994</v>
      </c>
      <c r="H161" s="89">
        <f t="shared" si="7"/>
        <v>28.861947144061926</v>
      </c>
      <c r="I161" s="90" t="s">
        <v>439</v>
      </c>
      <c r="J161" s="17"/>
    </row>
    <row r="162" spans="1:10" customFormat="1" x14ac:dyDescent="0.2">
      <c r="A162" s="3" t="s">
        <v>357</v>
      </c>
      <c r="B162" s="14" t="s">
        <v>358</v>
      </c>
      <c r="C162" s="15"/>
      <c r="D162" s="14" t="s">
        <v>359</v>
      </c>
      <c r="E162" s="86">
        <f>VLOOKUP(A162,'PSFA Runs'!A:E,5,FALSE)</f>
        <v>912.6</v>
      </c>
      <c r="F162" s="87">
        <f>VLOOKUP(A162,'PSFA Runs'!A:F,6,FALSE)</f>
        <v>0</v>
      </c>
      <c r="G162" s="88">
        <f t="shared" si="6"/>
        <v>912.6</v>
      </c>
      <c r="H162" s="89">
        <f t="shared" si="7"/>
        <v>322.78692357439843</v>
      </c>
      <c r="I162" s="90" t="s">
        <v>443</v>
      </c>
      <c r="J162" s="17"/>
    </row>
    <row r="163" spans="1:10" customFormat="1" x14ac:dyDescent="0.2">
      <c r="A163" s="3" t="s">
        <v>360</v>
      </c>
      <c r="B163" s="14" t="s">
        <v>358</v>
      </c>
      <c r="C163" s="15"/>
      <c r="D163" s="14" t="s">
        <v>361</v>
      </c>
      <c r="E163" s="86">
        <f>VLOOKUP(A163,'PSFA Runs'!A:E,5,FALSE)</f>
        <v>206.6</v>
      </c>
      <c r="F163" s="87">
        <f>VLOOKUP(A163,'PSFA Runs'!A:F,6,FALSE)</f>
        <v>0</v>
      </c>
      <c r="G163" s="88">
        <f t="shared" si="6"/>
        <v>206.6</v>
      </c>
      <c r="H163" s="89">
        <f t="shared" si="7"/>
        <v>73.074488725039146</v>
      </c>
      <c r="I163" s="90" t="s">
        <v>443</v>
      </c>
      <c r="J163" s="17"/>
    </row>
    <row r="164" spans="1:10" customFormat="1" x14ac:dyDescent="0.2">
      <c r="A164" s="3" t="s">
        <v>362</v>
      </c>
      <c r="B164" s="14" t="s">
        <v>363</v>
      </c>
      <c r="C164" s="15"/>
      <c r="D164" s="14" t="s">
        <v>364</v>
      </c>
      <c r="E164" s="86">
        <f>VLOOKUP(A164,'PSFA Runs'!A:E,5,FALSE)</f>
        <v>827.8</v>
      </c>
      <c r="F164" s="87">
        <f>VLOOKUP(A164,'PSFA Runs'!A:F,6,FALSE)</f>
        <v>0</v>
      </c>
      <c r="G164" s="88">
        <f t="shared" si="6"/>
        <v>827.8</v>
      </c>
      <c r="H164" s="89">
        <f t="shared" si="7"/>
        <v>292.79313536586352</v>
      </c>
      <c r="I164" s="90" t="s">
        <v>435</v>
      </c>
      <c r="J164" s="17"/>
    </row>
    <row r="165" spans="1:10" customFormat="1" x14ac:dyDescent="0.2">
      <c r="A165" s="3" t="s">
        <v>365</v>
      </c>
      <c r="B165" s="14" t="s">
        <v>363</v>
      </c>
      <c r="C165" s="15"/>
      <c r="D165" s="14" t="s">
        <v>366</v>
      </c>
      <c r="E165" s="86">
        <f>VLOOKUP(A165,'PSFA Runs'!A:E,5,FALSE)</f>
        <v>148</v>
      </c>
      <c r="F165" s="87">
        <f>VLOOKUP(A165,'PSFA Runs'!A:F,6,FALSE)</f>
        <v>0</v>
      </c>
      <c r="G165" s="88">
        <f t="shared" si="6"/>
        <v>148</v>
      </c>
      <c r="H165" s="89">
        <f t="shared" si="7"/>
        <v>52.347649231877021</v>
      </c>
      <c r="I165" s="90" t="s">
        <v>435</v>
      </c>
      <c r="J165" s="17"/>
    </row>
    <row r="166" spans="1:10" customFormat="1" x14ac:dyDescent="0.2">
      <c r="A166" s="3" t="s">
        <v>367</v>
      </c>
      <c r="B166" s="14" t="s">
        <v>368</v>
      </c>
      <c r="C166" s="15"/>
      <c r="D166" s="14" t="s">
        <v>369</v>
      </c>
      <c r="E166" s="86">
        <f>VLOOKUP(A166,'PSFA Runs'!A:E,5,FALSE)</f>
        <v>3519.6</v>
      </c>
      <c r="F166" s="87">
        <f>VLOOKUP(A166,'PSFA Runs'!A:F,6,FALSE)</f>
        <v>0</v>
      </c>
      <c r="G166" s="88">
        <f>SUM(E166:F166)</f>
        <v>3519.6</v>
      </c>
      <c r="H166" s="89">
        <f>$D$11*(E166/$G$191)</f>
        <v>1244.8836907872592</v>
      </c>
      <c r="I166" s="90" t="s">
        <v>434</v>
      </c>
      <c r="J166" s="17"/>
    </row>
    <row r="167" spans="1:10" customFormat="1" x14ac:dyDescent="0.2">
      <c r="A167" s="3" t="s">
        <v>370</v>
      </c>
      <c r="B167" s="14" t="s">
        <v>371</v>
      </c>
      <c r="C167" s="15"/>
      <c r="D167" s="14" t="s">
        <v>372</v>
      </c>
      <c r="E167" s="86">
        <f>VLOOKUP(A167,'PSFA Runs'!A:E,5,FALSE)</f>
        <v>371.3</v>
      </c>
      <c r="F167" s="87">
        <f>VLOOKUP(A167,'PSFA Runs'!A:F,6,FALSE)</f>
        <v>0</v>
      </c>
      <c r="G167" s="88">
        <f t="shared" si="6"/>
        <v>371.3</v>
      </c>
      <c r="H167" s="89">
        <f t="shared" si="7"/>
        <v>131.32893351213474</v>
      </c>
      <c r="I167" s="76" t="s">
        <v>444</v>
      </c>
      <c r="J167" s="16"/>
    </row>
    <row r="168" spans="1:10" customFormat="1" x14ac:dyDescent="0.2">
      <c r="A168" s="3" t="s">
        <v>373</v>
      </c>
      <c r="B168" s="14" t="s">
        <v>371</v>
      </c>
      <c r="C168" s="15"/>
      <c r="D168" s="14" t="s">
        <v>374</v>
      </c>
      <c r="E168" s="86">
        <f>VLOOKUP(A168,'PSFA Runs'!A:E,5,FALSE)</f>
        <v>2273.8000000000002</v>
      </c>
      <c r="F168" s="87">
        <f>VLOOKUP(A168,'PSFA Runs'!A:F,6,FALSE)</f>
        <v>0</v>
      </c>
      <c r="G168" s="88">
        <f t="shared" si="6"/>
        <v>2273.8000000000002</v>
      </c>
      <c r="H168" s="89">
        <f t="shared" si="7"/>
        <v>804.24381637460806</v>
      </c>
      <c r="I168" s="76" t="s">
        <v>444</v>
      </c>
      <c r="J168" s="16"/>
    </row>
    <row r="169" spans="1:10" customFormat="1" x14ac:dyDescent="0.2">
      <c r="A169" s="3" t="s">
        <v>375</v>
      </c>
      <c r="B169" s="14" t="s">
        <v>376</v>
      </c>
      <c r="C169" s="15"/>
      <c r="D169" s="14" t="s">
        <v>377</v>
      </c>
      <c r="E169" s="86">
        <f>VLOOKUP(A169,'PSFA Runs'!A:E,5,FALSE)</f>
        <v>383.6</v>
      </c>
      <c r="F169" s="87">
        <f>VLOOKUP(A169,'PSFA Runs'!A:F,6,FALSE)</f>
        <v>0</v>
      </c>
      <c r="G169" s="88">
        <f t="shared" si="6"/>
        <v>383.6</v>
      </c>
      <c r="H169" s="89">
        <f t="shared" si="7"/>
        <v>135.6794476037029</v>
      </c>
      <c r="I169" s="90" t="s">
        <v>435</v>
      </c>
      <c r="J169" s="17"/>
    </row>
    <row r="170" spans="1:10" customFormat="1" x14ac:dyDescent="0.2">
      <c r="A170" s="3" t="s">
        <v>378</v>
      </c>
      <c r="B170" s="14" t="s">
        <v>376</v>
      </c>
      <c r="C170" s="15"/>
      <c r="D170" s="14" t="s">
        <v>379</v>
      </c>
      <c r="E170" s="86">
        <f>VLOOKUP(A170,'PSFA Runs'!A:E,5,FALSE)</f>
        <v>106.3</v>
      </c>
      <c r="F170" s="87">
        <f>VLOOKUP(A170,'PSFA Runs'!A:F,6,FALSE)</f>
        <v>0</v>
      </c>
      <c r="G170" s="88">
        <f t="shared" si="6"/>
        <v>106.3</v>
      </c>
      <c r="H170" s="89">
        <f t="shared" si="7"/>
        <v>37.598345360463021</v>
      </c>
      <c r="I170" s="90" t="s">
        <v>429</v>
      </c>
      <c r="J170" s="17"/>
    </row>
    <row r="171" spans="1:10" customFormat="1" x14ac:dyDescent="0.2">
      <c r="A171" s="3" t="s">
        <v>380</v>
      </c>
      <c r="B171" s="14" t="s">
        <v>376</v>
      </c>
      <c r="C171" s="15"/>
      <c r="D171" s="14" t="s">
        <v>381</v>
      </c>
      <c r="E171" s="86">
        <f>VLOOKUP(A171,'PSFA Runs'!A:E,5,FALSE)</f>
        <v>222.4</v>
      </c>
      <c r="F171" s="87">
        <f>VLOOKUP(A171,'PSFA Runs'!A:F,6,FALSE)</f>
        <v>0</v>
      </c>
      <c r="G171" s="88">
        <f t="shared" si="6"/>
        <v>222.4</v>
      </c>
      <c r="H171" s="89">
        <f t="shared" si="7"/>
        <v>78.662953980874661</v>
      </c>
      <c r="I171" s="90" t="s">
        <v>435</v>
      </c>
      <c r="J171" s="17"/>
    </row>
    <row r="172" spans="1:10" customFormat="1" x14ac:dyDescent="0.2">
      <c r="A172" s="3" t="s">
        <v>382</v>
      </c>
      <c r="B172" s="14" t="s">
        <v>376</v>
      </c>
      <c r="C172" s="15"/>
      <c r="D172" s="14" t="s">
        <v>383</v>
      </c>
      <c r="E172" s="86">
        <f>VLOOKUP(A172,'PSFA Runs'!A:E,5,FALSE)</f>
        <v>127.5</v>
      </c>
      <c r="F172" s="87">
        <f>VLOOKUP(A172,'PSFA Runs'!A:F,6,FALSE)</f>
        <v>0</v>
      </c>
      <c r="G172" s="88">
        <f t="shared" si="6"/>
        <v>127.5</v>
      </c>
      <c r="H172" s="89">
        <f t="shared" si="7"/>
        <v>45.096792412596756</v>
      </c>
      <c r="I172" s="90" t="s">
        <v>435</v>
      </c>
      <c r="J172" s="17"/>
    </row>
    <row r="173" spans="1:10" customFormat="1" x14ac:dyDescent="0.2">
      <c r="A173" s="3" t="s">
        <v>384</v>
      </c>
      <c r="B173" s="14" t="s">
        <v>376</v>
      </c>
      <c r="C173" s="15"/>
      <c r="D173" s="14" t="s">
        <v>385</v>
      </c>
      <c r="E173" s="86">
        <f>VLOOKUP(A173,'PSFA Runs'!A:E,5,FALSE)</f>
        <v>92.6</v>
      </c>
      <c r="F173" s="87">
        <f>VLOOKUP(A173,'PSFA Runs'!A:F,6,FALSE)</f>
        <v>0</v>
      </c>
      <c r="G173" s="88">
        <f t="shared" si="6"/>
        <v>92.6</v>
      </c>
      <c r="H173" s="89">
        <f t="shared" si="7"/>
        <v>32.752650803187919</v>
      </c>
      <c r="I173" s="90" t="s">
        <v>429</v>
      </c>
      <c r="J173" s="17"/>
    </row>
    <row r="174" spans="1:10" customFormat="1" x14ac:dyDescent="0.2">
      <c r="A174" s="3" t="s">
        <v>386</v>
      </c>
      <c r="B174" s="14" t="s">
        <v>387</v>
      </c>
      <c r="C174" s="15"/>
      <c r="D174" s="14" t="s">
        <v>388</v>
      </c>
      <c r="E174" s="86">
        <f>VLOOKUP(A174,'PSFA Runs'!A:E,5,FALSE)</f>
        <v>1901.1</v>
      </c>
      <c r="F174" s="87">
        <f>VLOOKUP(A174,'PSFA Runs'!A:F,6,FALSE)</f>
        <v>0</v>
      </c>
      <c r="G174" s="88">
        <f t="shared" si="6"/>
        <v>1901.1</v>
      </c>
      <c r="H174" s="89">
        <f t="shared" si="7"/>
        <v>672.4197023967663</v>
      </c>
      <c r="I174" s="90" t="s">
        <v>427</v>
      </c>
      <c r="J174" s="17"/>
    </row>
    <row r="175" spans="1:10" customFormat="1" x14ac:dyDescent="0.2">
      <c r="A175" s="3" t="s">
        <v>389</v>
      </c>
      <c r="B175" s="14" t="s">
        <v>387</v>
      </c>
      <c r="C175" s="15"/>
      <c r="D175" s="14" t="s">
        <v>390</v>
      </c>
      <c r="E175" s="86">
        <f>VLOOKUP(A175,'PSFA Runs'!A:E,5,FALSE)</f>
        <v>2082.9</v>
      </c>
      <c r="F175" s="87">
        <f>VLOOKUP(A175,'PSFA Runs'!A:F,6,FALSE)</f>
        <v>0</v>
      </c>
      <c r="G175" s="88">
        <f t="shared" si="6"/>
        <v>2082.9</v>
      </c>
      <c r="H175" s="89">
        <f t="shared" si="7"/>
        <v>736.72242287213953</v>
      </c>
      <c r="I175" s="90" t="s">
        <v>427</v>
      </c>
      <c r="J175" s="17"/>
    </row>
    <row r="176" spans="1:10" customFormat="1" x14ac:dyDescent="0.2">
      <c r="A176" s="3" t="s">
        <v>391</v>
      </c>
      <c r="B176" s="14" t="s">
        <v>387</v>
      </c>
      <c r="C176" s="15"/>
      <c r="D176" s="14" t="s">
        <v>392</v>
      </c>
      <c r="E176" s="86">
        <f>VLOOKUP(A176,'PSFA Runs'!A:E,5,FALSE)</f>
        <v>2575.3000000000002</v>
      </c>
      <c r="F176" s="87">
        <f>VLOOKUP(A176,'PSFA Runs'!A:F,6,FALSE)</f>
        <v>0</v>
      </c>
      <c r="G176" s="88">
        <f t="shared" si="6"/>
        <v>2575.3000000000002</v>
      </c>
      <c r="H176" s="89">
        <f t="shared" si="7"/>
        <v>910.88446666792504</v>
      </c>
      <c r="I176" s="90" t="s">
        <v>427</v>
      </c>
      <c r="J176" s="17"/>
    </row>
    <row r="177" spans="1:11" customFormat="1" x14ac:dyDescent="0.2">
      <c r="A177" s="3" t="s">
        <v>393</v>
      </c>
      <c r="B177" s="14" t="s">
        <v>387</v>
      </c>
      <c r="C177" s="15"/>
      <c r="D177" s="14" t="s">
        <v>394</v>
      </c>
      <c r="E177" s="86">
        <f>VLOOKUP(A177,'PSFA Runs'!A:E,5,FALSE)</f>
        <v>7599.6</v>
      </c>
      <c r="F177" s="87">
        <f>VLOOKUP(A177,'PSFA Runs'!A:F,6,FALSE)</f>
        <v>0</v>
      </c>
      <c r="G177" s="88">
        <f t="shared" si="6"/>
        <v>7599.6</v>
      </c>
      <c r="H177" s="89">
        <f t="shared" si="7"/>
        <v>2687.9810479903558</v>
      </c>
      <c r="I177" s="90" t="s">
        <v>427</v>
      </c>
      <c r="J177" s="17"/>
    </row>
    <row r="178" spans="1:11" customFormat="1" x14ac:dyDescent="0.2">
      <c r="A178" s="3" t="s">
        <v>395</v>
      </c>
      <c r="B178" s="14" t="s">
        <v>387</v>
      </c>
      <c r="C178" s="15"/>
      <c r="D178" s="14" t="s">
        <v>396</v>
      </c>
      <c r="E178" s="86">
        <f>VLOOKUP(A178,'PSFA Runs'!A:E,5,FALSE)</f>
        <v>3943.2</v>
      </c>
      <c r="F178" s="87">
        <f>VLOOKUP(A178,'PSFA Runs'!A:F,6,FALSE)</f>
        <v>0</v>
      </c>
      <c r="G178" s="88">
        <f t="shared" si="6"/>
        <v>3943.2</v>
      </c>
      <c r="H178" s="89">
        <f t="shared" ref="H178:H189" si="8">$D$11*(E178/$G$191)</f>
        <v>1394.7111516968748</v>
      </c>
      <c r="I178" s="90" t="s">
        <v>427</v>
      </c>
      <c r="J178" s="17"/>
    </row>
    <row r="179" spans="1:11" customFormat="1" x14ac:dyDescent="0.2">
      <c r="A179" s="3" t="s">
        <v>397</v>
      </c>
      <c r="B179" s="14" t="s">
        <v>387</v>
      </c>
      <c r="C179" s="15"/>
      <c r="D179" s="14" t="s">
        <v>398</v>
      </c>
      <c r="E179" s="86">
        <f>VLOOKUP(A179,'PSFA Runs'!A:E,5,FALSE)</f>
        <v>22383.8</v>
      </c>
      <c r="F179" s="87">
        <f>VLOOKUP(A179,'PSFA Runs'!A:F,6,FALSE)</f>
        <v>0</v>
      </c>
      <c r="G179" s="88">
        <f>SUM(E179:F179)</f>
        <v>22383.8</v>
      </c>
      <c r="H179" s="89">
        <f t="shared" si="8"/>
        <v>7917.1575059222223</v>
      </c>
      <c r="I179" s="90" t="s">
        <v>427</v>
      </c>
      <c r="J179" s="17"/>
    </row>
    <row r="180" spans="1:11" customFormat="1" x14ac:dyDescent="0.2">
      <c r="A180" s="3" t="s">
        <v>399</v>
      </c>
      <c r="B180" s="14" t="s">
        <v>387</v>
      </c>
      <c r="C180" s="15"/>
      <c r="D180" s="14" t="s">
        <v>400</v>
      </c>
      <c r="E180" s="86">
        <f>VLOOKUP(A180,'PSFA Runs'!A:E,5,FALSE)</f>
        <v>1160.9000000000001</v>
      </c>
      <c r="F180" s="87">
        <f>VLOOKUP(A180,'PSFA Runs'!A:F,6,FALSE)</f>
        <v>0</v>
      </c>
      <c r="G180" s="88">
        <f t="shared" si="6"/>
        <v>1160.9000000000001</v>
      </c>
      <c r="H180" s="89">
        <f t="shared" si="8"/>
        <v>410.61071617085162</v>
      </c>
      <c r="I180" s="90" t="s">
        <v>427</v>
      </c>
      <c r="J180" s="17"/>
    </row>
    <row r="181" spans="1:11" customFormat="1" x14ac:dyDescent="0.2">
      <c r="A181" s="3" t="s">
        <v>401</v>
      </c>
      <c r="B181" s="14" t="s">
        <v>387</v>
      </c>
      <c r="C181" s="15"/>
      <c r="D181" s="14" t="s">
        <v>402</v>
      </c>
      <c r="E181" s="86">
        <f>VLOOKUP(A181,'PSFA Runs'!A:E,5,FALSE)</f>
        <v>2322</v>
      </c>
      <c r="F181" s="87">
        <f>VLOOKUP(A181,'PSFA Runs'!A:F,6,FALSE)</f>
        <v>0</v>
      </c>
      <c r="G181" s="88">
        <f t="shared" si="6"/>
        <v>2322</v>
      </c>
      <c r="H181" s="89">
        <f t="shared" si="8"/>
        <v>821.29217240823277</v>
      </c>
      <c r="I181" s="90" t="s">
        <v>427</v>
      </c>
      <c r="J181" s="17"/>
    </row>
    <row r="182" spans="1:11" customFormat="1" x14ac:dyDescent="0.2">
      <c r="A182" s="3" t="s">
        <v>403</v>
      </c>
      <c r="B182" s="14" t="s">
        <v>387</v>
      </c>
      <c r="C182" s="15"/>
      <c r="D182" s="14" t="s">
        <v>404</v>
      </c>
      <c r="E182" s="86">
        <f>VLOOKUP(A182,'PSFA Runs'!A:E,5,FALSE)</f>
        <v>958.8</v>
      </c>
      <c r="F182" s="87">
        <f>VLOOKUP(A182,'PSFA Runs'!A:F,6,FALSE)</f>
        <v>0</v>
      </c>
      <c r="G182" s="88">
        <f t="shared" si="6"/>
        <v>958.8</v>
      </c>
      <c r="H182" s="89">
        <f t="shared" si="8"/>
        <v>339.12787894272765</v>
      </c>
      <c r="I182" s="90" t="s">
        <v>427</v>
      </c>
      <c r="J182" s="17"/>
    </row>
    <row r="183" spans="1:11" customFormat="1" x14ac:dyDescent="0.2">
      <c r="A183" s="3" t="s">
        <v>405</v>
      </c>
      <c r="B183" s="14" t="s">
        <v>387</v>
      </c>
      <c r="C183" s="15"/>
      <c r="D183" s="14" t="s">
        <v>406</v>
      </c>
      <c r="E183" s="86">
        <f>VLOOKUP(A183,'PSFA Runs'!A:E,5,FALSE)</f>
        <v>178</v>
      </c>
      <c r="F183" s="87">
        <f>VLOOKUP(A183,'PSFA Runs'!A:F,6,FALSE)</f>
        <v>0</v>
      </c>
      <c r="G183" s="88">
        <f t="shared" si="6"/>
        <v>178</v>
      </c>
      <c r="H183" s="89">
        <f t="shared" si="8"/>
        <v>62.958659211311556</v>
      </c>
      <c r="I183" s="90" t="s">
        <v>427</v>
      </c>
      <c r="J183" s="17"/>
    </row>
    <row r="184" spans="1:11" customFormat="1" x14ac:dyDescent="0.2">
      <c r="A184" s="3" t="s">
        <v>407</v>
      </c>
      <c r="B184" s="14" t="s">
        <v>387</v>
      </c>
      <c r="C184" s="15"/>
      <c r="D184" s="14" t="s">
        <v>408</v>
      </c>
      <c r="E184" s="86">
        <f>VLOOKUP(A184,'PSFA Runs'!A:E,5,FALSE)</f>
        <v>215.7</v>
      </c>
      <c r="F184" s="87">
        <f>VLOOKUP(A184,'PSFA Runs'!A:F,6,FALSE)</f>
        <v>0</v>
      </c>
      <c r="G184" s="88">
        <f t="shared" si="6"/>
        <v>215.7</v>
      </c>
      <c r="H184" s="89">
        <f t="shared" si="8"/>
        <v>76.293161752134282</v>
      </c>
      <c r="I184" s="90" t="s">
        <v>427</v>
      </c>
      <c r="J184" s="17"/>
    </row>
    <row r="185" spans="1:11" customFormat="1" x14ac:dyDescent="0.2">
      <c r="A185" s="3" t="s">
        <v>409</v>
      </c>
      <c r="B185" s="14" t="s">
        <v>387</v>
      </c>
      <c r="C185" s="15"/>
      <c r="D185" s="14" t="s">
        <v>410</v>
      </c>
      <c r="E185" s="86">
        <f>VLOOKUP(A185,'PSFA Runs'!A:E,5,FALSE)</f>
        <v>74.7</v>
      </c>
      <c r="F185" s="87">
        <f>VLOOKUP(A185,'PSFA Runs'!A:F,6,FALSE)</f>
        <v>0</v>
      </c>
      <c r="G185" s="88">
        <f t="shared" si="6"/>
        <v>74.7</v>
      </c>
      <c r="H185" s="89">
        <f t="shared" si="8"/>
        <v>26.421414848791986</v>
      </c>
      <c r="I185" s="90" t="s">
        <v>427</v>
      </c>
      <c r="J185" s="17"/>
    </row>
    <row r="186" spans="1:11" customFormat="1" x14ac:dyDescent="0.2">
      <c r="A186" s="19" t="s">
        <v>411</v>
      </c>
      <c r="B186" s="14" t="s">
        <v>412</v>
      </c>
      <c r="C186" s="15"/>
      <c r="D186" s="14" t="s">
        <v>413</v>
      </c>
      <c r="E186" s="86">
        <f>VLOOKUP(A186,'PSFA Runs'!A:E,5,FALSE)</f>
        <v>872.6</v>
      </c>
      <c r="F186" s="87">
        <f>VLOOKUP(A186,'PSFA Runs'!A:F,6,FALSE)</f>
        <v>0</v>
      </c>
      <c r="G186" s="88">
        <f t="shared" si="6"/>
        <v>872.6</v>
      </c>
      <c r="H186" s="89">
        <f t="shared" si="8"/>
        <v>308.63891026848574</v>
      </c>
      <c r="I186" s="90" t="s">
        <v>435</v>
      </c>
      <c r="J186" s="17"/>
      <c r="K186" s="17"/>
    </row>
    <row r="187" spans="1:11" customFormat="1" x14ac:dyDescent="0.2">
      <c r="A187" s="19" t="s">
        <v>414</v>
      </c>
      <c r="B187" s="14" t="s">
        <v>412</v>
      </c>
      <c r="C187" s="15"/>
      <c r="D187" s="14" t="s">
        <v>415</v>
      </c>
      <c r="E187" s="86">
        <f>VLOOKUP(A187,'PSFA Runs'!A:E,5,FALSE)</f>
        <v>748.7</v>
      </c>
      <c r="F187" s="87">
        <f>VLOOKUP(A187,'PSFA Runs'!A:F,6,FALSE)</f>
        <v>0</v>
      </c>
      <c r="G187" s="88">
        <f t="shared" si="6"/>
        <v>748.7</v>
      </c>
      <c r="H187" s="89">
        <f t="shared" si="8"/>
        <v>264.81543905342119</v>
      </c>
      <c r="I187" s="90" t="s">
        <v>435</v>
      </c>
      <c r="J187" s="17"/>
      <c r="K187" s="17"/>
    </row>
    <row r="188" spans="1:11" customFormat="1" x14ac:dyDescent="0.2">
      <c r="A188" s="19" t="s">
        <v>416</v>
      </c>
      <c r="B188" s="14" t="s">
        <v>412</v>
      </c>
      <c r="C188" s="15"/>
      <c r="D188" s="14" t="s">
        <v>417</v>
      </c>
      <c r="E188" s="86">
        <f>VLOOKUP(A188,'PSFA Runs'!A:E,5,FALSE)</f>
        <v>199.4</v>
      </c>
      <c r="F188" s="87">
        <f>VLOOKUP(A188,'PSFA Runs'!A:F,6,FALSE)</f>
        <v>0</v>
      </c>
      <c r="G188" s="88">
        <f t="shared" si="6"/>
        <v>199.4</v>
      </c>
      <c r="H188" s="89">
        <f t="shared" si="8"/>
        <v>70.527846329974849</v>
      </c>
      <c r="I188" s="90" t="s">
        <v>429</v>
      </c>
      <c r="J188" s="17"/>
    </row>
    <row r="189" spans="1:11" customFormat="1" x14ac:dyDescent="0.2">
      <c r="A189" s="19" t="s">
        <v>418</v>
      </c>
      <c r="B189" s="14" t="s">
        <v>412</v>
      </c>
      <c r="C189" s="15"/>
      <c r="D189" s="14" t="s">
        <v>419</v>
      </c>
      <c r="E189" s="86">
        <f>VLOOKUP(A189,'PSFA Runs'!A:E,5,FALSE)</f>
        <v>61.1</v>
      </c>
      <c r="F189" s="87">
        <f>VLOOKUP(A189,'PSFA Runs'!A:F,6,FALSE)</f>
        <v>0</v>
      </c>
      <c r="G189" s="88">
        <f>SUM(E189:F189)</f>
        <v>61.1</v>
      </c>
      <c r="H189" s="89">
        <f t="shared" si="8"/>
        <v>21.611090324781664</v>
      </c>
      <c r="I189" s="90" t="s">
        <v>429</v>
      </c>
      <c r="J189" s="17"/>
    </row>
    <row r="190" spans="1:11" customFormat="1" x14ac:dyDescent="0.2">
      <c r="A190" s="20" t="s">
        <v>454</v>
      </c>
      <c r="B190" s="14"/>
      <c r="C190" s="15"/>
      <c r="D190" s="18" t="s">
        <v>451</v>
      </c>
      <c r="E190" s="93"/>
      <c r="F190" s="76"/>
      <c r="G190" s="94"/>
      <c r="H190" s="89">
        <f>$D$11*(F191/$G$191)</f>
        <v>5990.2688337234413</v>
      </c>
      <c r="I190" s="90" t="s">
        <v>437</v>
      </c>
      <c r="J190" s="17"/>
    </row>
    <row r="191" spans="1:11" customFormat="1" x14ac:dyDescent="0.2">
      <c r="A191" s="29"/>
      <c r="B191" s="29"/>
      <c r="C191" s="29"/>
      <c r="D191" s="30" t="s">
        <v>447</v>
      </c>
      <c r="E191" s="95">
        <f>SUM(E16:E190)</f>
        <v>867993.89999999979</v>
      </c>
      <c r="F191" s="95">
        <f>SUM(F16:F189)</f>
        <v>16936</v>
      </c>
      <c r="G191" s="95">
        <f>SUM(G16:G189)</f>
        <v>884929.89999999979</v>
      </c>
      <c r="H191" s="96">
        <f>SUM(H16:H190)</f>
        <v>312999.99999999983</v>
      </c>
      <c r="I191" s="76"/>
    </row>
    <row r="192" spans="1:11" customFormat="1" x14ac:dyDescent="0.2">
      <c r="A192" s="16"/>
      <c r="B192" s="16"/>
      <c r="C192" s="16"/>
      <c r="D192" s="16"/>
      <c r="E192" s="76"/>
      <c r="F192" s="76"/>
      <c r="G192" s="77"/>
      <c r="H192" s="76"/>
      <c r="I192" s="76"/>
    </row>
    <row r="193" spans="1:10" customFormat="1" x14ac:dyDescent="0.2">
      <c r="A193" s="16"/>
      <c r="B193" s="16"/>
      <c r="C193" s="16"/>
      <c r="D193" s="16"/>
      <c r="E193" s="76"/>
      <c r="F193" s="76"/>
      <c r="G193" s="77"/>
      <c r="H193" s="76"/>
      <c r="I193" s="76"/>
    </row>
    <row r="194" spans="1:10" customFormat="1" x14ac:dyDescent="0.2">
      <c r="A194" s="16"/>
      <c r="B194" s="38"/>
      <c r="C194" s="16"/>
      <c r="D194" s="16"/>
      <c r="E194" s="76"/>
      <c r="F194" s="76"/>
      <c r="G194" s="77"/>
      <c r="H194" s="76"/>
      <c r="I194" s="76"/>
    </row>
    <row r="195" spans="1:10" customFormat="1" x14ac:dyDescent="0.2">
      <c r="A195" s="3"/>
      <c r="B195" s="38" t="s">
        <v>462</v>
      </c>
      <c r="C195" s="15"/>
      <c r="D195" s="14"/>
      <c r="E195" s="86"/>
      <c r="F195" s="87"/>
      <c r="G195" s="88"/>
      <c r="H195" s="89"/>
      <c r="I195" s="90"/>
      <c r="J195" s="17"/>
    </row>
    <row r="196" spans="1:10" customFormat="1" x14ac:dyDescent="0.2">
      <c r="A196" s="3" t="s">
        <v>25</v>
      </c>
      <c r="B196" s="14" t="s">
        <v>23</v>
      </c>
      <c r="C196" s="15"/>
      <c r="D196" s="14" t="s">
        <v>26</v>
      </c>
      <c r="E196" s="86">
        <f>VLOOKUP(A196,'PSFA Runs'!A:E,5,FALSE)</f>
        <v>1318</v>
      </c>
      <c r="F196" s="87">
        <f>VLOOKUP(A196,'PSFA Runs'!A:F,6,FALSE)</f>
        <v>0</v>
      </c>
      <c r="G196" s="88">
        <f>E196+F196</f>
        <v>1318</v>
      </c>
      <c r="H196" s="89"/>
      <c r="I196" s="90"/>
      <c r="J196" s="17"/>
    </row>
    <row r="197" spans="1:10" customFormat="1" x14ac:dyDescent="0.2">
      <c r="A197" s="3" t="s">
        <v>107</v>
      </c>
      <c r="B197" s="14" t="s">
        <v>108</v>
      </c>
      <c r="C197" s="15"/>
      <c r="D197" s="14" t="s">
        <v>109</v>
      </c>
      <c r="E197" s="86">
        <f>VLOOKUP(A197,'PSFA Runs'!A:E,5,FALSE)</f>
        <v>2296.1999999999998</v>
      </c>
      <c r="F197" s="87">
        <f>VLOOKUP(A197,'PSFA Runs'!A:F,6,FALSE)</f>
        <v>0</v>
      </c>
      <c r="G197" s="88">
        <f>E197+F197</f>
        <v>2296.1999999999998</v>
      </c>
      <c r="H197" s="89"/>
      <c r="I197" s="90"/>
      <c r="J197" s="17"/>
    </row>
    <row r="198" spans="1:10" customFormat="1" x14ac:dyDescent="0.2">
      <c r="A198" s="3" t="s">
        <v>206</v>
      </c>
      <c r="B198" s="14" t="s">
        <v>207</v>
      </c>
      <c r="C198" s="15"/>
      <c r="D198" s="14" t="s">
        <v>208</v>
      </c>
      <c r="E198" s="86">
        <f>VLOOKUP(A198,'PSFA Runs'!A:E,5,FALSE)</f>
        <v>5436.2</v>
      </c>
      <c r="F198" s="87">
        <f>VLOOKUP(A198,'PSFA Runs'!A:F,6,FALSE)</f>
        <v>441</v>
      </c>
      <c r="G198" s="88">
        <f>SUM(E198:F198)</f>
        <v>5877.2</v>
      </c>
      <c r="H198" s="89"/>
      <c r="I198" s="90"/>
      <c r="J198" s="17"/>
    </row>
    <row r="199" spans="1:10" customFormat="1" x14ac:dyDescent="0.2">
      <c r="A199" s="3" t="s">
        <v>311</v>
      </c>
      <c r="B199" s="14" t="s">
        <v>312</v>
      </c>
      <c r="C199" s="15"/>
      <c r="D199" s="14" t="s">
        <v>313</v>
      </c>
      <c r="E199" s="86">
        <f>VLOOKUP(A199,'PSFA Runs'!A:E,5,FALSE)</f>
        <v>1672.5</v>
      </c>
      <c r="F199" s="87">
        <f>VLOOKUP(A199,'PSFA Runs'!A:F,6,FALSE)</f>
        <v>0</v>
      </c>
      <c r="G199" s="88">
        <f>SUM(E199:F199)</f>
        <v>1672.5</v>
      </c>
      <c r="H199" s="89"/>
      <c r="I199" s="90"/>
      <c r="J199" s="17"/>
    </row>
    <row r="200" spans="1:10" x14ac:dyDescent="0.2">
      <c r="H200" s="98"/>
    </row>
    <row r="201" spans="1:10" x14ac:dyDescent="0.2">
      <c r="G201" s="99"/>
    </row>
  </sheetData>
  <autoFilter ref="A14:I207"/>
  <sortState ref="A194:R199">
    <sortCondition ref="A194"/>
  </sortState>
  <mergeCells count="8">
    <mergeCell ref="A12:B12"/>
    <mergeCell ref="A11:B11"/>
    <mergeCell ref="A4:B4"/>
    <mergeCell ref="A6:B6"/>
    <mergeCell ref="A7:B7"/>
    <mergeCell ref="A9:B9"/>
    <mergeCell ref="A10:B10"/>
    <mergeCell ref="A5:B5"/>
  </mergeCells>
  <phoneticPr fontId="0" type="noConversion"/>
  <hyperlinks>
    <hyperlink ref="L2" r:id="rId1" tooltip="Clicking this link retrieves the full text document in another window" display="http://www.lexisnexis.com/hottopics/colorado?app=00075&amp;view=full&amp;interface=1&amp;docinfo=off&amp;searchtype=get&amp;search=C.R.S.+22-5-122"/>
    <hyperlink ref="O2" r:id="rId2"/>
    <hyperlink ref="R2" r:id="rId3" display="http://leg.colorado.gov/sites/default/files/fy2020-21_edufig.pdf"/>
  </hyperlinks>
  <printOptions horizontalCentered="1" gridLines="1" gridLinesSet="0"/>
  <pageMargins left="0" right="0" top="0.63" bottom="1" header="0.17" footer="0.18"/>
  <pageSetup scale="74" fitToHeight="3" orientation="portrait" r:id="rId4"/>
  <headerFooter alignWithMargins="0">
    <oddHeader>&amp;C&amp;"Arial,Bold"DRAFT
FY 2019-20 BOCES ALLOCATIONS
PER HB12-1345</oddHeader>
    <oddFooter>&amp;L&amp;G&amp;CPage &amp;P&amp;RSchool Finance and Operations
February 2019</oddFooter>
  </headerFooter>
  <legacyDrawing r:id="rId5"/>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2"/>
  <sheetViews>
    <sheetView workbookViewId="0">
      <pane xSplit="4" ySplit="1" topLeftCell="E134" activePane="bottomRight" state="frozen"/>
      <selection activeCell="F3" sqref="F3"/>
      <selection pane="topRight" activeCell="F3" sqref="F3"/>
      <selection pane="bottomLeft" activeCell="F3" sqref="F3"/>
      <selection pane="bottomRight" activeCell="G3" sqref="G3"/>
    </sheetView>
  </sheetViews>
  <sheetFormatPr defaultColWidth="9.140625" defaultRowHeight="12.75" x14ac:dyDescent="0.2"/>
  <cols>
    <col min="1" max="1" width="5" style="56" bestFit="1" customWidth="1"/>
    <col min="2" max="2" width="11.85546875" style="56" bestFit="1" customWidth="1"/>
    <col min="3" max="3" width="11.85546875" style="56" customWidth="1"/>
    <col min="4" max="4" width="31.28515625" style="56" bestFit="1" customWidth="1"/>
    <col min="5" max="5" width="23.140625" style="62" customWidth="1"/>
    <col min="6" max="6" width="18" style="62" bestFit="1" customWidth="1"/>
    <col min="7" max="7" width="16.7109375" style="56" bestFit="1" customWidth="1"/>
    <col min="8" max="10" width="12.5703125" style="56" bestFit="1" customWidth="1"/>
    <col min="11" max="12" width="12.5703125" style="56" customWidth="1"/>
    <col min="13" max="13" width="14.7109375" style="56" bestFit="1" customWidth="1"/>
    <col min="14" max="14" width="12.5703125" style="56" bestFit="1" customWidth="1"/>
    <col min="15" max="15" width="19.5703125" style="56" bestFit="1" customWidth="1"/>
    <col min="16" max="16" width="13.42578125" style="56" bestFit="1" customWidth="1"/>
    <col min="17" max="17" width="12.5703125" style="56" bestFit="1" customWidth="1"/>
    <col min="18" max="18" width="15.85546875" style="56" bestFit="1" customWidth="1"/>
    <col min="19" max="25" width="12.5703125" style="56" bestFit="1" customWidth="1"/>
    <col min="26" max="26" width="13.28515625" style="56" bestFit="1" customWidth="1"/>
    <col min="27" max="27" width="12.5703125" style="56" bestFit="1" customWidth="1"/>
    <col min="28" max="28" width="12" style="56" bestFit="1" customWidth="1"/>
    <col min="29" max="32" width="12.5703125" style="56" bestFit="1" customWidth="1"/>
    <col min="33" max="33" width="13.42578125" style="56" bestFit="1" customWidth="1"/>
    <col min="34" max="34" width="12.5703125" style="56" bestFit="1" customWidth="1"/>
    <col min="35" max="35" width="12.140625" style="56" bestFit="1" customWidth="1"/>
    <col min="36" max="36" width="12.5703125" style="56" bestFit="1" customWidth="1"/>
    <col min="37" max="37" width="14.28515625" style="56" bestFit="1" customWidth="1"/>
    <col min="38" max="38" width="16.85546875" style="56" bestFit="1" customWidth="1"/>
    <col min="39" max="39" width="12.5703125" style="56" bestFit="1" customWidth="1"/>
    <col min="40" max="40" width="16.85546875" style="56" bestFit="1" customWidth="1"/>
    <col min="41" max="41" width="12.5703125" style="56" bestFit="1" customWidth="1"/>
    <col min="42" max="42" width="16.42578125" style="56" bestFit="1" customWidth="1"/>
    <col min="43" max="43" width="12.5703125" style="56" bestFit="1" customWidth="1"/>
    <col min="44" max="44" width="12.7109375" style="56" bestFit="1" customWidth="1"/>
    <col min="45" max="45" width="12" style="56" bestFit="1" customWidth="1"/>
    <col min="46" max="46" width="12.5703125" style="56" bestFit="1" customWidth="1"/>
    <col min="47" max="47" width="12" style="56" bestFit="1" customWidth="1"/>
    <col min="48" max="56" width="12.5703125" style="56" bestFit="1" customWidth="1"/>
    <col min="57" max="57" width="12" style="56" bestFit="1" customWidth="1"/>
    <col min="58" max="58" width="12.5703125" style="56" bestFit="1" customWidth="1"/>
    <col min="59" max="59" width="20.5703125" style="56" bestFit="1" customWidth="1"/>
    <col min="60" max="60" width="21.85546875" style="56" bestFit="1" customWidth="1"/>
    <col min="61" max="61" width="18.42578125" style="56" bestFit="1" customWidth="1"/>
    <col min="62" max="65" width="12.5703125" style="56" bestFit="1" customWidth="1"/>
    <col min="66" max="66" width="15.28515625" style="56" bestFit="1" customWidth="1"/>
    <col min="67" max="68" width="12.5703125" style="56" bestFit="1" customWidth="1"/>
    <col min="69" max="69" width="13.5703125" style="56" bestFit="1" customWidth="1"/>
    <col min="70" max="72" width="12.5703125" style="56" bestFit="1" customWidth="1"/>
    <col min="73" max="73" width="15.28515625" style="56" bestFit="1" customWidth="1"/>
    <col min="74" max="76" width="12.5703125" style="56" bestFit="1" customWidth="1"/>
    <col min="77" max="77" width="13.7109375" style="56" bestFit="1" customWidth="1"/>
    <col min="78" max="78" width="13.140625" style="56" bestFit="1" customWidth="1"/>
    <col min="79" max="82" width="12.5703125" style="56" bestFit="1" customWidth="1"/>
    <col min="83" max="83" width="13.140625" style="56" bestFit="1" customWidth="1"/>
    <col min="84" max="85" width="12.5703125" style="56" bestFit="1" customWidth="1"/>
    <col min="86" max="86" width="12" style="56" bestFit="1" customWidth="1"/>
    <col min="87" max="87" width="17" style="56" bestFit="1" customWidth="1"/>
    <col min="88" max="90" width="12.5703125" style="56" bestFit="1" customWidth="1"/>
    <col min="91" max="91" width="12.7109375" style="56" bestFit="1" customWidth="1"/>
    <col min="92" max="97" width="12.5703125" style="56" bestFit="1" customWidth="1"/>
    <col min="98" max="98" width="12.85546875" style="56" bestFit="1" customWidth="1"/>
    <col min="99" max="100" width="12.5703125" style="56" bestFit="1" customWidth="1"/>
    <col min="101" max="101" width="12.28515625" style="56" bestFit="1" customWidth="1"/>
    <col min="102" max="104" width="12.5703125" style="56" bestFit="1" customWidth="1"/>
    <col min="105" max="105" width="13.85546875" style="56" bestFit="1" customWidth="1"/>
    <col min="106" max="108" width="12.5703125" style="56" bestFit="1" customWidth="1"/>
    <col min="109" max="109" width="12.7109375" style="56" bestFit="1" customWidth="1"/>
    <col min="110" max="112" width="12.5703125" style="56" bestFit="1" customWidth="1"/>
    <col min="113" max="113" width="17.42578125" style="56" bestFit="1" customWidth="1"/>
    <col min="114" max="114" width="14.28515625" style="56" bestFit="1" customWidth="1"/>
    <col min="115" max="116" width="12.5703125" style="56" bestFit="1" customWidth="1"/>
    <col min="117" max="119" width="12.7109375" style="56" bestFit="1" customWidth="1"/>
    <col min="120" max="125" width="12.5703125" style="56" bestFit="1" customWidth="1"/>
    <col min="126" max="126" width="12.85546875" style="56" bestFit="1" customWidth="1"/>
    <col min="127" max="127" width="13.42578125" style="56" bestFit="1" customWidth="1"/>
    <col min="128" max="131" width="12.5703125" style="56" bestFit="1" customWidth="1"/>
    <col min="132" max="132" width="12" style="56" bestFit="1" customWidth="1"/>
    <col min="133" max="133" width="12.5703125" style="56" bestFit="1" customWidth="1"/>
    <col min="134" max="134" width="16.42578125" style="56" bestFit="1" customWidth="1"/>
    <col min="135" max="138" width="12.5703125" style="56" bestFit="1" customWidth="1"/>
    <col min="139" max="139" width="12" style="56" bestFit="1" customWidth="1"/>
    <col min="140" max="142" width="12.5703125" style="56" bestFit="1" customWidth="1"/>
    <col min="143" max="143" width="13.28515625" style="56" bestFit="1" customWidth="1"/>
    <col min="144" max="144" width="15.42578125" style="56" bestFit="1" customWidth="1"/>
    <col min="145" max="145" width="12.28515625" style="56" bestFit="1" customWidth="1"/>
    <col min="146" max="147" width="12.5703125" style="56" bestFit="1" customWidth="1"/>
    <col min="148" max="148" width="13.5703125" style="56" bestFit="1" customWidth="1"/>
    <col min="149" max="150" width="12.5703125" style="56" bestFit="1" customWidth="1"/>
    <col min="151" max="151" width="21.7109375" style="56" bestFit="1" customWidth="1"/>
    <col min="152" max="152" width="14" style="56" bestFit="1" customWidth="1"/>
    <col min="153" max="153" width="18.5703125" style="56" bestFit="1" customWidth="1"/>
    <col min="154" max="156" width="12.5703125" style="56" bestFit="1" customWidth="1"/>
    <col min="157" max="157" width="12.42578125" style="56" bestFit="1" customWidth="1"/>
    <col min="158" max="159" width="12.5703125" style="56" bestFit="1" customWidth="1"/>
    <col min="160" max="160" width="15.7109375" style="56" bestFit="1" customWidth="1"/>
    <col min="161" max="161" width="12.5703125" style="56" bestFit="1" customWidth="1"/>
    <col min="162" max="162" width="16" style="56" bestFit="1" customWidth="1"/>
    <col min="163" max="163" width="17.85546875" style="56" bestFit="1" customWidth="1"/>
    <col min="164" max="168" width="13.7109375" style="56" bestFit="1" customWidth="1"/>
    <col min="169" max="170" width="12.5703125" style="56" bestFit="1" customWidth="1"/>
    <col min="171" max="171" width="14.140625" style="56" bestFit="1" customWidth="1"/>
    <col min="172" max="172" width="12.5703125" style="56" bestFit="1" customWidth="1"/>
    <col min="173" max="173" width="12.7109375" style="56" bestFit="1" customWidth="1"/>
    <col min="174" max="174" width="12.5703125" style="56" bestFit="1" customWidth="1"/>
    <col min="175" max="175" width="15.7109375" style="56" bestFit="1" customWidth="1"/>
    <col min="176" max="176" width="12.5703125" style="56" bestFit="1" customWidth="1"/>
    <col min="177" max="177" width="15.5703125" style="56" bestFit="1" customWidth="1"/>
    <col min="178" max="178" width="13.140625" style="56" bestFit="1" customWidth="1"/>
    <col min="179" max="179" width="12.5703125" style="56" bestFit="1" customWidth="1"/>
    <col min="180" max="180" width="12" style="56" bestFit="1" customWidth="1"/>
    <col min="181" max="184" width="12.5703125" style="56" bestFit="1" customWidth="1"/>
    <col min="185" max="185" width="20.7109375" style="56" bestFit="1" customWidth="1"/>
    <col min="186" max="186" width="12.42578125" style="56" bestFit="1" customWidth="1"/>
    <col min="187" max="187" width="24.140625" style="56" bestFit="1" customWidth="1"/>
    <col min="188" max="188" width="12.5703125" style="56" bestFit="1" customWidth="1"/>
    <col min="189" max="189" width="11" style="56" bestFit="1" customWidth="1"/>
    <col min="190" max="191" width="11.5703125" style="56" bestFit="1" customWidth="1"/>
    <col min="192" max="192" width="9.140625" style="56"/>
    <col min="193" max="193" width="1.5703125" style="56" bestFit="1" customWidth="1"/>
    <col min="194" max="16384" width="9.140625" style="56"/>
  </cols>
  <sheetData>
    <row r="1" spans="1:7" x14ac:dyDescent="0.2">
      <c r="B1" s="129" t="s">
        <v>526</v>
      </c>
      <c r="C1" s="129"/>
      <c r="D1" s="129"/>
      <c r="E1" s="73" t="s">
        <v>469</v>
      </c>
      <c r="F1" s="73" t="s">
        <v>470</v>
      </c>
      <c r="G1" s="56" t="s">
        <v>527</v>
      </c>
    </row>
    <row r="2" spans="1:7" ht="25.5" x14ac:dyDescent="0.2">
      <c r="B2" s="57"/>
      <c r="C2" s="57"/>
      <c r="D2" s="58"/>
      <c r="E2" s="74" t="s">
        <v>609</v>
      </c>
      <c r="F2" s="74" t="s">
        <v>610</v>
      </c>
    </row>
    <row r="3" spans="1:7" x14ac:dyDescent="0.2">
      <c r="A3" s="56" t="s">
        <v>3</v>
      </c>
      <c r="B3" s="59" t="s">
        <v>4</v>
      </c>
      <c r="C3" s="59"/>
      <c r="D3" s="59" t="s">
        <v>5</v>
      </c>
      <c r="E3" s="73">
        <v>8953.5</v>
      </c>
      <c r="F3" s="73">
        <v>0</v>
      </c>
      <c r="G3" s="60">
        <f>E3+F3</f>
        <v>8953.5</v>
      </c>
    </row>
    <row r="4" spans="1:7" x14ac:dyDescent="0.2">
      <c r="A4" s="56" t="s">
        <v>6</v>
      </c>
      <c r="B4" s="59" t="s">
        <v>4</v>
      </c>
      <c r="C4" s="59"/>
      <c r="D4" s="59" t="s">
        <v>528</v>
      </c>
      <c r="E4" s="73">
        <v>37592.800000000003</v>
      </c>
      <c r="F4" s="73">
        <v>4349.5</v>
      </c>
      <c r="G4" s="60">
        <f t="shared" ref="G4:G67" si="0">E4+F4</f>
        <v>41942.300000000003</v>
      </c>
    </row>
    <row r="5" spans="1:7" x14ac:dyDescent="0.2">
      <c r="A5" s="56" t="s">
        <v>7</v>
      </c>
      <c r="B5" s="61" t="s">
        <v>4</v>
      </c>
      <c r="C5" s="61"/>
      <c r="D5" s="61" t="s">
        <v>529</v>
      </c>
      <c r="E5" s="73">
        <v>6676.3</v>
      </c>
      <c r="F5" s="73">
        <v>640</v>
      </c>
      <c r="G5" s="60">
        <f t="shared" si="0"/>
        <v>7316.3</v>
      </c>
    </row>
    <row r="6" spans="1:7" x14ac:dyDescent="0.2">
      <c r="A6" s="56" t="s">
        <v>9</v>
      </c>
      <c r="B6" s="59" t="s">
        <v>4</v>
      </c>
      <c r="C6" s="59"/>
      <c r="D6" s="59" t="s">
        <v>530</v>
      </c>
      <c r="E6" s="73">
        <v>19392.400000000001</v>
      </c>
      <c r="F6" s="73">
        <v>586</v>
      </c>
      <c r="G6" s="60">
        <f t="shared" si="0"/>
        <v>19978.400000000001</v>
      </c>
    </row>
    <row r="7" spans="1:7" x14ac:dyDescent="0.2">
      <c r="A7" s="56" t="s">
        <v>11</v>
      </c>
      <c r="B7" s="59" t="s">
        <v>4</v>
      </c>
      <c r="C7" s="59"/>
      <c r="D7" s="59" t="s">
        <v>12</v>
      </c>
      <c r="E7" s="73">
        <v>1098</v>
      </c>
      <c r="F7" s="73">
        <v>0</v>
      </c>
      <c r="G7" s="60">
        <f t="shared" si="0"/>
        <v>1098</v>
      </c>
    </row>
    <row r="8" spans="1:7" x14ac:dyDescent="0.2">
      <c r="A8" s="56" t="s">
        <v>13</v>
      </c>
      <c r="B8" s="59" t="s">
        <v>4</v>
      </c>
      <c r="C8" s="59"/>
      <c r="D8" s="59" t="s">
        <v>14</v>
      </c>
      <c r="E8" s="73">
        <v>1045.4000000000001</v>
      </c>
      <c r="F8" s="73">
        <v>0</v>
      </c>
      <c r="G8" s="60">
        <f t="shared" si="0"/>
        <v>1045.4000000000001</v>
      </c>
    </row>
    <row r="9" spans="1:7" x14ac:dyDescent="0.2">
      <c r="A9" s="56" t="s">
        <v>15</v>
      </c>
      <c r="B9" s="59" t="s">
        <v>4</v>
      </c>
      <c r="C9" s="59"/>
      <c r="D9" s="59" t="s">
        <v>16</v>
      </c>
      <c r="E9" s="73">
        <v>9066.2999999999993</v>
      </c>
      <c r="F9" s="73">
        <v>980</v>
      </c>
      <c r="G9" s="60">
        <f t="shared" si="0"/>
        <v>10046.299999999999</v>
      </c>
    </row>
    <row r="10" spans="1:7" x14ac:dyDescent="0.2">
      <c r="A10" s="56" t="s">
        <v>17</v>
      </c>
      <c r="B10" s="59" t="s">
        <v>18</v>
      </c>
      <c r="C10" s="59"/>
      <c r="D10" s="61" t="s">
        <v>531</v>
      </c>
      <c r="E10" s="75">
        <v>2464.5</v>
      </c>
      <c r="F10" s="75">
        <v>0</v>
      </c>
      <c r="G10" s="60">
        <f t="shared" si="0"/>
        <v>2464.5</v>
      </c>
    </row>
    <row r="11" spans="1:7" x14ac:dyDescent="0.2">
      <c r="A11" s="56" t="s">
        <v>20</v>
      </c>
      <c r="B11" s="61" t="s">
        <v>18</v>
      </c>
      <c r="C11" s="61"/>
      <c r="D11" s="61" t="s">
        <v>532</v>
      </c>
      <c r="E11" s="75">
        <v>284.7</v>
      </c>
      <c r="F11" s="75">
        <v>0</v>
      </c>
      <c r="G11" s="60">
        <f t="shared" si="0"/>
        <v>284.7</v>
      </c>
    </row>
    <row r="12" spans="1:7" x14ac:dyDescent="0.2">
      <c r="A12" s="56" t="s">
        <v>22</v>
      </c>
      <c r="B12" s="61" t="s">
        <v>23</v>
      </c>
      <c r="C12" s="61"/>
      <c r="D12" s="59" t="s">
        <v>24</v>
      </c>
      <c r="E12" s="73">
        <v>2570.9</v>
      </c>
      <c r="F12" s="73">
        <v>0</v>
      </c>
      <c r="G12" s="60">
        <f t="shared" si="0"/>
        <v>2570.9</v>
      </c>
    </row>
    <row r="13" spans="1:7" x14ac:dyDescent="0.2">
      <c r="A13" s="56" t="s">
        <v>25</v>
      </c>
      <c r="B13" s="59" t="s">
        <v>23</v>
      </c>
      <c r="C13" s="59"/>
      <c r="D13" s="61" t="s">
        <v>26</v>
      </c>
      <c r="E13" s="73">
        <v>1318</v>
      </c>
      <c r="F13" s="73">
        <v>0</v>
      </c>
      <c r="G13" s="60">
        <f t="shared" si="0"/>
        <v>1318</v>
      </c>
    </row>
    <row r="14" spans="1:7" x14ac:dyDescent="0.2">
      <c r="A14" s="56" t="s">
        <v>27</v>
      </c>
      <c r="B14" s="59" t="s">
        <v>23</v>
      </c>
      <c r="C14" s="59"/>
      <c r="D14" s="61" t="s">
        <v>28</v>
      </c>
      <c r="E14" s="73">
        <v>54877.7</v>
      </c>
      <c r="F14" s="73">
        <v>0</v>
      </c>
      <c r="G14" s="60">
        <f t="shared" si="0"/>
        <v>54877.7</v>
      </c>
    </row>
    <row r="15" spans="1:7" x14ac:dyDescent="0.2">
      <c r="A15" s="56" t="s">
        <v>29</v>
      </c>
      <c r="B15" s="61" t="s">
        <v>23</v>
      </c>
      <c r="C15" s="61"/>
      <c r="D15" s="59" t="s">
        <v>30</v>
      </c>
      <c r="E15" s="73">
        <v>14642.6</v>
      </c>
      <c r="F15" s="73">
        <v>0</v>
      </c>
      <c r="G15" s="60">
        <f t="shared" si="0"/>
        <v>14642.6</v>
      </c>
    </row>
    <row r="16" spans="1:7" x14ac:dyDescent="0.2">
      <c r="A16" s="56" t="s">
        <v>31</v>
      </c>
      <c r="B16" s="61" t="s">
        <v>23</v>
      </c>
      <c r="C16" s="61"/>
      <c r="D16" s="59" t="s">
        <v>32</v>
      </c>
      <c r="E16" s="73">
        <v>255</v>
      </c>
      <c r="F16" s="73">
        <v>0</v>
      </c>
      <c r="G16" s="60">
        <f t="shared" si="0"/>
        <v>255</v>
      </c>
    </row>
    <row r="17" spans="1:7" x14ac:dyDescent="0.2">
      <c r="A17" s="56" t="s">
        <v>33</v>
      </c>
      <c r="B17" s="59" t="s">
        <v>23</v>
      </c>
      <c r="C17" s="59"/>
      <c r="D17" s="59" t="s">
        <v>533</v>
      </c>
      <c r="E17" s="73">
        <v>39096.400000000001</v>
      </c>
      <c r="F17" s="73">
        <v>1030.5</v>
      </c>
      <c r="G17" s="60">
        <f t="shared" si="0"/>
        <v>40126.9</v>
      </c>
    </row>
    <row r="18" spans="1:7" x14ac:dyDescent="0.2">
      <c r="A18" s="56" t="s">
        <v>35</v>
      </c>
      <c r="B18" s="59" t="s">
        <v>23</v>
      </c>
      <c r="C18" s="59"/>
      <c r="D18" s="59" t="s">
        <v>36</v>
      </c>
      <c r="E18" s="73">
        <v>2138</v>
      </c>
      <c r="F18" s="73">
        <v>0</v>
      </c>
      <c r="G18" s="60">
        <f t="shared" si="0"/>
        <v>2138</v>
      </c>
    </row>
    <row r="19" spans="1:7" x14ac:dyDescent="0.2">
      <c r="A19" s="56" t="s">
        <v>37</v>
      </c>
      <c r="B19" s="59" t="s">
        <v>38</v>
      </c>
      <c r="C19" s="59"/>
      <c r="D19" s="59" t="s">
        <v>534</v>
      </c>
      <c r="E19" s="73">
        <v>1731.8</v>
      </c>
      <c r="F19" s="73">
        <v>0</v>
      </c>
      <c r="G19" s="60">
        <f t="shared" si="0"/>
        <v>1731.8</v>
      </c>
    </row>
    <row r="20" spans="1:7" x14ac:dyDescent="0.2">
      <c r="A20" s="56" t="s">
        <v>40</v>
      </c>
      <c r="B20" s="59" t="s">
        <v>41</v>
      </c>
      <c r="C20" s="59"/>
      <c r="D20" s="59" t="s">
        <v>42</v>
      </c>
      <c r="E20" s="73">
        <v>145.80000000000001</v>
      </c>
      <c r="F20" s="73">
        <v>0</v>
      </c>
      <c r="G20" s="60">
        <f t="shared" si="0"/>
        <v>145.80000000000001</v>
      </c>
    </row>
    <row r="21" spans="1:7" x14ac:dyDescent="0.2">
      <c r="A21" s="56" t="s">
        <v>43</v>
      </c>
      <c r="B21" s="61" t="s">
        <v>41</v>
      </c>
      <c r="C21" s="61"/>
      <c r="D21" s="59" t="s">
        <v>44</v>
      </c>
      <c r="E21" s="73">
        <v>56.5</v>
      </c>
      <c r="F21" s="73">
        <v>0</v>
      </c>
      <c r="G21" s="60">
        <f t="shared" si="0"/>
        <v>56.5</v>
      </c>
    </row>
    <row r="22" spans="1:7" x14ac:dyDescent="0.2">
      <c r="A22" s="56" t="s">
        <v>45</v>
      </c>
      <c r="B22" s="59" t="s">
        <v>41</v>
      </c>
      <c r="C22" s="59"/>
      <c r="D22" s="59" t="s">
        <v>46</v>
      </c>
      <c r="E22" s="73">
        <v>290.5</v>
      </c>
      <c r="F22" s="73">
        <v>0</v>
      </c>
      <c r="G22" s="60">
        <f t="shared" si="0"/>
        <v>290.5</v>
      </c>
    </row>
    <row r="23" spans="1:7" x14ac:dyDescent="0.2">
      <c r="A23" s="56" t="s">
        <v>47</v>
      </c>
      <c r="B23" s="59" t="s">
        <v>41</v>
      </c>
      <c r="C23" s="59"/>
      <c r="D23" s="59" t="s">
        <v>48</v>
      </c>
      <c r="E23" s="73">
        <v>81.5</v>
      </c>
      <c r="F23" s="73">
        <v>0</v>
      </c>
      <c r="G23" s="60">
        <f t="shared" si="0"/>
        <v>81.5</v>
      </c>
    </row>
    <row r="24" spans="1:7" x14ac:dyDescent="0.2">
      <c r="A24" s="56" t="s">
        <v>49</v>
      </c>
      <c r="B24" s="59" t="s">
        <v>41</v>
      </c>
      <c r="C24" s="59"/>
      <c r="D24" s="59" t="s">
        <v>50</v>
      </c>
      <c r="E24" s="73">
        <v>50</v>
      </c>
      <c r="F24" s="73">
        <v>0</v>
      </c>
      <c r="G24" s="60">
        <f t="shared" si="0"/>
        <v>50</v>
      </c>
    </row>
    <row r="25" spans="1:7" x14ac:dyDescent="0.2">
      <c r="A25" s="56" t="s">
        <v>51</v>
      </c>
      <c r="B25" s="59" t="s">
        <v>52</v>
      </c>
      <c r="C25" s="59"/>
      <c r="D25" s="59" t="s">
        <v>53</v>
      </c>
      <c r="E25" s="73">
        <v>2471.4</v>
      </c>
      <c r="F25" s="73">
        <v>0</v>
      </c>
      <c r="G25" s="60">
        <f t="shared" si="0"/>
        <v>2471.4</v>
      </c>
    </row>
    <row r="26" spans="1:7" x14ac:dyDescent="0.2">
      <c r="A26" s="56" t="s">
        <v>54</v>
      </c>
      <c r="B26" s="59" t="s">
        <v>52</v>
      </c>
      <c r="C26" s="59"/>
      <c r="D26" s="59" t="s">
        <v>535</v>
      </c>
      <c r="E26" s="73">
        <v>237.4</v>
      </c>
      <c r="F26" s="73">
        <v>0</v>
      </c>
      <c r="G26" s="60">
        <f t="shared" si="0"/>
        <v>237.4</v>
      </c>
    </row>
    <row r="27" spans="1:7" x14ac:dyDescent="0.2">
      <c r="A27" s="56" t="s">
        <v>56</v>
      </c>
      <c r="B27" s="59" t="s">
        <v>57</v>
      </c>
      <c r="C27" s="59"/>
      <c r="D27" s="59" t="s">
        <v>536</v>
      </c>
      <c r="E27" s="73">
        <v>31517.5</v>
      </c>
      <c r="F27" s="73">
        <v>0</v>
      </c>
      <c r="G27" s="60">
        <f t="shared" si="0"/>
        <v>31517.5</v>
      </c>
    </row>
    <row r="28" spans="1:7" x14ac:dyDescent="0.2">
      <c r="A28" s="56" t="s">
        <v>59</v>
      </c>
      <c r="B28" s="59" t="s">
        <v>57</v>
      </c>
      <c r="C28" s="59"/>
      <c r="D28" s="59" t="s">
        <v>537</v>
      </c>
      <c r="E28" s="73">
        <v>30142.7</v>
      </c>
      <c r="F28" s="73">
        <v>0</v>
      </c>
      <c r="G28" s="60">
        <f t="shared" si="0"/>
        <v>30142.7</v>
      </c>
    </row>
    <row r="29" spans="1:7" x14ac:dyDescent="0.2">
      <c r="A29" s="56" t="s">
        <v>61</v>
      </c>
      <c r="B29" s="59" t="s">
        <v>62</v>
      </c>
      <c r="C29" s="59"/>
      <c r="D29" s="59" t="s">
        <v>63</v>
      </c>
      <c r="E29" s="73">
        <v>1051.9000000000001</v>
      </c>
      <c r="F29" s="73">
        <v>0</v>
      </c>
      <c r="G29" s="60">
        <f t="shared" si="0"/>
        <v>1051.9000000000001</v>
      </c>
    </row>
    <row r="30" spans="1:7" x14ac:dyDescent="0.2">
      <c r="A30" s="56" t="s">
        <v>64</v>
      </c>
      <c r="B30" s="63" t="s">
        <v>62</v>
      </c>
      <c r="C30" s="63"/>
      <c r="D30" s="64" t="s">
        <v>538</v>
      </c>
      <c r="E30" s="73">
        <v>1299.5</v>
      </c>
      <c r="F30" s="73">
        <v>77</v>
      </c>
      <c r="G30" s="60">
        <f t="shared" si="0"/>
        <v>1376.5</v>
      </c>
    </row>
    <row r="31" spans="1:7" x14ac:dyDescent="0.2">
      <c r="A31" s="56" t="s">
        <v>66</v>
      </c>
      <c r="B31" s="59" t="s">
        <v>67</v>
      </c>
      <c r="C31" s="59"/>
      <c r="D31" s="59" t="s">
        <v>68</v>
      </c>
      <c r="E31" s="73">
        <v>102.8</v>
      </c>
      <c r="F31" s="73">
        <v>0</v>
      </c>
      <c r="G31" s="60">
        <f t="shared" si="0"/>
        <v>102.8</v>
      </c>
    </row>
    <row r="32" spans="1:7" x14ac:dyDescent="0.2">
      <c r="A32" s="56" t="s">
        <v>69</v>
      </c>
      <c r="B32" s="59" t="s">
        <v>67</v>
      </c>
      <c r="C32" s="59"/>
      <c r="D32" s="59" t="s">
        <v>539</v>
      </c>
      <c r="E32" s="73">
        <v>186.5</v>
      </c>
      <c r="F32" s="73">
        <v>0</v>
      </c>
      <c r="G32" s="60">
        <f t="shared" si="0"/>
        <v>186.5</v>
      </c>
    </row>
    <row r="33" spans="1:7" x14ac:dyDescent="0.2">
      <c r="A33" s="56" t="s">
        <v>71</v>
      </c>
      <c r="B33" s="59" t="s">
        <v>72</v>
      </c>
      <c r="C33" s="59"/>
      <c r="D33" s="59" t="s">
        <v>73</v>
      </c>
      <c r="E33" s="73">
        <v>715</v>
      </c>
      <c r="F33" s="73">
        <v>0</v>
      </c>
      <c r="G33" s="60">
        <f t="shared" si="0"/>
        <v>715</v>
      </c>
    </row>
    <row r="34" spans="1:7" x14ac:dyDescent="0.2">
      <c r="A34" s="56" t="s">
        <v>74</v>
      </c>
      <c r="B34" s="59" t="s">
        <v>75</v>
      </c>
      <c r="C34" s="59"/>
      <c r="D34" s="59" t="s">
        <v>76</v>
      </c>
      <c r="E34" s="73">
        <v>1106</v>
      </c>
      <c r="F34" s="73">
        <v>0</v>
      </c>
      <c r="G34" s="60">
        <f t="shared" si="0"/>
        <v>1106</v>
      </c>
    </row>
    <row r="35" spans="1:7" x14ac:dyDescent="0.2">
      <c r="A35" s="56" t="s">
        <v>77</v>
      </c>
      <c r="B35" s="59" t="s">
        <v>75</v>
      </c>
      <c r="C35" s="59"/>
      <c r="D35" s="59" t="s">
        <v>78</v>
      </c>
      <c r="E35" s="73">
        <v>355.2</v>
      </c>
      <c r="F35" s="73">
        <v>0</v>
      </c>
      <c r="G35" s="60">
        <f t="shared" si="0"/>
        <v>355.2</v>
      </c>
    </row>
    <row r="36" spans="1:7" x14ac:dyDescent="0.2">
      <c r="A36" s="56" t="s">
        <v>79</v>
      </c>
      <c r="B36" s="59" t="s">
        <v>75</v>
      </c>
      <c r="C36" s="59"/>
      <c r="D36" s="65" t="s">
        <v>80</v>
      </c>
      <c r="E36" s="73">
        <v>172</v>
      </c>
      <c r="F36" s="73">
        <v>0</v>
      </c>
      <c r="G36" s="60">
        <f t="shared" si="0"/>
        <v>172</v>
      </c>
    </row>
    <row r="37" spans="1:7" x14ac:dyDescent="0.2">
      <c r="A37" s="56" t="s">
        <v>81</v>
      </c>
      <c r="B37" s="59" t="s">
        <v>82</v>
      </c>
      <c r="C37" s="59"/>
      <c r="D37" s="59" t="s">
        <v>83</v>
      </c>
      <c r="E37" s="73">
        <v>220.5</v>
      </c>
      <c r="F37" s="73">
        <v>0</v>
      </c>
      <c r="G37" s="60">
        <f t="shared" si="0"/>
        <v>220.5</v>
      </c>
    </row>
    <row r="38" spans="1:7" x14ac:dyDescent="0.2">
      <c r="A38" s="56" t="s">
        <v>84</v>
      </c>
      <c r="B38" s="59" t="s">
        <v>82</v>
      </c>
      <c r="C38" s="59"/>
      <c r="D38" s="64" t="s">
        <v>85</v>
      </c>
      <c r="E38" s="73">
        <v>272.39999999999998</v>
      </c>
      <c r="F38" s="73">
        <v>0</v>
      </c>
      <c r="G38" s="60">
        <f t="shared" si="0"/>
        <v>272.39999999999998</v>
      </c>
    </row>
    <row r="39" spans="1:7" x14ac:dyDescent="0.2">
      <c r="A39" s="56" t="s">
        <v>86</v>
      </c>
      <c r="B39" s="66" t="s">
        <v>87</v>
      </c>
      <c r="C39" s="66"/>
      <c r="D39" s="66" t="s">
        <v>540</v>
      </c>
      <c r="E39" s="75">
        <v>458</v>
      </c>
      <c r="F39" s="75">
        <v>0</v>
      </c>
      <c r="G39" s="60">
        <f t="shared" si="0"/>
        <v>458</v>
      </c>
    </row>
    <row r="40" spans="1:7" x14ac:dyDescent="0.2">
      <c r="A40" s="56" t="s">
        <v>89</v>
      </c>
      <c r="B40" s="59" t="s">
        <v>90</v>
      </c>
      <c r="C40" s="59"/>
      <c r="D40" s="59" t="s">
        <v>541</v>
      </c>
      <c r="E40" s="73">
        <v>390.5</v>
      </c>
      <c r="F40" s="73">
        <v>0</v>
      </c>
      <c r="G40" s="60">
        <f t="shared" si="0"/>
        <v>390.5</v>
      </c>
    </row>
    <row r="41" spans="1:7" x14ac:dyDescent="0.2">
      <c r="A41" s="56" t="s">
        <v>92</v>
      </c>
      <c r="B41" s="59" t="s">
        <v>93</v>
      </c>
      <c r="C41" s="59"/>
      <c r="D41" s="67" t="s">
        <v>542</v>
      </c>
      <c r="E41" s="73">
        <v>4799.6000000000004</v>
      </c>
      <c r="F41" s="73">
        <v>0</v>
      </c>
      <c r="G41" s="60">
        <f t="shared" si="0"/>
        <v>4799.6000000000004</v>
      </c>
    </row>
    <row r="42" spans="1:7" x14ac:dyDescent="0.2">
      <c r="A42" s="56" t="s">
        <v>95</v>
      </c>
      <c r="B42" s="59" t="s">
        <v>96</v>
      </c>
      <c r="C42" s="59"/>
      <c r="D42" s="59" t="s">
        <v>543</v>
      </c>
      <c r="E42" s="73">
        <v>91201.600000000006</v>
      </c>
      <c r="F42" s="73">
        <v>0</v>
      </c>
      <c r="G42" s="60">
        <f t="shared" si="0"/>
        <v>91201.600000000006</v>
      </c>
    </row>
    <row r="43" spans="1:7" x14ac:dyDescent="0.2">
      <c r="A43" s="56" t="s">
        <v>98</v>
      </c>
      <c r="B43" s="59" t="s">
        <v>99</v>
      </c>
      <c r="C43" s="59"/>
      <c r="D43" s="59" t="s">
        <v>544</v>
      </c>
      <c r="E43" s="73">
        <v>231.9</v>
      </c>
      <c r="F43" s="73">
        <v>0</v>
      </c>
      <c r="G43" s="60">
        <f t="shared" si="0"/>
        <v>231.9</v>
      </c>
    </row>
    <row r="44" spans="1:7" x14ac:dyDescent="0.2">
      <c r="A44" s="56" t="s">
        <v>101</v>
      </c>
      <c r="B44" s="59" t="s">
        <v>102</v>
      </c>
      <c r="C44" s="59"/>
      <c r="D44" s="64" t="s">
        <v>545</v>
      </c>
      <c r="E44" s="73">
        <v>65086.3</v>
      </c>
      <c r="F44" s="73">
        <v>1193</v>
      </c>
      <c r="G44" s="60">
        <f t="shared" si="0"/>
        <v>66279.3</v>
      </c>
    </row>
    <row r="45" spans="1:7" x14ac:dyDescent="0.2">
      <c r="A45" s="56" t="s">
        <v>104</v>
      </c>
      <c r="B45" s="59" t="s">
        <v>105</v>
      </c>
      <c r="C45" s="59"/>
      <c r="D45" s="59" t="s">
        <v>546</v>
      </c>
      <c r="E45" s="73">
        <v>6693</v>
      </c>
      <c r="F45" s="73">
        <v>292</v>
      </c>
      <c r="G45" s="60">
        <f t="shared" si="0"/>
        <v>6985</v>
      </c>
    </row>
    <row r="46" spans="1:7" x14ac:dyDescent="0.2">
      <c r="A46" s="56" t="s">
        <v>107</v>
      </c>
      <c r="B46" s="59" t="s">
        <v>108</v>
      </c>
      <c r="C46" s="59"/>
      <c r="D46" s="59" t="s">
        <v>109</v>
      </c>
      <c r="E46" s="73">
        <v>2296.1999999999998</v>
      </c>
      <c r="F46" s="73">
        <v>0</v>
      </c>
      <c r="G46" s="60">
        <f t="shared" si="0"/>
        <v>2296.1999999999998</v>
      </c>
    </row>
    <row r="47" spans="1:7" x14ac:dyDescent="0.2">
      <c r="A47" s="56" t="s">
        <v>110</v>
      </c>
      <c r="B47" s="59" t="s">
        <v>108</v>
      </c>
      <c r="C47" s="59"/>
      <c r="D47" s="68" t="s">
        <v>111</v>
      </c>
      <c r="E47" s="75">
        <v>248.9</v>
      </c>
      <c r="F47" s="75">
        <v>0</v>
      </c>
      <c r="G47" s="60">
        <f t="shared" si="0"/>
        <v>248.9</v>
      </c>
    </row>
    <row r="48" spans="1:7" x14ac:dyDescent="0.2">
      <c r="A48" s="56" t="s">
        <v>112</v>
      </c>
      <c r="B48" s="59" t="s">
        <v>108</v>
      </c>
      <c r="C48" s="59"/>
      <c r="D48" s="64" t="s">
        <v>113</v>
      </c>
      <c r="E48" s="73">
        <v>325</v>
      </c>
      <c r="F48" s="73">
        <v>0</v>
      </c>
      <c r="G48" s="60">
        <f t="shared" si="0"/>
        <v>325</v>
      </c>
    </row>
    <row r="49" spans="1:7" x14ac:dyDescent="0.2">
      <c r="A49" s="56" t="s">
        <v>114</v>
      </c>
      <c r="B49" s="65" t="s">
        <v>108</v>
      </c>
      <c r="C49" s="65"/>
      <c r="D49" s="65" t="s">
        <v>115</v>
      </c>
      <c r="E49" s="73">
        <v>236.5</v>
      </c>
      <c r="F49" s="73">
        <v>0</v>
      </c>
      <c r="G49" s="60">
        <f t="shared" si="0"/>
        <v>236.5</v>
      </c>
    </row>
    <row r="50" spans="1:7" x14ac:dyDescent="0.2">
      <c r="A50" s="56" t="s">
        <v>116</v>
      </c>
      <c r="B50" s="59" t="s">
        <v>108</v>
      </c>
      <c r="C50" s="59"/>
      <c r="D50" s="59" t="s">
        <v>117</v>
      </c>
      <c r="E50" s="73">
        <v>50</v>
      </c>
      <c r="F50" s="73">
        <v>0</v>
      </c>
      <c r="G50" s="60">
        <f t="shared" si="0"/>
        <v>50</v>
      </c>
    </row>
    <row r="51" spans="1:7" x14ac:dyDescent="0.2">
      <c r="A51" s="56" t="s">
        <v>118</v>
      </c>
      <c r="B51" s="59" t="s">
        <v>119</v>
      </c>
      <c r="C51" s="59"/>
      <c r="D51" s="59" t="s">
        <v>120</v>
      </c>
      <c r="E51" s="73">
        <v>462</v>
      </c>
      <c r="F51" s="73">
        <v>0</v>
      </c>
      <c r="G51" s="60">
        <f t="shared" si="0"/>
        <v>462</v>
      </c>
    </row>
    <row r="52" spans="1:7" x14ac:dyDescent="0.2">
      <c r="A52" s="56" t="s">
        <v>121</v>
      </c>
      <c r="B52" s="59" t="s">
        <v>119</v>
      </c>
      <c r="C52" s="59"/>
      <c r="D52" s="59" t="s">
        <v>122</v>
      </c>
      <c r="E52" s="73">
        <v>11699.2</v>
      </c>
      <c r="F52" s="73">
        <v>0</v>
      </c>
      <c r="G52" s="60">
        <f t="shared" si="0"/>
        <v>11699.2</v>
      </c>
    </row>
    <row r="53" spans="1:7" x14ac:dyDescent="0.2">
      <c r="A53" s="56" t="s">
        <v>123</v>
      </c>
      <c r="B53" s="59" t="s">
        <v>119</v>
      </c>
      <c r="C53" s="59"/>
      <c r="D53" s="59" t="s">
        <v>124</v>
      </c>
      <c r="E53" s="73">
        <v>9448.7999999999993</v>
      </c>
      <c r="F53" s="73">
        <v>0</v>
      </c>
      <c r="G53" s="60">
        <f t="shared" si="0"/>
        <v>9448.7999999999993</v>
      </c>
    </row>
    <row r="54" spans="1:7" x14ac:dyDescent="0.2">
      <c r="A54" s="56" t="s">
        <v>125</v>
      </c>
      <c r="B54" s="65" t="s">
        <v>119</v>
      </c>
      <c r="C54" s="65"/>
      <c r="D54" s="65" t="s">
        <v>126</v>
      </c>
      <c r="E54" s="73">
        <v>8444.4</v>
      </c>
      <c r="F54" s="73">
        <v>0</v>
      </c>
      <c r="G54" s="60">
        <f t="shared" si="0"/>
        <v>8444.4</v>
      </c>
    </row>
    <row r="55" spans="1:7" x14ac:dyDescent="0.2">
      <c r="A55" s="56" t="s">
        <v>127</v>
      </c>
      <c r="B55" s="65" t="s">
        <v>119</v>
      </c>
      <c r="C55" s="65"/>
      <c r="D55" s="65" t="s">
        <v>128</v>
      </c>
      <c r="E55" s="73">
        <v>26211.3</v>
      </c>
      <c r="F55" s="73">
        <v>3488</v>
      </c>
      <c r="G55" s="60">
        <f t="shared" si="0"/>
        <v>29699.3</v>
      </c>
    </row>
    <row r="56" spans="1:7" x14ac:dyDescent="0.2">
      <c r="A56" s="56" t="s">
        <v>129</v>
      </c>
      <c r="B56" s="59" t="s">
        <v>119</v>
      </c>
      <c r="C56" s="59"/>
      <c r="D56" s="59" t="s">
        <v>130</v>
      </c>
      <c r="E56" s="75">
        <v>5197.2</v>
      </c>
      <c r="F56" s="75">
        <v>0</v>
      </c>
      <c r="G56" s="60">
        <f t="shared" si="0"/>
        <v>5197.2</v>
      </c>
    </row>
    <row r="57" spans="1:7" x14ac:dyDescent="0.2">
      <c r="A57" s="56" t="s">
        <v>131</v>
      </c>
      <c r="B57" s="59" t="s">
        <v>119</v>
      </c>
      <c r="C57" s="59"/>
      <c r="D57" s="59" t="s">
        <v>132</v>
      </c>
      <c r="E57" s="73">
        <v>1425.5</v>
      </c>
      <c r="F57" s="73">
        <v>0</v>
      </c>
      <c r="G57" s="60">
        <f t="shared" si="0"/>
        <v>1425.5</v>
      </c>
    </row>
    <row r="58" spans="1:7" x14ac:dyDescent="0.2">
      <c r="A58" s="56" t="s">
        <v>133</v>
      </c>
      <c r="B58" s="59" t="s">
        <v>119</v>
      </c>
      <c r="C58" s="59"/>
      <c r="D58" s="59" t="s">
        <v>134</v>
      </c>
      <c r="E58" s="73">
        <v>25965.9</v>
      </c>
      <c r="F58" s="73">
        <v>0</v>
      </c>
      <c r="G58" s="60">
        <f t="shared" si="0"/>
        <v>25965.9</v>
      </c>
    </row>
    <row r="59" spans="1:7" x14ac:dyDescent="0.2">
      <c r="A59" s="56" t="s">
        <v>135</v>
      </c>
      <c r="B59" s="59" t="s">
        <v>119</v>
      </c>
      <c r="C59" s="59"/>
      <c r="D59" s="64" t="s">
        <v>136</v>
      </c>
      <c r="E59" s="73">
        <v>1094.9000000000001</v>
      </c>
      <c r="F59" s="73">
        <v>0</v>
      </c>
      <c r="G59" s="60">
        <f t="shared" si="0"/>
        <v>1094.9000000000001</v>
      </c>
    </row>
    <row r="60" spans="1:7" x14ac:dyDescent="0.2">
      <c r="A60" s="56" t="s">
        <v>137</v>
      </c>
      <c r="B60" s="59" t="s">
        <v>119</v>
      </c>
      <c r="C60" s="59"/>
      <c r="D60" s="59" t="s">
        <v>547</v>
      </c>
      <c r="E60" s="73">
        <v>639.79999999999995</v>
      </c>
      <c r="F60" s="73">
        <v>0</v>
      </c>
      <c r="G60" s="60">
        <f t="shared" si="0"/>
        <v>639.79999999999995</v>
      </c>
    </row>
    <row r="61" spans="1:7" x14ac:dyDescent="0.2">
      <c r="A61" s="56" t="s">
        <v>139</v>
      </c>
      <c r="B61" s="65" t="s">
        <v>119</v>
      </c>
      <c r="C61" s="65"/>
      <c r="D61" s="59" t="s">
        <v>140</v>
      </c>
      <c r="E61" s="73">
        <v>250.8</v>
      </c>
      <c r="F61" s="73">
        <v>0</v>
      </c>
      <c r="G61" s="60">
        <f t="shared" si="0"/>
        <v>250.8</v>
      </c>
    </row>
    <row r="62" spans="1:7" x14ac:dyDescent="0.2">
      <c r="A62" s="56" t="s">
        <v>141</v>
      </c>
      <c r="B62" s="65" t="s">
        <v>119</v>
      </c>
      <c r="C62" s="65"/>
      <c r="D62" s="59" t="s">
        <v>142</v>
      </c>
      <c r="E62" s="73">
        <v>6593.5</v>
      </c>
      <c r="F62" s="73">
        <v>0</v>
      </c>
      <c r="G62" s="60">
        <f t="shared" si="0"/>
        <v>6593.5</v>
      </c>
    </row>
    <row r="63" spans="1:7" x14ac:dyDescent="0.2">
      <c r="A63" s="56" t="s">
        <v>143</v>
      </c>
      <c r="B63" s="65" t="s">
        <v>119</v>
      </c>
      <c r="C63" s="65"/>
      <c r="D63" s="59" t="s">
        <v>144</v>
      </c>
      <c r="E63" s="73">
        <v>26662.7</v>
      </c>
      <c r="F63" s="73">
        <v>0</v>
      </c>
      <c r="G63" s="60">
        <f t="shared" si="0"/>
        <v>26662.7</v>
      </c>
    </row>
    <row r="64" spans="1:7" x14ac:dyDescent="0.2">
      <c r="A64" s="56" t="s">
        <v>145</v>
      </c>
      <c r="B64" s="65" t="s">
        <v>119</v>
      </c>
      <c r="C64" s="65"/>
      <c r="D64" s="59" t="s">
        <v>548</v>
      </c>
      <c r="E64" s="73">
        <v>213</v>
      </c>
      <c r="F64" s="73">
        <v>0</v>
      </c>
      <c r="G64" s="60">
        <f t="shared" si="0"/>
        <v>213</v>
      </c>
    </row>
    <row r="65" spans="1:7" x14ac:dyDescent="0.2">
      <c r="A65" s="56" t="s">
        <v>147</v>
      </c>
      <c r="B65" s="65" t="s">
        <v>119</v>
      </c>
      <c r="C65" s="65"/>
      <c r="D65" s="59" t="s">
        <v>549</v>
      </c>
      <c r="E65" s="73">
        <v>283.2</v>
      </c>
      <c r="F65" s="73">
        <v>0</v>
      </c>
      <c r="G65" s="60">
        <f t="shared" si="0"/>
        <v>283.2</v>
      </c>
    </row>
    <row r="66" spans="1:7" x14ac:dyDescent="0.2">
      <c r="A66" s="56" t="s">
        <v>149</v>
      </c>
      <c r="B66" s="59" t="s">
        <v>150</v>
      </c>
      <c r="C66" s="59"/>
      <c r="D66" s="59" t="s">
        <v>151</v>
      </c>
      <c r="E66" s="73">
        <v>3681</v>
      </c>
      <c r="F66" s="73">
        <v>0</v>
      </c>
      <c r="G66" s="60">
        <f t="shared" si="0"/>
        <v>3681</v>
      </c>
    </row>
    <row r="67" spans="1:7" x14ac:dyDescent="0.2">
      <c r="A67" s="56" t="s">
        <v>152</v>
      </c>
      <c r="B67" s="59" t="s">
        <v>150</v>
      </c>
      <c r="C67" s="59"/>
      <c r="D67" s="59" t="s">
        <v>420</v>
      </c>
      <c r="E67" s="73">
        <v>1366.5</v>
      </c>
      <c r="F67" s="73">
        <v>0</v>
      </c>
      <c r="G67" s="60">
        <f t="shared" si="0"/>
        <v>1366.5</v>
      </c>
    </row>
    <row r="68" spans="1:7" x14ac:dyDescent="0.2">
      <c r="A68" s="56" t="s">
        <v>153</v>
      </c>
      <c r="B68" s="59" t="s">
        <v>150</v>
      </c>
      <c r="C68" s="59"/>
      <c r="D68" s="59" t="s">
        <v>550</v>
      </c>
      <c r="E68" s="73">
        <v>220</v>
      </c>
      <c r="F68" s="73">
        <v>0</v>
      </c>
      <c r="G68" s="60">
        <f t="shared" ref="G68:G131" si="1">E68+F68</f>
        <v>220</v>
      </c>
    </row>
    <row r="69" spans="1:7" x14ac:dyDescent="0.2">
      <c r="A69" s="56" t="s">
        <v>155</v>
      </c>
      <c r="B69" s="59" t="s">
        <v>156</v>
      </c>
      <c r="C69" s="59"/>
      <c r="D69" s="59" t="s">
        <v>157</v>
      </c>
      <c r="E69" s="73">
        <v>5672.3</v>
      </c>
      <c r="F69" s="73">
        <v>567</v>
      </c>
      <c r="G69" s="60">
        <f t="shared" si="1"/>
        <v>6239.3</v>
      </c>
    </row>
    <row r="70" spans="1:7" x14ac:dyDescent="0.2">
      <c r="A70" s="56" t="s">
        <v>158</v>
      </c>
      <c r="B70" s="59" t="s">
        <v>156</v>
      </c>
      <c r="C70" s="59"/>
      <c r="D70" s="59" t="s">
        <v>551</v>
      </c>
      <c r="E70" s="73">
        <v>4813.3</v>
      </c>
      <c r="F70" s="73">
        <v>0</v>
      </c>
      <c r="G70" s="60">
        <f t="shared" si="1"/>
        <v>4813.3</v>
      </c>
    </row>
    <row r="71" spans="1:7" x14ac:dyDescent="0.2">
      <c r="A71" s="56" t="s">
        <v>160</v>
      </c>
      <c r="B71" s="59" t="s">
        <v>156</v>
      </c>
      <c r="C71" s="59"/>
      <c r="D71" s="68" t="s">
        <v>552</v>
      </c>
      <c r="E71" s="73">
        <v>1308.2</v>
      </c>
      <c r="F71" s="73">
        <v>0</v>
      </c>
      <c r="G71" s="60">
        <f t="shared" si="1"/>
        <v>1308.2</v>
      </c>
    </row>
    <row r="72" spans="1:7" x14ac:dyDescent="0.2">
      <c r="A72" s="56" t="s">
        <v>162</v>
      </c>
      <c r="B72" s="59" t="s">
        <v>163</v>
      </c>
      <c r="C72" s="59"/>
      <c r="D72" s="59" t="s">
        <v>553</v>
      </c>
      <c r="E72" s="73">
        <v>453.7</v>
      </c>
      <c r="F72" s="73">
        <v>0</v>
      </c>
      <c r="G72" s="60">
        <f t="shared" si="1"/>
        <v>453.7</v>
      </c>
    </row>
    <row r="73" spans="1:7" x14ac:dyDescent="0.2">
      <c r="A73" s="56" t="s">
        <v>165</v>
      </c>
      <c r="B73" s="59" t="s">
        <v>166</v>
      </c>
      <c r="C73" s="59"/>
      <c r="D73" s="59" t="s">
        <v>554</v>
      </c>
      <c r="E73" s="73">
        <v>443.4</v>
      </c>
      <c r="F73" s="73">
        <v>0</v>
      </c>
      <c r="G73" s="60">
        <f t="shared" si="1"/>
        <v>443.4</v>
      </c>
    </row>
    <row r="74" spans="1:7" x14ac:dyDescent="0.2">
      <c r="A74" s="56" t="s">
        <v>168</v>
      </c>
      <c r="B74" s="59" t="s">
        <v>166</v>
      </c>
      <c r="C74" s="59"/>
      <c r="D74" s="59" t="s">
        <v>169</v>
      </c>
      <c r="E74" s="73">
        <v>1328.8</v>
      </c>
      <c r="F74" s="73">
        <v>0</v>
      </c>
      <c r="G74" s="60">
        <f t="shared" si="1"/>
        <v>1328.8</v>
      </c>
    </row>
    <row r="75" spans="1:7" x14ac:dyDescent="0.2">
      <c r="A75" s="56" t="s">
        <v>170</v>
      </c>
      <c r="B75" s="59" t="s">
        <v>171</v>
      </c>
      <c r="C75" s="59"/>
      <c r="D75" s="59" t="s">
        <v>555</v>
      </c>
      <c r="E75" s="73">
        <v>2070.1</v>
      </c>
      <c r="F75" s="73">
        <v>0</v>
      </c>
      <c r="G75" s="60">
        <f t="shared" si="1"/>
        <v>2070.1</v>
      </c>
    </row>
    <row r="76" spans="1:7" x14ac:dyDescent="0.2">
      <c r="A76" s="56" t="s">
        <v>173</v>
      </c>
      <c r="B76" s="69" t="s">
        <v>174</v>
      </c>
      <c r="C76" s="69"/>
      <c r="D76" s="59" t="s">
        <v>556</v>
      </c>
      <c r="E76" s="73">
        <v>89.9</v>
      </c>
      <c r="F76" s="73">
        <v>0</v>
      </c>
      <c r="G76" s="60">
        <f t="shared" si="1"/>
        <v>89.9</v>
      </c>
    </row>
    <row r="77" spans="1:7" x14ac:dyDescent="0.2">
      <c r="A77" s="56" t="s">
        <v>176</v>
      </c>
      <c r="B77" s="59" t="s">
        <v>177</v>
      </c>
      <c r="C77" s="59"/>
      <c r="D77" s="64" t="s">
        <v>178</v>
      </c>
      <c r="E77" s="75">
        <v>527.70000000000005</v>
      </c>
      <c r="F77" s="75">
        <v>0</v>
      </c>
      <c r="G77" s="60">
        <f t="shared" si="1"/>
        <v>527.70000000000005</v>
      </c>
    </row>
    <row r="78" spans="1:7" x14ac:dyDescent="0.2">
      <c r="A78" s="56" t="s">
        <v>179</v>
      </c>
      <c r="B78" s="59" t="s">
        <v>177</v>
      </c>
      <c r="C78" s="59"/>
      <c r="D78" s="59" t="s">
        <v>180</v>
      </c>
      <c r="E78" s="73">
        <v>212</v>
      </c>
      <c r="F78" s="73">
        <v>0</v>
      </c>
      <c r="G78" s="60">
        <f t="shared" si="1"/>
        <v>212</v>
      </c>
    </row>
    <row r="79" spans="1:7" x14ac:dyDescent="0.2">
      <c r="A79" s="56" t="s">
        <v>181</v>
      </c>
      <c r="B79" s="59" t="s">
        <v>182</v>
      </c>
      <c r="C79" s="59"/>
      <c r="D79" s="59" t="s">
        <v>557</v>
      </c>
      <c r="E79" s="73">
        <v>170</v>
      </c>
      <c r="F79" s="73">
        <v>0</v>
      </c>
      <c r="G79" s="60">
        <f t="shared" si="1"/>
        <v>170</v>
      </c>
    </row>
    <row r="80" spans="1:7" x14ac:dyDescent="0.2">
      <c r="A80" s="56" t="s">
        <v>184</v>
      </c>
      <c r="B80" s="59" t="s">
        <v>185</v>
      </c>
      <c r="C80" s="59"/>
      <c r="D80" s="59" t="s">
        <v>558</v>
      </c>
      <c r="E80" s="73">
        <v>81673.600000000006</v>
      </c>
      <c r="F80" s="73">
        <v>620</v>
      </c>
      <c r="G80" s="60">
        <f t="shared" si="1"/>
        <v>82293.600000000006</v>
      </c>
    </row>
    <row r="81" spans="1:7" x14ac:dyDescent="0.2">
      <c r="A81" s="56" t="s">
        <v>187</v>
      </c>
      <c r="B81" s="59" t="s">
        <v>188</v>
      </c>
      <c r="C81" s="59"/>
      <c r="D81" s="59" t="s">
        <v>189</v>
      </c>
      <c r="E81" s="73">
        <v>176.5</v>
      </c>
      <c r="F81" s="73">
        <v>0</v>
      </c>
      <c r="G81" s="60">
        <f t="shared" si="1"/>
        <v>176.5</v>
      </c>
    </row>
    <row r="82" spans="1:7" x14ac:dyDescent="0.2">
      <c r="A82" s="56" t="s">
        <v>190</v>
      </c>
      <c r="B82" s="59" t="s">
        <v>188</v>
      </c>
      <c r="C82" s="59"/>
      <c r="D82" s="59" t="s">
        <v>191</v>
      </c>
      <c r="E82" s="73">
        <v>53.7</v>
      </c>
      <c r="F82" s="73">
        <v>0</v>
      </c>
      <c r="G82" s="60">
        <f t="shared" si="1"/>
        <v>53.7</v>
      </c>
    </row>
    <row r="83" spans="1:7" x14ac:dyDescent="0.2">
      <c r="A83" s="56" t="s">
        <v>192</v>
      </c>
      <c r="B83" s="59" t="s">
        <v>193</v>
      </c>
      <c r="C83" s="59"/>
      <c r="D83" s="59" t="s">
        <v>559</v>
      </c>
      <c r="E83" s="73">
        <v>157.4</v>
      </c>
      <c r="F83" s="73">
        <v>0</v>
      </c>
      <c r="G83" s="60">
        <f t="shared" si="1"/>
        <v>157.4</v>
      </c>
    </row>
    <row r="84" spans="1:7" x14ac:dyDescent="0.2">
      <c r="A84" s="56" t="s">
        <v>195</v>
      </c>
      <c r="B84" s="59" t="s">
        <v>193</v>
      </c>
      <c r="C84" s="59"/>
      <c r="D84" s="59" t="s">
        <v>560</v>
      </c>
      <c r="E84" s="73">
        <v>118.7</v>
      </c>
      <c r="F84" s="73">
        <v>0</v>
      </c>
      <c r="G84" s="60">
        <f t="shared" si="1"/>
        <v>118.7</v>
      </c>
    </row>
    <row r="85" spans="1:7" x14ac:dyDescent="0.2">
      <c r="A85" s="56" t="s">
        <v>197</v>
      </c>
      <c r="B85" s="59" t="s">
        <v>193</v>
      </c>
      <c r="C85" s="59"/>
      <c r="D85" s="59" t="s">
        <v>198</v>
      </c>
      <c r="E85" s="73">
        <v>219.9</v>
      </c>
      <c r="F85" s="73">
        <v>0</v>
      </c>
      <c r="G85" s="60">
        <f t="shared" si="1"/>
        <v>219.9</v>
      </c>
    </row>
    <row r="86" spans="1:7" x14ac:dyDescent="0.2">
      <c r="A86" s="56" t="s">
        <v>199</v>
      </c>
      <c r="B86" s="59" t="s">
        <v>193</v>
      </c>
      <c r="C86" s="59"/>
      <c r="D86" s="59" t="s">
        <v>200</v>
      </c>
      <c r="E86" s="73">
        <v>115.5</v>
      </c>
      <c r="F86" s="73">
        <v>0</v>
      </c>
      <c r="G86" s="60">
        <f t="shared" si="1"/>
        <v>115.5</v>
      </c>
    </row>
    <row r="87" spans="1:7" x14ac:dyDescent="0.2">
      <c r="A87" s="56" t="s">
        <v>201</v>
      </c>
      <c r="B87" s="59" t="s">
        <v>193</v>
      </c>
      <c r="C87" s="59"/>
      <c r="D87" s="59" t="s">
        <v>561</v>
      </c>
      <c r="E87" s="73">
        <v>735.1</v>
      </c>
      <c r="F87" s="73">
        <v>0</v>
      </c>
      <c r="G87" s="60">
        <f t="shared" si="1"/>
        <v>735.1</v>
      </c>
    </row>
    <row r="88" spans="1:7" x14ac:dyDescent="0.2">
      <c r="A88" s="56" t="s">
        <v>203</v>
      </c>
      <c r="B88" s="59" t="s">
        <v>204</v>
      </c>
      <c r="C88" s="59"/>
      <c r="D88" s="59" t="s">
        <v>562</v>
      </c>
      <c r="E88" s="73">
        <v>1052.8</v>
      </c>
      <c r="F88" s="73">
        <v>0</v>
      </c>
      <c r="G88" s="60">
        <f t="shared" si="1"/>
        <v>1052.8</v>
      </c>
    </row>
    <row r="89" spans="1:7" x14ac:dyDescent="0.2">
      <c r="A89" s="56" t="s">
        <v>206</v>
      </c>
      <c r="B89" s="59" t="s">
        <v>207</v>
      </c>
      <c r="C89" s="59"/>
      <c r="D89" s="59" t="s">
        <v>563</v>
      </c>
      <c r="E89" s="73">
        <v>5436.2</v>
      </c>
      <c r="F89" s="73">
        <v>441</v>
      </c>
      <c r="G89" s="60">
        <f t="shared" si="1"/>
        <v>5877.2</v>
      </c>
    </row>
    <row r="90" spans="1:7" x14ac:dyDescent="0.2">
      <c r="A90" s="56" t="s">
        <v>209</v>
      </c>
      <c r="B90" s="59" t="s">
        <v>207</v>
      </c>
      <c r="C90" s="59"/>
      <c r="D90" s="59" t="s">
        <v>564</v>
      </c>
      <c r="E90" s="73">
        <v>1431.4</v>
      </c>
      <c r="F90" s="73">
        <v>0</v>
      </c>
      <c r="G90" s="60">
        <f t="shared" si="1"/>
        <v>1431.4</v>
      </c>
    </row>
    <row r="91" spans="1:7" x14ac:dyDescent="0.2">
      <c r="A91" s="56" t="s">
        <v>211</v>
      </c>
      <c r="B91" s="59" t="s">
        <v>207</v>
      </c>
      <c r="C91" s="59"/>
      <c r="D91" s="59" t="s">
        <v>565</v>
      </c>
      <c r="E91" s="73">
        <v>863.7</v>
      </c>
      <c r="F91" s="73">
        <v>0</v>
      </c>
      <c r="G91" s="60">
        <f t="shared" si="1"/>
        <v>863.7</v>
      </c>
    </row>
    <row r="92" spans="1:7" x14ac:dyDescent="0.2">
      <c r="A92" s="56" t="s">
        <v>213</v>
      </c>
      <c r="B92" s="59" t="s">
        <v>214</v>
      </c>
      <c r="C92" s="59"/>
      <c r="D92" s="59" t="s">
        <v>215</v>
      </c>
      <c r="E92" s="73">
        <v>30179.9</v>
      </c>
      <c r="F92" s="73">
        <v>2204</v>
      </c>
      <c r="G92" s="60">
        <f t="shared" si="1"/>
        <v>32383.9</v>
      </c>
    </row>
    <row r="93" spans="1:7" x14ac:dyDescent="0.2">
      <c r="A93" s="56" t="s">
        <v>216</v>
      </c>
      <c r="B93" s="59" t="s">
        <v>214</v>
      </c>
      <c r="C93" s="59"/>
      <c r="D93" s="59" t="s">
        <v>566</v>
      </c>
      <c r="E93" s="73">
        <v>15648.6</v>
      </c>
      <c r="F93" s="73">
        <v>0</v>
      </c>
      <c r="G93" s="60">
        <f t="shared" si="1"/>
        <v>15648.6</v>
      </c>
    </row>
    <row r="94" spans="1:7" x14ac:dyDescent="0.2">
      <c r="A94" s="56" t="s">
        <v>218</v>
      </c>
      <c r="B94" s="59" t="s">
        <v>214</v>
      </c>
      <c r="C94" s="59"/>
      <c r="D94" s="59" t="s">
        <v>567</v>
      </c>
      <c r="E94" s="73">
        <v>1096.8</v>
      </c>
      <c r="F94" s="73">
        <v>0</v>
      </c>
      <c r="G94" s="60">
        <f t="shared" si="1"/>
        <v>1096.8</v>
      </c>
    </row>
    <row r="95" spans="1:7" x14ac:dyDescent="0.2">
      <c r="A95" s="56" t="s">
        <v>220</v>
      </c>
      <c r="B95" s="59" t="s">
        <v>221</v>
      </c>
      <c r="C95" s="59"/>
      <c r="D95" s="59" t="s">
        <v>222</v>
      </c>
      <c r="E95" s="73">
        <v>992.5</v>
      </c>
      <c r="F95" s="73">
        <v>0</v>
      </c>
      <c r="G95" s="60">
        <f t="shared" si="1"/>
        <v>992.5</v>
      </c>
    </row>
    <row r="96" spans="1:7" x14ac:dyDescent="0.2">
      <c r="A96" s="56" t="s">
        <v>223</v>
      </c>
      <c r="B96" s="59" t="s">
        <v>221</v>
      </c>
      <c r="C96" s="59"/>
      <c r="D96" s="59" t="s">
        <v>568</v>
      </c>
      <c r="E96" s="73">
        <v>188.3</v>
      </c>
      <c r="F96" s="73">
        <v>0</v>
      </c>
      <c r="G96" s="60">
        <f t="shared" si="1"/>
        <v>188.3</v>
      </c>
    </row>
    <row r="97" spans="1:7" x14ac:dyDescent="0.2">
      <c r="A97" s="56" t="s">
        <v>225</v>
      </c>
      <c r="B97" s="59" t="s">
        <v>221</v>
      </c>
      <c r="C97" s="59"/>
      <c r="D97" s="64" t="s">
        <v>569</v>
      </c>
      <c r="E97" s="73">
        <v>369.2</v>
      </c>
      <c r="F97" s="73">
        <v>0</v>
      </c>
      <c r="G97" s="60">
        <f t="shared" si="1"/>
        <v>369.2</v>
      </c>
    </row>
    <row r="98" spans="1:7" x14ac:dyDescent="0.2">
      <c r="A98" s="56" t="s">
        <v>227</v>
      </c>
      <c r="B98" s="59" t="s">
        <v>221</v>
      </c>
      <c r="C98" s="59"/>
      <c r="D98" s="64" t="s">
        <v>570</v>
      </c>
      <c r="E98" s="73">
        <v>115.6</v>
      </c>
      <c r="F98" s="73">
        <v>0</v>
      </c>
      <c r="G98" s="60">
        <f t="shared" si="1"/>
        <v>115.6</v>
      </c>
    </row>
    <row r="99" spans="1:7" x14ac:dyDescent="0.2">
      <c r="A99" s="56" t="s">
        <v>229</v>
      </c>
      <c r="B99" s="56" t="s">
        <v>221</v>
      </c>
      <c r="D99" s="56" t="s">
        <v>571</v>
      </c>
      <c r="E99" s="75">
        <v>450</v>
      </c>
      <c r="F99" s="75">
        <v>0</v>
      </c>
      <c r="G99" s="60">
        <f t="shared" si="1"/>
        <v>450</v>
      </c>
    </row>
    <row r="100" spans="1:7" x14ac:dyDescent="0.2">
      <c r="A100" s="56" t="s">
        <v>231</v>
      </c>
      <c r="B100" s="56" t="s">
        <v>221</v>
      </c>
      <c r="D100" s="56" t="s">
        <v>572</v>
      </c>
      <c r="E100" s="75">
        <v>50</v>
      </c>
      <c r="F100" s="75">
        <v>0</v>
      </c>
      <c r="G100" s="60">
        <f t="shared" si="1"/>
        <v>50</v>
      </c>
    </row>
    <row r="101" spans="1:7" x14ac:dyDescent="0.2">
      <c r="A101" s="56" t="s">
        <v>233</v>
      </c>
      <c r="B101" s="56" t="s">
        <v>234</v>
      </c>
      <c r="D101" s="56" t="s">
        <v>573</v>
      </c>
      <c r="E101" s="75">
        <v>202.5</v>
      </c>
      <c r="F101" s="75">
        <v>0</v>
      </c>
      <c r="G101" s="60">
        <f t="shared" si="1"/>
        <v>202.5</v>
      </c>
    </row>
    <row r="102" spans="1:7" x14ac:dyDescent="0.2">
      <c r="A102" s="56" t="s">
        <v>235</v>
      </c>
      <c r="B102" s="56" t="s">
        <v>234</v>
      </c>
      <c r="D102" s="56" t="s">
        <v>236</v>
      </c>
      <c r="E102" s="75">
        <v>493.2</v>
      </c>
      <c r="F102" s="75">
        <v>0</v>
      </c>
      <c r="G102" s="60">
        <f t="shared" si="1"/>
        <v>493.2</v>
      </c>
    </row>
    <row r="103" spans="1:7" x14ac:dyDescent="0.2">
      <c r="A103" s="56" t="s">
        <v>237</v>
      </c>
      <c r="B103" s="56" t="s">
        <v>234</v>
      </c>
      <c r="D103" s="56" t="s">
        <v>238</v>
      </c>
      <c r="E103" s="75">
        <v>50</v>
      </c>
      <c r="F103" s="75">
        <v>0</v>
      </c>
      <c r="G103" s="60">
        <f t="shared" si="1"/>
        <v>50</v>
      </c>
    </row>
    <row r="104" spans="1:7" x14ac:dyDescent="0.2">
      <c r="A104" s="56" t="s">
        <v>239</v>
      </c>
      <c r="B104" s="56" t="s">
        <v>240</v>
      </c>
      <c r="D104" s="56" t="s">
        <v>241</v>
      </c>
      <c r="E104" s="75">
        <v>2179.1</v>
      </c>
      <c r="F104" s="75">
        <v>0</v>
      </c>
      <c r="G104" s="60">
        <f t="shared" si="1"/>
        <v>2179.1</v>
      </c>
    </row>
    <row r="105" spans="1:7" x14ac:dyDescent="0.2">
      <c r="A105" s="56" t="s">
        <v>242</v>
      </c>
      <c r="B105" s="56" t="s">
        <v>240</v>
      </c>
      <c r="D105" s="56" t="s">
        <v>243</v>
      </c>
      <c r="E105" s="75">
        <v>198.4</v>
      </c>
      <c r="F105" s="75">
        <v>0</v>
      </c>
      <c r="G105" s="60">
        <f t="shared" si="1"/>
        <v>198.4</v>
      </c>
    </row>
    <row r="106" spans="1:7" x14ac:dyDescent="0.2">
      <c r="A106" s="56" t="s">
        <v>244</v>
      </c>
      <c r="B106" s="56" t="s">
        <v>240</v>
      </c>
      <c r="D106" s="56" t="s">
        <v>245</v>
      </c>
      <c r="E106" s="75">
        <v>307.8</v>
      </c>
      <c r="F106" s="75">
        <v>0</v>
      </c>
      <c r="G106" s="60">
        <f t="shared" si="1"/>
        <v>307.8</v>
      </c>
    </row>
    <row r="107" spans="1:7" x14ac:dyDescent="0.2">
      <c r="A107" s="56" t="s">
        <v>246</v>
      </c>
      <c r="B107" s="56" t="s">
        <v>240</v>
      </c>
      <c r="D107" s="56" t="s">
        <v>247</v>
      </c>
      <c r="E107" s="75">
        <v>156.6</v>
      </c>
      <c r="F107" s="75">
        <v>0</v>
      </c>
      <c r="G107" s="60">
        <f t="shared" si="1"/>
        <v>156.6</v>
      </c>
    </row>
    <row r="108" spans="1:7" x14ac:dyDescent="0.2">
      <c r="A108" s="56" t="s">
        <v>248</v>
      </c>
      <c r="B108" s="56" t="s">
        <v>249</v>
      </c>
      <c r="D108" s="56" t="s">
        <v>574</v>
      </c>
      <c r="E108" s="75">
        <v>163.1</v>
      </c>
      <c r="F108" s="75">
        <v>0</v>
      </c>
      <c r="G108" s="60">
        <f t="shared" si="1"/>
        <v>163.1</v>
      </c>
    </row>
    <row r="109" spans="1:7" x14ac:dyDescent="0.2">
      <c r="A109" s="56" t="s">
        <v>251</v>
      </c>
      <c r="B109" s="56" t="s">
        <v>249</v>
      </c>
      <c r="D109" s="56" t="s">
        <v>575</v>
      </c>
      <c r="E109" s="75">
        <v>424.2</v>
      </c>
      <c r="F109" s="75">
        <v>0</v>
      </c>
      <c r="G109" s="60">
        <f t="shared" si="1"/>
        <v>424.2</v>
      </c>
    </row>
    <row r="110" spans="1:7" x14ac:dyDescent="0.2">
      <c r="A110" s="56" t="s">
        <v>253</v>
      </c>
      <c r="B110" s="56" t="s">
        <v>249</v>
      </c>
      <c r="D110" s="56" t="s">
        <v>576</v>
      </c>
      <c r="E110" s="75">
        <v>21519.3</v>
      </c>
      <c r="F110" s="75">
        <v>819</v>
      </c>
      <c r="G110" s="60">
        <f t="shared" si="1"/>
        <v>22338.3</v>
      </c>
    </row>
    <row r="111" spans="1:7" x14ac:dyDescent="0.2">
      <c r="A111" s="56" t="s">
        <v>255</v>
      </c>
      <c r="B111" s="56" t="s">
        <v>256</v>
      </c>
      <c r="D111" s="56" t="s">
        <v>577</v>
      </c>
      <c r="E111" s="75">
        <v>89</v>
      </c>
      <c r="F111" s="75">
        <v>0</v>
      </c>
      <c r="G111" s="60">
        <f t="shared" si="1"/>
        <v>89</v>
      </c>
    </row>
    <row r="112" spans="1:7" x14ac:dyDescent="0.2">
      <c r="A112" s="56" t="s">
        <v>258</v>
      </c>
      <c r="B112" s="56" t="s">
        <v>259</v>
      </c>
      <c r="D112" s="56" t="s">
        <v>578</v>
      </c>
      <c r="E112" s="75">
        <v>2127.1</v>
      </c>
      <c r="F112" s="75">
        <v>0</v>
      </c>
      <c r="G112" s="60">
        <f t="shared" si="1"/>
        <v>2127.1</v>
      </c>
    </row>
    <row r="113" spans="1:7" x14ac:dyDescent="0.2">
      <c r="A113" s="56" t="s">
        <v>261</v>
      </c>
      <c r="B113" s="56" t="s">
        <v>262</v>
      </c>
      <c r="D113" s="56" t="s">
        <v>579</v>
      </c>
      <c r="E113" s="75">
        <v>2765.8</v>
      </c>
      <c r="F113" s="75">
        <v>0</v>
      </c>
      <c r="G113" s="60">
        <f t="shared" si="1"/>
        <v>2765.8</v>
      </c>
    </row>
    <row r="114" spans="1:7" x14ac:dyDescent="0.2">
      <c r="A114" s="56" t="s">
        <v>264</v>
      </c>
      <c r="B114" s="56" t="s">
        <v>262</v>
      </c>
      <c r="D114" s="56" t="s">
        <v>266</v>
      </c>
      <c r="E114" s="75">
        <v>672.3</v>
      </c>
      <c r="F114" s="75">
        <v>0</v>
      </c>
      <c r="G114" s="60">
        <f t="shared" si="1"/>
        <v>672.3</v>
      </c>
    </row>
    <row r="115" spans="1:7" x14ac:dyDescent="0.2">
      <c r="A115" s="56" t="s">
        <v>267</v>
      </c>
      <c r="B115" s="56" t="s">
        <v>262</v>
      </c>
      <c r="D115" s="56" t="s">
        <v>268</v>
      </c>
      <c r="E115" s="75">
        <v>484.3</v>
      </c>
      <c r="F115" s="75">
        <v>0</v>
      </c>
      <c r="G115" s="60">
        <f t="shared" si="1"/>
        <v>484.3</v>
      </c>
    </row>
    <row r="116" spans="1:7" x14ac:dyDescent="0.2">
      <c r="A116" s="56" t="s">
        <v>269</v>
      </c>
      <c r="B116" s="56" t="s">
        <v>270</v>
      </c>
      <c r="D116" s="56" t="s">
        <v>580</v>
      </c>
      <c r="E116" s="75">
        <v>6026.2</v>
      </c>
      <c r="F116" s="75">
        <v>0</v>
      </c>
      <c r="G116" s="60">
        <f t="shared" si="1"/>
        <v>6026.2</v>
      </c>
    </row>
    <row r="117" spans="1:7" x14ac:dyDescent="0.2">
      <c r="A117" s="56" t="s">
        <v>272</v>
      </c>
      <c r="B117" s="56" t="s">
        <v>270</v>
      </c>
      <c r="D117" s="56" t="s">
        <v>273</v>
      </c>
      <c r="E117" s="75">
        <v>261.7</v>
      </c>
      <c r="F117" s="75">
        <v>0</v>
      </c>
      <c r="G117" s="60">
        <f t="shared" si="1"/>
        <v>261.7</v>
      </c>
    </row>
    <row r="118" spans="1:7" x14ac:dyDescent="0.2">
      <c r="A118" s="56" t="s">
        <v>274</v>
      </c>
      <c r="B118" s="56" t="s">
        <v>275</v>
      </c>
      <c r="D118" s="56" t="s">
        <v>581</v>
      </c>
      <c r="E118" s="75">
        <v>1472.5</v>
      </c>
      <c r="F118" s="75">
        <v>0</v>
      </c>
      <c r="G118" s="60">
        <f t="shared" si="1"/>
        <v>1472.5</v>
      </c>
    </row>
    <row r="119" spans="1:7" x14ac:dyDescent="0.2">
      <c r="A119" s="56" t="s">
        <v>277</v>
      </c>
      <c r="B119" s="56" t="s">
        <v>275</v>
      </c>
      <c r="D119" s="56" t="s">
        <v>582</v>
      </c>
      <c r="E119" s="75">
        <v>3383</v>
      </c>
      <c r="F119" s="75">
        <v>0</v>
      </c>
      <c r="G119" s="60">
        <f t="shared" si="1"/>
        <v>3383</v>
      </c>
    </row>
    <row r="120" spans="1:7" x14ac:dyDescent="0.2">
      <c r="A120" s="56" t="s">
        <v>279</v>
      </c>
      <c r="B120" s="56" t="s">
        <v>275</v>
      </c>
      <c r="D120" s="56" t="s">
        <v>583</v>
      </c>
      <c r="E120" s="75">
        <v>205.5</v>
      </c>
      <c r="F120" s="75">
        <v>0</v>
      </c>
      <c r="G120" s="60">
        <f t="shared" si="1"/>
        <v>205.5</v>
      </c>
    </row>
    <row r="121" spans="1:7" x14ac:dyDescent="0.2">
      <c r="A121" s="56" t="s">
        <v>281</v>
      </c>
      <c r="B121" s="56" t="s">
        <v>275</v>
      </c>
      <c r="D121" s="56" t="s">
        <v>584</v>
      </c>
      <c r="E121" s="75">
        <v>688</v>
      </c>
      <c r="F121" s="75">
        <v>0</v>
      </c>
      <c r="G121" s="60">
        <f t="shared" si="1"/>
        <v>688</v>
      </c>
    </row>
    <row r="122" spans="1:7" x14ac:dyDescent="0.2">
      <c r="A122" s="56" t="s">
        <v>283</v>
      </c>
      <c r="B122" s="56" t="s">
        <v>284</v>
      </c>
      <c r="D122" s="56" t="s">
        <v>285</v>
      </c>
      <c r="E122" s="75">
        <v>1489.5</v>
      </c>
      <c r="F122" s="75">
        <v>0</v>
      </c>
      <c r="G122" s="60">
        <f t="shared" si="1"/>
        <v>1489.5</v>
      </c>
    </row>
    <row r="123" spans="1:7" x14ac:dyDescent="0.2">
      <c r="A123" s="56" t="s">
        <v>286</v>
      </c>
      <c r="B123" s="56" t="s">
        <v>284</v>
      </c>
      <c r="D123" s="56" t="s">
        <v>287</v>
      </c>
      <c r="E123" s="75">
        <v>800.9</v>
      </c>
      <c r="F123" s="75">
        <v>0</v>
      </c>
      <c r="G123" s="60">
        <f t="shared" si="1"/>
        <v>800.9</v>
      </c>
    </row>
    <row r="124" spans="1:7" x14ac:dyDescent="0.2">
      <c r="A124" s="56" t="s">
        <v>288</v>
      </c>
      <c r="B124" s="56" t="s">
        <v>284</v>
      </c>
      <c r="D124" s="56" t="s">
        <v>289</v>
      </c>
      <c r="E124" s="75">
        <v>165.5</v>
      </c>
      <c r="F124" s="75">
        <v>0</v>
      </c>
      <c r="G124" s="60">
        <f t="shared" si="1"/>
        <v>165.5</v>
      </c>
    </row>
    <row r="125" spans="1:7" x14ac:dyDescent="0.2">
      <c r="A125" s="56" t="s">
        <v>290</v>
      </c>
      <c r="B125" s="56" t="s">
        <v>284</v>
      </c>
      <c r="D125" s="56" t="s">
        <v>291</v>
      </c>
      <c r="E125" s="75">
        <v>386.5</v>
      </c>
      <c r="F125" s="75">
        <v>0</v>
      </c>
      <c r="G125" s="60">
        <f t="shared" si="1"/>
        <v>386.5</v>
      </c>
    </row>
    <row r="126" spans="1:7" x14ac:dyDescent="0.2">
      <c r="A126" s="56" t="s">
        <v>292</v>
      </c>
      <c r="B126" s="56" t="s">
        <v>284</v>
      </c>
      <c r="D126" s="56" t="s">
        <v>293</v>
      </c>
      <c r="E126" s="75">
        <v>219.7</v>
      </c>
      <c r="F126" s="75">
        <v>0</v>
      </c>
      <c r="G126" s="60">
        <f t="shared" si="1"/>
        <v>219.7</v>
      </c>
    </row>
    <row r="127" spans="1:7" x14ac:dyDescent="0.2">
      <c r="A127" s="56" t="s">
        <v>294</v>
      </c>
      <c r="B127" s="56" t="s">
        <v>284</v>
      </c>
      <c r="D127" s="56" t="s">
        <v>295</v>
      </c>
      <c r="E127" s="75">
        <v>343.7</v>
      </c>
      <c r="F127" s="75">
        <v>0</v>
      </c>
      <c r="G127" s="60">
        <f t="shared" si="1"/>
        <v>343.7</v>
      </c>
    </row>
    <row r="128" spans="1:7" x14ac:dyDescent="0.2">
      <c r="A128" s="56" t="s">
        <v>296</v>
      </c>
      <c r="B128" s="56" t="s">
        <v>297</v>
      </c>
      <c r="D128" s="56" t="s">
        <v>298</v>
      </c>
      <c r="E128" s="75">
        <v>165.7</v>
      </c>
      <c r="F128" s="75">
        <v>0</v>
      </c>
      <c r="G128" s="60">
        <f t="shared" si="1"/>
        <v>165.7</v>
      </c>
    </row>
    <row r="129" spans="1:7" x14ac:dyDescent="0.2">
      <c r="A129" s="56" t="s">
        <v>299</v>
      </c>
      <c r="B129" s="56" t="s">
        <v>297</v>
      </c>
      <c r="D129" s="56" t="s">
        <v>300</v>
      </c>
      <c r="E129" s="75">
        <v>333.3</v>
      </c>
      <c r="F129" s="75">
        <v>0</v>
      </c>
      <c r="G129" s="60">
        <f t="shared" si="1"/>
        <v>333.3</v>
      </c>
    </row>
    <row r="130" spans="1:7" x14ac:dyDescent="0.2">
      <c r="A130" s="56" t="s">
        <v>301</v>
      </c>
      <c r="B130" s="56" t="s">
        <v>302</v>
      </c>
      <c r="D130" s="56" t="s">
        <v>303</v>
      </c>
      <c r="E130" s="75">
        <v>858.6</v>
      </c>
      <c r="F130" s="75">
        <v>0</v>
      </c>
      <c r="G130" s="60">
        <f t="shared" si="1"/>
        <v>858.6</v>
      </c>
    </row>
    <row r="131" spans="1:7" x14ac:dyDescent="0.2">
      <c r="A131" s="56" t="s">
        <v>304</v>
      </c>
      <c r="B131" s="56" t="s">
        <v>302</v>
      </c>
      <c r="D131" s="56" t="s">
        <v>585</v>
      </c>
      <c r="E131" s="75">
        <v>643.6</v>
      </c>
      <c r="F131" s="75">
        <v>0</v>
      </c>
      <c r="G131" s="60">
        <f t="shared" si="1"/>
        <v>643.6</v>
      </c>
    </row>
    <row r="132" spans="1:7" x14ac:dyDescent="0.2">
      <c r="A132" s="56" t="s">
        <v>306</v>
      </c>
      <c r="B132" s="56" t="s">
        <v>307</v>
      </c>
      <c r="D132" s="56" t="s">
        <v>308</v>
      </c>
      <c r="E132" s="75">
        <v>599</v>
      </c>
      <c r="F132" s="75">
        <v>0</v>
      </c>
      <c r="G132" s="60">
        <f t="shared" ref="G132:G181" si="2">E132+F132</f>
        <v>599</v>
      </c>
    </row>
    <row r="133" spans="1:7" x14ac:dyDescent="0.2">
      <c r="A133" s="56" t="s">
        <v>309</v>
      </c>
      <c r="B133" s="56" t="s">
        <v>307</v>
      </c>
      <c r="D133" s="56" t="s">
        <v>310</v>
      </c>
      <c r="E133" s="75">
        <v>320.5</v>
      </c>
      <c r="F133" s="75">
        <v>0</v>
      </c>
      <c r="G133" s="60">
        <f t="shared" si="2"/>
        <v>320.5</v>
      </c>
    </row>
    <row r="134" spans="1:7" x14ac:dyDescent="0.2">
      <c r="A134" s="56" t="s">
        <v>311</v>
      </c>
      <c r="B134" s="56" t="s">
        <v>312</v>
      </c>
      <c r="D134" s="56" t="s">
        <v>313</v>
      </c>
      <c r="E134" s="75">
        <v>1672.5</v>
      </c>
      <c r="F134" s="75">
        <v>0</v>
      </c>
      <c r="G134" s="60">
        <f t="shared" si="2"/>
        <v>1672.5</v>
      </c>
    </row>
    <row r="135" spans="1:7" x14ac:dyDescent="0.2">
      <c r="A135" s="56" t="s">
        <v>314</v>
      </c>
      <c r="B135" s="56" t="s">
        <v>315</v>
      </c>
      <c r="D135" s="56" t="s">
        <v>316</v>
      </c>
      <c r="E135" s="75">
        <v>193.5</v>
      </c>
      <c r="F135" s="75">
        <v>0</v>
      </c>
      <c r="G135" s="60">
        <f t="shared" si="2"/>
        <v>193.5</v>
      </c>
    </row>
    <row r="136" spans="1:7" x14ac:dyDescent="0.2">
      <c r="A136" s="56" t="s">
        <v>317</v>
      </c>
      <c r="B136" s="56" t="s">
        <v>315</v>
      </c>
      <c r="D136" s="56" t="s">
        <v>318</v>
      </c>
      <c r="E136" s="75">
        <v>1534.6</v>
      </c>
      <c r="F136" s="75">
        <v>0</v>
      </c>
      <c r="G136" s="60">
        <f t="shared" si="2"/>
        <v>1534.6</v>
      </c>
    </row>
    <row r="137" spans="1:7" x14ac:dyDescent="0.2">
      <c r="A137" s="56" t="s">
        <v>319</v>
      </c>
      <c r="B137" s="56" t="s">
        <v>315</v>
      </c>
      <c r="D137" s="56" t="s">
        <v>320</v>
      </c>
      <c r="E137" s="75">
        <v>291.8</v>
      </c>
      <c r="F137" s="75">
        <v>0</v>
      </c>
      <c r="G137" s="60">
        <f t="shared" si="2"/>
        <v>291.8</v>
      </c>
    </row>
    <row r="138" spans="1:7" x14ac:dyDescent="0.2">
      <c r="A138" s="56" t="s">
        <v>321</v>
      </c>
      <c r="B138" s="56" t="s">
        <v>315</v>
      </c>
      <c r="D138" s="56" t="s">
        <v>586</v>
      </c>
      <c r="E138" s="75">
        <v>232.8</v>
      </c>
      <c r="F138" s="75">
        <v>0</v>
      </c>
      <c r="G138" s="60">
        <f t="shared" si="2"/>
        <v>232.8</v>
      </c>
    </row>
    <row r="139" spans="1:7" x14ac:dyDescent="0.2">
      <c r="A139" s="56" t="s">
        <v>323</v>
      </c>
      <c r="B139" s="56" t="s">
        <v>324</v>
      </c>
      <c r="D139" s="56" t="s">
        <v>325</v>
      </c>
      <c r="E139" s="75">
        <v>16258.2</v>
      </c>
      <c r="F139" s="75">
        <v>0</v>
      </c>
      <c r="G139" s="60">
        <f t="shared" si="2"/>
        <v>16258.2</v>
      </c>
    </row>
    <row r="140" spans="1:7" x14ac:dyDescent="0.2">
      <c r="A140" s="56" t="s">
        <v>326</v>
      </c>
      <c r="B140" s="56" t="s">
        <v>324</v>
      </c>
      <c r="D140" s="56" t="s">
        <v>587</v>
      </c>
      <c r="E140" s="75">
        <v>10418.6</v>
      </c>
      <c r="F140" s="75">
        <v>0</v>
      </c>
      <c r="G140" s="60">
        <f t="shared" si="2"/>
        <v>10418.6</v>
      </c>
    </row>
    <row r="141" spans="1:7" x14ac:dyDescent="0.2">
      <c r="A141" s="56" t="s">
        <v>328</v>
      </c>
      <c r="B141" s="56" t="s">
        <v>329</v>
      </c>
      <c r="D141" s="56" t="s">
        <v>588</v>
      </c>
      <c r="E141" s="75">
        <v>718.9</v>
      </c>
      <c r="F141" s="75">
        <v>0</v>
      </c>
      <c r="G141" s="60">
        <f t="shared" si="2"/>
        <v>718.9</v>
      </c>
    </row>
    <row r="142" spans="1:7" x14ac:dyDescent="0.2">
      <c r="A142" s="56" t="s">
        <v>331</v>
      </c>
      <c r="B142" s="56" t="s">
        <v>329</v>
      </c>
      <c r="D142" s="56" t="s">
        <v>332</v>
      </c>
      <c r="E142" s="75">
        <v>489.2</v>
      </c>
      <c r="F142" s="75">
        <v>0</v>
      </c>
      <c r="G142" s="60">
        <f t="shared" si="2"/>
        <v>489.2</v>
      </c>
    </row>
    <row r="143" spans="1:7" x14ac:dyDescent="0.2">
      <c r="A143" s="56" t="s">
        <v>333</v>
      </c>
      <c r="B143" s="56" t="s">
        <v>334</v>
      </c>
      <c r="D143" s="56" t="s">
        <v>335</v>
      </c>
      <c r="E143" s="75">
        <v>445</v>
      </c>
      <c r="F143" s="75">
        <v>0</v>
      </c>
      <c r="G143" s="60">
        <f t="shared" si="2"/>
        <v>445</v>
      </c>
    </row>
    <row r="144" spans="1:7" x14ac:dyDescent="0.2">
      <c r="A144" s="56" t="s">
        <v>336</v>
      </c>
      <c r="B144" s="56" t="s">
        <v>334</v>
      </c>
      <c r="D144" s="56" t="s">
        <v>337</v>
      </c>
      <c r="E144" s="75">
        <v>1133</v>
      </c>
      <c r="F144" s="75">
        <v>0</v>
      </c>
      <c r="G144" s="60">
        <f t="shared" si="2"/>
        <v>1133</v>
      </c>
    </row>
    <row r="145" spans="1:7" x14ac:dyDescent="0.2">
      <c r="A145" s="56" t="s">
        <v>338</v>
      </c>
      <c r="B145" s="56" t="s">
        <v>334</v>
      </c>
      <c r="D145" s="56" t="s">
        <v>339</v>
      </c>
      <c r="E145" s="75">
        <v>376.3</v>
      </c>
      <c r="F145" s="75">
        <v>0</v>
      </c>
      <c r="G145" s="60">
        <f t="shared" si="2"/>
        <v>376.3</v>
      </c>
    </row>
    <row r="146" spans="1:7" x14ac:dyDescent="0.2">
      <c r="A146" s="56" t="s">
        <v>340</v>
      </c>
      <c r="B146" s="56" t="s">
        <v>341</v>
      </c>
      <c r="D146" s="56" t="s">
        <v>342</v>
      </c>
      <c r="E146" s="75">
        <v>400.7</v>
      </c>
      <c r="F146" s="75">
        <v>0</v>
      </c>
      <c r="G146" s="60">
        <f t="shared" si="2"/>
        <v>400.7</v>
      </c>
    </row>
    <row r="147" spans="1:7" x14ac:dyDescent="0.2">
      <c r="A147" s="56" t="s">
        <v>343</v>
      </c>
      <c r="B147" s="56" t="s">
        <v>341</v>
      </c>
      <c r="D147" s="56" t="s">
        <v>344</v>
      </c>
      <c r="E147" s="75">
        <v>2686.4</v>
      </c>
      <c r="F147" s="75">
        <v>90</v>
      </c>
      <c r="G147" s="60">
        <f t="shared" si="2"/>
        <v>2776.4</v>
      </c>
    </row>
    <row r="148" spans="1:7" x14ac:dyDescent="0.2">
      <c r="A148" s="56" t="s">
        <v>345</v>
      </c>
      <c r="B148" s="56" t="s">
        <v>341</v>
      </c>
      <c r="D148" s="56" t="s">
        <v>589</v>
      </c>
      <c r="E148" s="75">
        <v>319.39999999999998</v>
      </c>
      <c r="F148" s="75">
        <v>0</v>
      </c>
      <c r="G148" s="60">
        <f t="shared" si="2"/>
        <v>319.39999999999998</v>
      </c>
    </row>
    <row r="149" spans="1:7" x14ac:dyDescent="0.2">
      <c r="A149" s="56" t="s">
        <v>347</v>
      </c>
      <c r="B149" s="56" t="s">
        <v>348</v>
      </c>
      <c r="D149" s="56" t="s">
        <v>590</v>
      </c>
      <c r="E149" s="75">
        <v>162.19999999999999</v>
      </c>
      <c r="F149" s="75">
        <v>0</v>
      </c>
      <c r="G149" s="60">
        <f t="shared" si="2"/>
        <v>162.19999999999999</v>
      </c>
    </row>
    <row r="150" spans="1:7" x14ac:dyDescent="0.2">
      <c r="A150" s="56" t="s">
        <v>350</v>
      </c>
      <c r="B150" s="56" t="s">
        <v>348</v>
      </c>
      <c r="D150" s="56" t="s">
        <v>351</v>
      </c>
      <c r="E150" s="75">
        <v>230</v>
      </c>
      <c r="F150" s="75">
        <v>0</v>
      </c>
      <c r="G150" s="60">
        <f t="shared" si="2"/>
        <v>230</v>
      </c>
    </row>
    <row r="151" spans="1:7" x14ac:dyDescent="0.2">
      <c r="A151" s="56" t="s">
        <v>352</v>
      </c>
      <c r="B151" s="56" t="s">
        <v>348</v>
      </c>
      <c r="D151" s="56" t="s">
        <v>591</v>
      </c>
      <c r="E151" s="75">
        <v>634.70000000000005</v>
      </c>
      <c r="F151" s="75">
        <v>0</v>
      </c>
      <c r="G151" s="60">
        <f t="shared" si="2"/>
        <v>634.70000000000005</v>
      </c>
    </row>
    <row r="152" spans="1:7" x14ac:dyDescent="0.2">
      <c r="A152" s="56" t="s">
        <v>354</v>
      </c>
      <c r="B152" s="56" t="s">
        <v>355</v>
      </c>
      <c r="D152" s="56" t="s">
        <v>356</v>
      </c>
      <c r="E152" s="75">
        <v>81.599999999999994</v>
      </c>
      <c r="F152" s="75">
        <v>0</v>
      </c>
      <c r="G152" s="60">
        <f t="shared" si="2"/>
        <v>81.599999999999994</v>
      </c>
    </row>
    <row r="153" spans="1:7" x14ac:dyDescent="0.2">
      <c r="A153" s="56" t="s">
        <v>357</v>
      </c>
      <c r="B153" s="56" t="s">
        <v>358</v>
      </c>
      <c r="D153" s="56" t="s">
        <v>359</v>
      </c>
      <c r="E153" s="75">
        <v>912.6</v>
      </c>
      <c r="F153" s="75">
        <v>0</v>
      </c>
      <c r="G153" s="60">
        <f t="shared" si="2"/>
        <v>912.6</v>
      </c>
    </row>
    <row r="154" spans="1:7" x14ac:dyDescent="0.2">
      <c r="A154" s="56" t="s">
        <v>360</v>
      </c>
      <c r="B154" s="56" t="s">
        <v>358</v>
      </c>
      <c r="D154" s="56" t="s">
        <v>592</v>
      </c>
      <c r="E154" s="75">
        <v>206.6</v>
      </c>
      <c r="F154" s="75">
        <v>0</v>
      </c>
      <c r="G154" s="60">
        <f t="shared" si="2"/>
        <v>206.6</v>
      </c>
    </row>
    <row r="155" spans="1:7" x14ac:dyDescent="0.2">
      <c r="A155" s="56" t="s">
        <v>362</v>
      </c>
      <c r="B155" s="56" t="s">
        <v>363</v>
      </c>
      <c r="D155" s="56" t="s">
        <v>364</v>
      </c>
      <c r="E155" s="75">
        <v>827.8</v>
      </c>
      <c r="F155" s="75">
        <v>0</v>
      </c>
      <c r="G155" s="60">
        <f t="shared" si="2"/>
        <v>827.8</v>
      </c>
    </row>
    <row r="156" spans="1:7" x14ac:dyDescent="0.2">
      <c r="A156" s="56" t="s">
        <v>365</v>
      </c>
      <c r="B156" s="56" t="s">
        <v>363</v>
      </c>
      <c r="D156" s="56" t="s">
        <v>593</v>
      </c>
      <c r="E156" s="75">
        <v>148</v>
      </c>
      <c r="F156" s="75">
        <v>0</v>
      </c>
      <c r="G156" s="60">
        <f t="shared" si="2"/>
        <v>148</v>
      </c>
    </row>
    <row r="157" spans="1:7" x14ac:dyDescent="0.2">
      <c r="A157" s="56" t="s">
        <v>367</v>
      </c>
      <c r="B157" s="56" t="s">
        <v>368</v>
      </c>
      <c r="D157" s="56" t="s">
        <v>369</v>
      </c>
      <c r="E157" s="75">
        <v>3519.6</v>
      </c>
      <c r="F157" s="75">
        <v>0</v>
      </c>
      <c r="G157" s="60">
        <f t="shared" si="2"/>
        <v>3519.6</v>
      </c>
    </row>
    <row r="158" spans="1:7" x14ac:dyDescent="0.2">
      <c r="A158" s="56" t="s">
        <v>370</v>
      </c>
      <c r="B158" s="56" t="s">
        <v>371</v>
      </c>
      <c r="D158" s="56" t="s">
        <v>594</v>
      </c>
      <c r="E158" s="75">
        <v>371.3</v>
      </c>
      <c r="F158" s="75">
        <v>0</v>
      </c>
      <c r="G158" s="60">
        <f t="shared" si="2"/>
        <v>371.3</v>
      </c>
    </row>
    <row r="159" spans="1:7" x14ac:dyDescent="0.2">
      <c r="A159" s="56" t="s">
        <v>373</v>
      </c>
      <c r="B159" s="56" t="s">
        <v>371</v>
      </c>
      <c r="D159" s="56" t="s">
        <v>374</v>
      </c>
      <c r="E159" s="75">
        <v>2273.8000000000002</v>
      </c>
      <c r="F159" s="75">
        <v>0</v>
      </c>
      <c r="G159" s="60">
        <f t="shared" si="2"/>
        <v>2273.8000000000002</v>
      </c>
    </row>
    <row r="160" spans="1:7" x14ac:dyDescent="0.2">
      <c r="A160" s="56" t="s">
        <v>375</v>
      </c>
      <c r="B160" s="56" t="s">
        <v>376</v>
      </c>
      <c r="D160" s="56" t="s">
        <v>377</v>
      </c>
      <c r="E160" s="75">
        <v>383.6</v>
      </c>
      <c r="F160" s="75">
        <v>0</v>
      </c>
      <c r="G160" s="60">
        <f t="shared" si="2"/>
        <v>383.6</v>
      </c>
    </row>
    <row r="161" spans="1:7" x14ac:dyDescent="0.2">
      <c r="A161" s="56" t="s">
        <v>378</v>
      </c>
      <c r="B161" s="56" t="s">
        <v>376</v>
      </c>
      <c r="D161" s="56" t="s">
        <v>379</v>
      </c>
      <c r="E161" s="75">
        <v>106.3</v>
      </c>
      <c r="F161" s="75">
        <v>0</v>
      </c>
      <c r="G161" s="60">
        <f t="shared" si="2"/>
        <v>106.3</v>
      </c>
    </row>
    <row r="162" spans="1:7" x14ac:dyDescent="0.2">
      <c r="A162" s="56" t="s">
        <v>380</v>
      </c>
      <c r="B162" s="56" t="s">
        <v>376</v>
      </c>
      <c r="D162" s="56" t="s">
        <v>381</v>
      </c>
      <c r="E162" s="75">
        <v>222.4</v>
      </c>
      <c r="F162" s="75">
        <v>0</v>
      </c>
      <c r="G162" s="60">
        <f t="shared" si="2"/>
        <v>222.4</v>
      </c>
    </row>
    <row r="163" spans="1:7" x14ac:dyDescent="0.2">
      <c r="A163" s="56" t="s">
        <v>382</v>
      </c>
      <c r="B163" s="56" t="s">
        <v>376</v>
      </c>
      <c r="D163" s="56" t="s">
        <v>383</v>
      </c>
      <c r="E163" s="75">
        <v>127.5</v>
      </c>
      <c r="F163" s="75">
        <v>0</v>
      </c>
      <c r="G163" s="60">
        <f t="shared" si="2"/>
        <v>127.5</v>
      </c>
    </row>
    <row r="164" spans="1:7" x14ac:dyDescent="0.2">
      <c r="A164" s="56" t="s">
        <v>384</v>
      </c>
      <c r="B164" s="56" t="s">
        <v>376</v>
      </c>
      <c r="D164" s="56" t="s">
        <v>385</v>
      </c>
      <c r="E164" s="75">
        <v>92.6</v>
      </c>
      <c r="F164" s="75">
        <v>0</v>
      </c>
      <c r="G164" s="60">
        <f t="shared" si="2"/>
        <v>92.6</v>
      </c>
    </row>
    <row r="165" spans="1:7" x14ac:dyDescent="0.2">
      <c r="A165" s="56" t="s">
        <v>386</v>
      </c>
      <c r="B165" s="56" t="s">
        <v>387</v>
      </c>
      <c r="D165" s="56" t="s">
        <v>595</v>
      </c>
      <c r="E165" s="75">
        <v>1901.1</v>
      </c>
      <c r="F165" s="75">
        <v>0</v>
      </c>
      <c r="G165" s="60">
        <f t="shared" si="2"/>
        <v>1901.1</v>
      </c>
    </row>
    <row r="166" spans="1:7" x14ac:dyDescent="0.2">
      <c r="A166" s="56" t="s">
        <v>389</v>
      </c>
      <c r="B166" s="56" t="s">
        <v>387</v>
      </c>
      <c r="D166" s="56" t="s">
        <v>390</v>
      </c>
      <c r="E166" s="75">
        <v>2082.9</v>
      </c>
      <c r="F166" s="75">
        <v>0</v>
      </c>
      <c r="G166" s="60">
        <f t="shared" si="2"/>
        <v>2082.9</v>
      </c>
    </row>
    <row r="167" spans="1:7" x14ac:dyDescent="0.2">
      <c r="A167" s="56" t="s">
        <v>391</v>
      </c>
      <c r="B167" s="56" t="s">
        <v>387</v>
      </c>
      <c r="D167" s="56" t="s">
        <v>596</v>
      </c>
      <c r="E167" s="75">
        <v>2575.3000000000002</v>
      </c>
      <c r="F167" s="75">
        <v>0</v>
      </c>
      <c r="G167" s="60">
        <f t="shared" si="2"/>
        <v>2575.3000000000002</v>
      </c>
    </row>
    <row r="168" spans="1:7" x14ac:dyDescent="0.2">
      <c r="A168" s="56" t="s">
        <v>393</v>
      </c>
      <c r="B168" s="56" t="s">
        <v>387</v>
      </c>
      <c r="D168" s="56" t="s">
        <v>394</v>
      </c>
      <c r="E168" s="75">
        <v>7599.6</v>
      </c>
      <c r="F168" s="75">
        <v>0</v>
      </c>
      <c r="G168" s="60">
        <f t="shared" si="2"/>
        <v>7599.6</v>
      </c>
    </row>
    <row r="169" spans="1:7" x14ac:dyDescent="0.2">
      <c r="A169" s="56" t="s">
        <v>395</v>
      </c>
      <c r="B169" s="56" t="s">
        <v>387</v>
      </c>
      <c r="D169" s="56" t="s">
        <v>597</v>
      </c>
      <c r="E169" s="75">
        <v>3943.2</v>
      </c>
      <c r="F169" s="75">
        <v>0</v>
      </c>
      <c r="G169" s="60">
        <f t="shared" si="2"/>
        <v>3943.2</v>
      </c>
    </row>
    <row r="170" spans="1:7" x14ac:dyDescent="0.2">
      <c r="A170" s="56" t="s">
        <v>397</v>
      </c>
      <c r="B170" s="56" t="s">
        <v>387</v>
      </c>
      <c r="D170" s="56" t="s">
        <v>398</v>
      </c>
      <c r="E170" s="75">
        <v>22383.8</v>
      </c>
      <c r="F170" s="75">
        <v>0</v>
      </c>
      <c r="G170" s="60">
        <f t="shared" si="2"/>
        <v>22383.8</v>
      </c>
    </row>
    <row r="171" spans="1:7" x14ac:dyDescent="0.2">
      <c r="A171" s="56" t="s">
        <v>399</v>
      </c>
      <c r="B171" s="56" t="s">
        <v>387</v>
      </c>
      <c r="D171" s="56" t="s">
        <v>598</v>
      </c>
      <c r="E171" s="75">
        <v>1160.9000000000001</v>
      </c>
      <c r="F171" s="75">
        <v>0</v>
      </c>
      <c r="G171" s="60">
        <f t="shared" si="2"/>
        <v>1160.9000000000001</v>
      </c>
    </row>
    <row r="172" spans="1:7" x14ac:dyDescent="0.2">
      <c r="A172" s="56" t="s">
        <v>401</v>
      </c>
      <c r="B172" s="56" t="s">
        <v>387</v>
      </c>
      <c r="D172" s="56" t="s">
        <v>599</v>
      </c>
      <c r="E172" s="75">
        <v>2322</v>
      </c>
      <c r="F172" s="75">
        <v>0</v>
      </c>
      <c r="G172" s="60">
        <f t="shared" si="2"/>
        <v>2322</v>
      </c>
    </row>
    <row r="173" spans="1:7" x14ac:dyDescent="0.2">
      <c r="A173" s="56" t="s">
        <v>403</v>
      </c>
      <c r="B173" s="56" t="s">
        <v>387</v>
      </c>
      <c r="D173" s="56" t="s">
        <v>600</v>
      </c>
      <c r="E173" s="75">
        <v>958.8</v>
      </c>
      <c r="F173" s="75">
        <v>0</v>
      </c>
      <c r="G173" s="60">
        <f t="shared" si="2"/>
        <v>958.8</v>
      </c>
    </row>
    <row r="174" spans="1:7" x14ac:dyDescent="0.2">
      <c r="A174" s="56" t="s">
        <v>405</v>
      </c>
      <c r="B174" s="56" t="s">
        <v>387</v>
      </c>
      <c r="D174" s="56" t="s">
        <v>601</v>
      </c>
      <c r="E174" s="75">
        <v>178</v>
      </c>
      <c r="F174" s="75">
        <v>0</v>
      </c>
      <c r="G174" s="60">
        <f t="shared" si="2"/>
        <v>178</v>
      </c>
    </row>
    <row r="175" spans="1:7" x14ac:dyDescent="0.2">
      <c r="A175" s="56" t="s">
        <v>407</v>
      </c>
      <c r="B175" s="56" t="s">
        <v>387</v>
      </c>
      <c r="D175" s="56" t="s">
        <v>602</v>
      </c>
      <c r="E175" s="75">
        <v>215.7</v>
      </c>
      <c r="F175" s="75">
        <v>0</v>
      </c>
      <c r="G175" s="60">
        <f t="shared" si="2"/>
        <v>215.7</v>
      </c>
    </row>
    <row r="176" spans="1:7" x14ac:dyDescent="0.2">
      <c r="A176" s="56" t="s">
        <v>409</v>
      </c>
      <c r="B176" s="56" t="s">
        <v>387</v>
      </c>
      <c r="D176" s="56" t="s">
        <v>410</v>
      </c>
      <c r="E176" s="75">
        <v>74.7</v>
      </c>
      <c r="F176" s="75">
        <v>0</v>
      </c>
      <c r="G176" s="60">
        <f t="shared" si="2"/>
        <v>74.7</v>
      </c>
    </row>
    <row r="177" spans="1:7" x14ac:dyDescent="0.2">
      <c r="A177" s="56" t="s">
        <v>411</v>
      </c>
      <c r="B177" s="56" t="s">
        <v>412</v>
      </c>
      <c r="D177" s="56" t="s">
        <v>413</v>
      </c>
      <c r="E177" s="75">
        <v>872.6</v>
      </c>
      <c r="F177" s="75">
        <v>0</v>
      </c>
      <c r="G177" s="60">
        <f t="shared" si="2"/>
        <v>872.6</v>
      </c>
    </row>
    <row r="178" spans="1:7" x14ac:dyDescent="0.2">
      <c r="A178" s="56" t="s">
        <v>414</v>
      </c>
      <c r="B178" s="56" t="s">
        <v>412</v>
      </c>
      <c r="D178" s="56" t="s">
        <v>415</v>
      </c>
      <c r="E178" s="75">
        <v>748.7</v>
      </c>
      <c r="F178" s="75">
        <v>0</v>
      </c>
      <c r="G178" s="60">
        <f t="shared" si="2"/>
        <v>748.7</v>
      </c>
    </row>
    <row r="179" spans="1:7" x14ac:dyDescent="0.2">
      <c r="A179" s="56" t="s">
        <v>416</v>
      </c>
      <c r="B179" s="56" t="s">
        <v>412</v>
      </c>
      <c r="D179" s="56" t="s">
        <v>417</v>
      </c>
      <c r="E179" s="75">
        <v>199.4</v>
      </c>
      <c r="F179" s="75">
        <v>0</v>
      </c>
      <c r="G179" s="60">
        <f t="shared" si="2"/>
        <v>199.4</v>
      </c>
    </row>
    <row r="180" spans="1:7" x14ac:dyDescent="0.2">
      <c r="A180" s="56" t="s">
        <v>418</v>
      </c>
      <c r="B180" s="56" t="s">
        <v>412</v>
      </c>
      <c r="D180" s="56" t="s">
        <v>419</v>
      </c>
      <c r="E180" s="75">
        <v>61.1</v>
      </c>
      <c r="F180" s="75">
        <v>0</v>
      </c>
      <c r="G180" s="60">
        <f t="shared" si="2"/>
        <v>61.1</v>
      </c>
    </row>
    <row r="181" spans="1:7" x14ac:dyDescent="0.2">
      <c r="A181" s="56" t="s">
        <v>454</v>
      </c>
      <c r="D181" s="56" t="s">
        <v>603</v>
      </c>
      <c r="E181" s="75">
        <v>0</v>
      </c>
      <c r="F181" s="75">
        <v>0</v>
      </c>
      <c r="G181" s="60">
        <f t="shared" si="2"/>
        <v>0</v>
      </c>
    </row>
    <row r="182" spans="1:7" x14ac:dyDescent="0.2">
      <c r="B182" s="56" t="s">
        <v>467</v>
      </c>
      <c r="D182" s="56" t="s">
        <v>468</v>
      </c>
      <c r="E182" s="75">
        <f>SUM(E3:E181)</f>
        <v>878716.79999999981</v>
      </c>
      <c r="F182" s="75">
        <f>SUM(F3:F181)</f>
        <v>17377</v>
      </c>
      <c r="G182" s="62">
        <f t="shared" ref="G182" si="3">SUM(G3:G181)</f>
        <v>896093.79999999981</v>
      </c>
    </row>
  </sheetData>
  <autoFilter ref="A2:H182"/>
  <mergeCells count="1">
    <mergeCell ref="B1:D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J58"/>
  <sheetViews>
    <sheetView workbookViewId="0">
      <selection sqref="A1:XFD1048576"/>
    </sheetView>
  </sheetViews>
  <sheetFormatPr defaultRowHeight="12.75" x14ac:dyDescent="0.2"/>
  <cols>
    <col min="1" max="1" width="1.28515625" style="46" customWidth="1"/>
    <col min="2" max="2" width="4.85546875" style="46" customWidth="1"/>
    <col min="3" max="3" width="5.28515625" style="46" customWidth="1"/>
    <col min="4" max="4" width="6.28515625" style="46" customWidth="1"/>
    <col min="5" max="5" width="4.5703125" style="46" customWidth="1"/>
    <col min="6" max="6" width="1.140625" style="46" customWidth="1"/>
    <col min="7" max="7" width="2.7109375" style="46" customWidth="1"/>
    <col min="8" max="8" width="0.42578125" style="46" customWidth="1"/>
    <col min="9" max="9" width="2.7109375" style="46" customWidth="1"/>
    <col min="10" max="10" width="0.42578125" style="46" customWidth="1"/>
    <col min="11" max="11" width="2.7109375" style="46" customWidth="1"/>
    <col min="12" max="12" width="0.42578125" style="46" customWidth="1"/>
    <col min="13" max="13" width="2.42578125" style="46" customWidth="1"/>
    <col min="14" max="14" width="1.42578125" style="46" customWidth="1"/>
    <col min="15" max="15" width="9.140625" style="46"/>
    <col min="16" max="16" width="2.7109375" style="46" customWidth="1"/>
    <col min="17" max="17" width="1.28515625" style="46" customWidth="1"/>
    <col min="18" max="18" width="2.42578125" style="46" customWidth="1"/>
    <col min="19" max="19" width="0.42578125" style="46" customWidth="1"/>
    <col min="20" max="20" width="2.5703125" style="46" customWidth="1"/>
    <col min="21" max="21" width="0.42578125" style="46" customWidth="1"/>
    <col min="22" max="22" width="2.42578125" style="46" customWidth="1"/>
    <col min="23" max="23" width="0.42578125" style="46" customWidth="1"/>
    <col min="24" max="24" width="2.42578125" style="46" customWidth="1"/>
    <col min="25" max="25" width="3.42578125" style="46" customWidth="1"/>
    <col min="26" max="26" width="3.5703125" style="46" hidden="1" customWidth="1"/>
    <col min="27" max="27" width="0.42578125" style="46" customWidth="1"/>
    <col min="28" max="28" width="2.5703125" style="46" customWidth="1"/>
    <col min="29" max="29" width="0.42578125" style="46" customWidth="1"/>
    <col min="30" max="30" width="2.5703125" style="46" customWidth="1"/>
    <col min="31" max="31" width="0.42578125" style="46" customWidth="1"/>
    <col min="32" max="32" width="2.5703125" style="46" customWidth="1"/>
    <col min="33" max="33" width="0.42578125" style="46" customWidth="1"/>
    <col min="34" max="34" width="2.42578125" style="46" customWidth="1"/>
    <col min="35" max="35" width="12.5703125" style="46" customWidth="1"/>
    <col min="36" max="36" width="9.140625" style="46"/>
  </cols>
  <sheetData>
    <row r="1" spans="1:35" x14ac:dyDescent="0.2">
      <c r="A1" s="135" t="s">
        <v>516</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row>
    <row r="2" spans="1:35" x14ac:dyDescent="0.2">
      <c r="A2" s="135" t="s">
        <v>515</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row>
    <row r="3" spans="1:35" x14ac:dyDescent="0.2">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row>
    <row r="4" spans="1:35" x14ac:dyDescent="0.2">
      <c r="A4" s="133" t="s">
        <v>514</v>
      </c>
      <c r="B4" s="133"/>
      <c r="C4" s="133"/>
      <c r="D4" s="131" t="s">
        <v>513</v>
      </c>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row>
    <row r="5" spans="1:35" x14ac:dyDescent="0.2">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row>
    <row r="6" spans="1:35" x14ac:dyDescent="0.2">
      <c r="A6" s="133" t="s">
        <v>512</v>
      </c>
      <c r="B6" s="133"/>
      <c r="C6" s="133"/>
      <c r="D6" s="134" t="s">
        <v>605</v>
      </c>
      <c r="E6" s="134"/>
      <c r="F6" s="134"/>
      <c r="G6" s="134"/>
      <c r="H6" s="134"/>
      <c r="I6" s="134"/>
      <c r="J6" s="134"/>
      <c r="K6" s="134"/>
      <c r="L6" s="134"/>
      <c r="M6" s="134"/>
      <c r="N6" s="134"/>
      <c r="O6" s="134"/>
      <c r="P6" s="134"/>
      <c r="Q6" s="134"/>
      <c r="R6" s="134"/>
      <c r="S6" s="134"/>
      <c r="T6" s="134"/>
      <c r="U6" s="130"/>
      <c r="V6" s="130"/>
      <c r="W6" s="130"/>
      <c r="X6" s="130"/>
      <c r="Y6" s="130"/>
      <c r="Z6" s="130"/>
      <c r="AA6" s="130"/>
      <c r="AB6" s="130"/>
      <c r="AC6" s="130"/>
      <c r="AD6" s="130"/>
      <c r="AE6" s="130"/>
      <c r="AF6" s="130"/>
      <c r="AG6" s="130"/>
      <c r="AH6" s="130"/>
      <c r="AI6" s="130"/>
    </row>
    <row r="7" spans="1:35" x14ac:dyDescent="0.2">
      <c r="A7" s="130"/>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row>
    <row r="8" spans="1:35" x14ac:dyDescent="0.2">
      <c r="A8" s="133" t="s">
        <v>511</v>
      </c>
      <c r="B8" s="133"/>
      <c r="C8" s="133"/>
      <c r="D8" s="131" t="s">
        <v>510</v>
      </c>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row>
    <row r="9" spans="1:35" x14ac:dyDescent="0.2">
      <c r="A9" s="130"/>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row>
    <row r="10" spans="1:35" x14ac:dyDescent="0.2">
      <c r="A10" s="133" t="s">
        <v>509</v>
      </c>
      <c r="B10" s="133"/>
      <c r="C10" s="133"/>
      <c r="D10" s="133"/>
      <c r="E10" s="133"/>
      <c r="F10" s="133"/>
      <c r="G10" s="140" t="s">
        <v>604</v>
      </c>
      <c r="H10" s="139"/>
      <c r="I10" s="139"/>
      <c r="J10" s="139"/>
      <c r="K10" s="139"/>
      <c r="L10" s="139"/>
      <c r="M10" s="139"/>
      <c r="N10" s="139"/>
      <c r="O10" s="139"/>
      <c r="P10" s="139"/>
      <c r="Q10" s="139"/>
      <c r="R10" s="139"/>
      <c r="S10" s="139"/>
      <c r="T10" s="139"/>
      <c r="U10" s="139"/>
      <c r="V10" s="139"/>
      <c r="W10" s="139"/>
      <c r="X10" s="139"/>
      <c r="Y10" s="142"/>
      <c r="Z10" s="130"/>
      <c r="AA10" s="130"/>
      <c r="AB10" s="130"/>
      <c r="AC10" s="130"/>
      <c r="AD10" s="130"/>
      <c r="AE10" s="130"/>
      <c r="AF10" s="130"/>
      <c r="AG10" s="130"/>
      <c r="AH10" s="130"/>
      <c r="AI10" s="130"/>
    </row>
    <row r="11" spans="1:35" x14ac:dyDescent="0.2">
      <c r="A11" s="130"/>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row>
    <row r="12" spans="1:35" x14ac:dyDescent="0.2">
      <c r="A12" s="133" t="s">
        <v>508</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row>
    <row r="13" spans="1:35"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row>
    <row r="14" spans="1:35" x14ac:dyDescent="0.2">
      <c r="A14" s="130"/>
      <c r="B14" s="130"/>
      <c r="C14" s="131" t="s">
        <v>507</v>
      </c>
      <c r="D14" s="131"/>
      <c r="E14" s="131"/>
      <c r="F14" s="131"/>
      <c r="G14" s="134" t="s">
        <v>517</v>
      </c>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0"/>
      <c r="AF14" s="130"/>
      <c r="AG14" s="130"/>
      <c r="AH14" s="130"/>
      <c r="AI14" s="130"/>
    </row>
    <row r="15" spans="1:35"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row>
    <row r="16" spans="1:35" x14ac:dyDescent="0.2">
      <c r="A16" s="130"/>
      <c r="B16" s="130"/>
      <c r="C16" s="131" t="s">
        <v>506</v>
      </c>
      <c r="D16" s="131"/>
      <c r="E16" s="131"/>
      <c r="F16" s="131"/>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row>
    <row r="17" spans="1:35"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row>
    <row r="18" spans="1:35" x14ac:dyDescent="0.2">
      <c r="A18" s="130"/>
      <c r="B18" s="130"/>
      <c r="C18" s="130"/>
      <c r="D18" s="47"/>
      <c r="E18" s="141" t="s">
        <v>505</v>
      </c>
      <c r="F18" s="141"/>
      <c r="G18" s="141"/>
      <c r="H18" s="141"/>
      <c r="I18" s="141"/>
      <c r="J18" s="141"/>
      <c r="K18" s="141"/>
      <c r="L18" s="141"/>
      <c r="M18" s="141"/>
      <c r="N18" s="134" t="s">
        <v>504</v>
      </c>
      <c r="O18" s="134"/>
      <c r="P18" s="134"/>
      <c r="Q18" s="134"/>
      <c r="S18" s="134" t="s">
        <v>518</v>
      </c>
      <c r="T18" s="134"/>
      <c r="U18" s="134"/>
      <c r="V18" s="134"/>
      <c r="W18" s="131" t="s">
        <v>503</v>
      </c>
      <c r="X18" s="131"/>
      <c r="Y18" s="131"/>
      <c r="AB18" s="134"/>
      <c r="AC18" s="134"/>
      <c r="AD18" s="134"/>
      <c r="AE18" s="131" t="s">
        <v>502</v>
      </c>
      <c r="AF18" s="131"/>
      <c r="AG18" s="131"/>
      <c r="AH18" s="131"/>
    </row>
    <row r="19" spans="1:35"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row>
    <row r="20" spans="1:35" x14ac:dyDescent="0.2">
      <c r="A20" s="130"/>
      <c r="B20" s="130"/>
      <c r="C20" s="130" t="s">
        <v>501</v>
      </c>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row>
    <row r="21" spans="1:35" x14ac:dyDescent="0.2">
      <c r="A21" s="130"/>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row>
    <row r="22" spans="1:35" x14ac:dyDescent="0.2">
      <c r="A22" s="130"/>
      <c r="B22" s="130"/>
      <c r="C22" s="130"/>
      <c r="D22" s="130" t="s">
        <v>500</v>
      </c>
      <c r="E22" s="130"/>
      <c r="G22" s="47"/>
      <c r="I22" s="47"/>
      <c r="K22" s="47"/>
      <c r="M22" s="47"/>
      <c r="O22" s="130" t="s">
        <v>499</v>
      </c>
      <c r="P22" s="130"/>
      <c r="R22" s="47" t="s">
        <v>519</v>
      </c>
      <c r="T22" s="47" t="s">
        <v>520</v>
      </c>
      <c r="V22" s="47" t="s">
        <v>521</v>
      </c>
      <c r="X22" s="47" t="s">
        <v>522</v>
      </c>
      <c r="Y22" s="130" t="s">
        <v>498</v>
      </c>
      <c r="Z22" s="130"/>
      <c r="AB22" s="47"/>
      <c r="AD22" s="47"/>
      <c r="AF22" s="47"/>
      <c r="AH22" s="47"/>
    </row>
    <row r="23" spans="1:35" x14ac:dyDescent="0.2">
      <c r="A23" s="130"/>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row>
    <row r="24" spans="1:35" x14ac:dyDescent="0.2">
      <c r="A24" s="130"/>
      <c r="B24" s="130"/>
      <c r="C24" s="131" t="s">
        <v>497</v>
      </c>
      <c r="D24" s="131"/>
      <c r="E24" s="131"/>
      <c r="F24" s="131"/>
      <c r="G24" s="131"/>
      <c r="H24" s="131"/>
      <c r="I24" s="138" t="s">
        <v>614</v>
      </c>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row>
    <row r="25" spans="1:35" x14ac:dyDescent="0.2">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row>
    <row r="26" spans="1:35" x14ac:dyDescent="0.2">
      <c r="A26" s="130"/>
      <c r="B26" s="130"/>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row>
    <row r="27" spans="1:35" x14ac:dyDescent="0.2">
      <c r="A27" s="130"/>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row>
    <row r="28" spans="1:35" x14ac:dyDescent="0.2">
      <c r="A28" s="130"/>
      <c r="B28" s="130"/>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row>
    <row r="29" spans="1:35" x14ac:dyDescent="0.2">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row>
    <row r="30" spans="1:35" x14ac:dyDescent="0.2">
      <c r="A30" s="135" t="s">
        <v>496</v>
      </c>
      <c r="B30" s="135"/>
      <c r="C30" s="135"/>
      <c r="D30" s="135"/>
      <c r="E30" s="131" t="s">
        <v>495</v>
      </c>
      <c r="F30" s="131"/>
      <c r="G30" s="131"/>
      <c r="H30" s="131"/>
      <c r="I30" s="131"/>
      <c r="J30" s="131"/>
      <c r="K30" s="131"/>
      <c r="L30" s="131"/>
      <c r="M30" s="131"/>
      <c r="N30" s="131"/>
      <c r="O30" s="131"/>
      <c r="P30" s="131"/>
      <c r="Q30" s="131"/>
      <c r="R30" s="131"/>
      <c r="S30" s="131"/>
      <c r="T30" s="131"/>
      <c r="U30" s="131"/>
      <c r="V30" s="131"/>
      <c r="W30" s="131"/>
      <c r="X30" s="131"/>
      <c r="Y30" s="135" t="s">
        <v>494</v>
      </c>
      <c r="Z30" s="135"/>
      <c r="AA30" s="135"/>
      <c r="AB30" s="135"/>
      <c r="AC30" s="135"/>
      <c r="AD30" s="135"/>
      <c r="AE30" s="135"/>
      <c r="AF30" s="135"/>
      <c r="AH30" s="136">
        <f>'BOCES Payment (2)'!C24</f>
        <v>3112520.8227121397</v>
      </c>
      <c r="AI30" s="137"/>
    </row>
    <row r="31" spans="1:35" x14ac:dyDescent="0.2">
      <c r="A31" s="130"/>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row>
    <row r="32" spans="1:35" x14ac:dyDescent="0.2">
      <c r="A32" s="133" t="s">
        <v>493</v>
      </c>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row>
    <row r="33" spans="1:35" x14ac:dyDescent="0.2">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row>
    <row r="34" spans="1:35" x14ac:dyDescent="0.2">
      <c r="A34" s="130"/>
      <c r="B34" s="130"/>
      <c r="C34" s="131" t="s">
        <v>492</v>
      </c>
      <c r="D34" s="131"/>
      <c r="E34" s="134" t="s">
        <v>523</v>
      </c>
      <c r="F34" s="134"/>
      <c r="G34" s="134"/>
      <c r="H34" s="134"/>
      <c r="I34" s="134"/>
      <c r="J34" s="134"/>
      <c r="K34" s="134"/>
      <c r="L34" s="134"/>
      <c r="M34" s="134"/>
      <c r="N34" s="134"/>
      <c r="O34" s="134"/>
      <c r="P34" s="134"/>
      <c r="Q34" s="134"/>
      <c r="R34" s="134"/>
      <c r="S34" s="134"/>
      <c r="T34" s="134"/>
      <c r="U34" s="134"/>
      <c r="V34" s="134"/>
      <c r="W34" s="134"/>
      <c r="X34" s="134"/>
      <c r="AB34" s="133" t="s">
        <v>491</v>
      </c>
      <c r="AC34" s="133"/>
      <c r="AD34" s="133"/>
      <c r="AE34" s="133"/>
      <c r="AF34" s="133"/>
      <c r="AH34" s="138" t="s">
        <v>490</v>
      </c>
      <c r="AI34" s="139"/>
    </row>
    <row r="35" spans="1:35" x14ac:dyDescent="0.2">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row>
    <row r="36" spans="1:35" x14ac:dyDescent="0.2">
      <c r="A36" s="130"/>
      <c r="B36" s="130"/>
      <c r="C36" s="131" t="s">
        <v>489</v>
      </c>
      <c r="D36" s="131"/>
      <c r="E36" s="134"/>
      <c r="F36" s="134"/>
      <c r="G36" s="134"/>
      <c r="H36" s="134"/>
      <c r="I36" s="134"/>
      <c r="J36" s="134"/>
      <c r="K36" s="134"/>
      <c r="L36" s="134"/>
      <c r="M36" s="134"/>
      <c r="N36" s="134"/>
      <c r="O36" s="134"/>
      <c r="P36" s="134"/>
      <c r="Q36" s="134"/>
      <c r="R36" s="134"/>
      <c r="S36" s="134"/>
      <c r="T36" s="134"/>
      <c r="U36" s="134"/>
      <c r="V36" s="134"/>
      <c r="W36" s="134"/>
      <c r="X36" s="134"/>
      <c r="Y36" s="130"/>
      <c r="Z36" s="130"/>
      <c r="AA36" s="130"/>
      <c r="AB36" s="130"/>
      <c r="AC36" s="130"/>
      <c r="AD36" s="130"/>
      <c r="AE36" s="130"/>
      <c r="AF36" s="130"/>
      <c r="AG36" s="130"/>
      <c r="AH36" s="130"/>
      <c r="AI36" s="130"/>
    </row>
    <row r="37" spans="1:35" x14ac:dyDescent="0.2">
      <c r="A37" s="130"/>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row>
    <row r="38" spans="1:35" x14ac:dyDescent="0.2">
      <c r="A38" s="130"/>
      <c r="B38" s="130"/>
      <c r="C38" s="130"/>
      <c r="D38" s="130"/>
      <c r="E38" s="134"/>
      <c r="F38" s="134"/>
      <c r="G38" s="134"/>
      <c r="H38" s="134"/>
      <c r="I38" s="134"/>
      <c r="J38" s="134"/>
      <c r="K38" s="134"/>
      <c r="L38" s="134"/>
      <c r="M38" s="134"/>
      <c r="N38" s="134"/>
      <c r="O38" s="134"/>
      <c r="P38" s="134"/>
      <c r="Q38" s="134"/>
      <c r="R38" s="134"/>
      <c r="S38" s="134"/>
      <c r="T38" s="134"/>
      <c r="U38" s="134"/>
      <c r="V38" s="134"/>
      <c r="W38" s="134"/>
      <c r="X38" s="134"/>
      <c r="Y38" s="130"/>
      <c r="Z38" s="130"/>
      <c r="AA38" s="130"/>
      <c r="AB38" s="130"/>
      <c r="AC38" s="130"/>
      <c r="AD38" s="130"/>
      <c r="AE38" s="130"/>
      <c r="AF38" s="130"/>
      <c r="AG38" s="130"/>
      <c r="AH38" s="130"/>
      <c r="AI38" s="130"/>
    </row>
    <row r="39" spans="1:35" x14ac:dyDescent="0.2">
      <c r="A39" s="130"/>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row>
    <row r="40" spans="1:35" x14ac:dyDescent="0.2">
      <c r="A40" s="130"/>
      <c r="B40" s="130"/>
      <c r="C40" s="130"/>
      <c r="D40" s="130"/>
      <c r="E40" s="134"/>
      <c r="F40" s="134"/>
      <c r="G40" s="134"/>
      <c r="H40" s="134"/>
      <c r="I40" s="134"/>
      <c r="J40" s="134"/>
      <c r="K40" s="134"/>
      <c r="L40" s="134"/>
      <c r="M40" s="134"/>
      <c r="N40" s="134"/>
      <c r="O40" s="134"/>
      <c r="P40" s="134"/>
      <c r="Q40" s="134"/>
      <c r="R40" s="134"/>
      <c r="S40" s="134"/>
      <c r="T40" s="134"/>
      <c r="U40" s="134"/>
      <c r="V40" s="134"/>
      <c r="W40" s="134"/>
      <c r="X40" s="134"/>
      <c r="Y40" s="130"/>
      <c r="Z40" s="130"/>
      <c r="AA40" s="130"/>
      <c r="AB40" s="130"/>
      <c r="AC40" s="130"/>
      <c r="AD40" s="130"/>
      <c r="AE40" s="130"/>
      <c r="AF40" s="130"/>
      <c r="AG40" s="130"/>
      <c r="AH40" s="130"/>
      <c r="AI40" s="130"/>
    </row>
    <row r="41" spans="1:35" x14ac:dyDescent="0.2">
      <c r="A41" s="130"/>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row>
    <row r="42" spans="1:35" x14ac:dyDescent="0.2">
      <c r="A42" s="134"/>
      <c r="B42" s="134"/>
      <c r="C42" s="133" t="s">
        <v>488</v>
      </c>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row>
    <row r="43" spans="1:35" x14ac:dyDescent="0.2">
      <c r="A43" s="130"/>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row>
    <row r="44" spans="1:35" x14ac:dyDescent="0.2">
      <c r="A44" s="133" t="s">
        <v>487</v>
      </c>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row>
    <row r="45" spans="1:35" x14ac:dyDescent="0.2">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row>
    <row r="46" spans="1:35" x14ac:dyDescent="0.2">
      <c r="A46" s="144" t="s">
        <v>486</v>
      </c>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row>
    <row r="47" spans="1:35" x14ac:dyDescent="0.2">
      <c r="A47" s="130"/>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row>
    <row r="48" spans="1:35" x14ac:dyDescent="0.2">
      <c r="A48" s="134"/>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0"/>
      <c r="Z48" s="130"/>
      <c r="AA48" s="130"/>
      <c r="AB48" s="130" t="s">
        <v>484</v>
      </c>
      <c r="AC48" s="130"/>
      <c r="AD48" s="130"/>
      <c r="AE48" s="130"/>
      <c r="AF48" s="134"/>
      <c r="AG48" s="134"/>
      <c r="AH48" s="134"/>
      <c r="AI48" s="134"/>
    </row>
    <row r="49" spans="1:35" x14ac:dyDescent="0.2">
      <c r="A49" s="132" t="s">
        <v>483</v>
      </c>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row>
    <row r="50" spans="1:35" x14ac:dyDescent="0.2">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row>
    <row r="51" spans="1:35" x14ac:dyDescent="0.2">
      <c r="A51" s="133" t="s">
        <v>485</v>
      </c>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row>
    <row r="52" spans="1:35" x14ac:dyDescent="0.2">
      <c r="A52" s="130"/>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row>
    <row r="53" spans="1:35" x14ac:dyDescent="0.2">
      <c r="A53" s="134"/>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AA53" s="130" t="s">
        <v>484</v>
      </c>
      <c r="AB53" s="130"/>
      <c r="AC53" s="130"/>
      <c r="AD53" s="130"/>
      <c r="AE53" s="130"/>
      <c r="AF53" s="134" t="s">
        <v>623</v>
      </c>
      <c r="AG53" s="134"/>
      <c r="AH53" s="134"/>
      <c r="AI53" s="134"/>
    </row>
    <row r="54" spans="1:35" x14ac:dyDescent="0.2">
      <c r="A54" s="143" t="s">
        <v>483</v>
      </c>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row>
    <row r="55" spans="1:35" x14ac:dyDescent="0.2">
      <c r="A55" s="130"/>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row>
    <row r="56" spans="1:35" x14ac:dyDescent="0.2">
      <c r="A56" s="144" t="s">
        <v>482</v>
      </c>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row>
    <row r="57" spans="1:35" x14ac:dyDescent="0.2">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row>
    <row r="58" spans="1:35" x14ac:dyDescent="0.2">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row>
  </sheetData>
  <mergeCells count="104">
    <mergeCell ref="A42:B42"/>
    <mergeCell ref="A39:AI39"/>
    <mergeCell ref="A40:D40"/>
    <mergeCell ref="Y40:AI40"/>
    <mergeCell ref="A41:AI41"/>
    <mergeCell ref="C42:AI42"/>
    <mergeCell ref="A54:AI54"/>
    <mergeCell ref="A55:AI55"/>
    <mergeCell ref="A56:AI56"/>
    <mergeCell ref="AF53:AI53"/>
    <mergeCell ref="A46:AI46"/>
    <mergeCell ref="AF48:AI48"/>
    <mergeCell ref="A48:X48"/>
    <mergeCell ref="Y48:AA48"/>
    <mergeCell ref="A53:X53"/>
    <mergeCell ref="A51:AI51"/>
    <mergeCell ref="A35:AI35"/>
    <mergeCell ref="A36:B36"/>
    <mergeCell ref="E38:X38"/>
    <mergeCell ref="C34:D34"/>
    <mergeCell ref="C36:D36"/>
    <mergeCell ref="AH34:AI34"/>
    <mergeCell ref="AB34:AF34"/>
    <mergeCell ref="E34:X34"/>
    <mergeCell ref="E36:X36"/>
    <mergeCell ref="A34:B34"/>
    <mergeCell ref="A7:AI7"/>
    <mergeCell ref="A9:AI9"/>
    <mergeCell ref="D8:AI8"/>
    <mergeCell ref="S18:V18"/>
    <mergeCell ref="D22:E22"/>
    <mergeCell ref="O22:P22"/>
    <mergeCell ref="C26:AI26"/>
    <mergeCell ref="A8:C8"/>
    <mergeCell ref="G14:AD14"/>
    <mergeCell ref="A10:F10"/>
    <mergeCell ref="G10:X10"/>
    <mergeCell ref="C14:F14"/>
    <mergeCell ref="E18:M18"/>
    <mergeCell ref="Y10:AI10"/>
    <mergeCell ref="A11:AI11"/>
    <mergeCell ref="A12:AI12"/>
    <mergeCell ref="A13:AI13"/>
    <mergeCell ref="AB18:AD18"/>
    <mergeCell ref="C16:F16"/>
    <mergeCell ref="A17:AI17"/>
    <mergeCell ref="Y22:Z22"/>
    <mergeCell ref="A21:AI21"/>
    <mergeCell ref="A22:C22"/>
    <mergeCell ref="AE14:AI14"/>
    <mergeCell ref="A1:AI1"/>
    <mergeCell ref="A2:AI2"/>
    <mergeCell ref="A6:C6"/>
    <mergeCell ref="A3:AI3"/>
    <mergeCell ref="B5:AI5"/>
    <mergeCell ref="A4:C4"/>
    <mergeCell ref="D4:AI4"/>
    <mergeCell ref="U6:AI6"/>
    <mergeCell ref="D6:T6"/>
    <mergeCell ref="A15:AI15"/>
    <mergeCell ref="A16:B16"/>
    <mergeCell ref="G16:AI16"/>
    <mergeCell ref="O20:AI20"/>
    <mergeCell ref="C20:N20"/>
    <mergeCell ref="A14:B14"/>
    <mergeCell ref="A18:C18"/>
    <mergeCell ref="A19:AI19"/>
    <mergeCell ref="A20:B20"/>
    <mergeCell ref="N18:Q18"/>
    <mergeCell ref="AH30:AI30"/>
    <mergeCell ref="Y30:AF30"/>
    <mergeCell ref="E30:X30"/>
    <mergeCell ref="A31:AI31"/>
    <mergeCell ref="A32:AI32"/>
    <mergeCell ref="C24:H24"/>
    <mergeCell ref="A23:AI23"/>
    <mergeCell ref="A24:B24"/>
    <mergeCell ref="A25:AI25"/>
    <mergeCell ref="A26:B26"/>
    <mergeCell ref="I24:AI24"/>
    <mergeCell ref="A58:AI58"/>
    <mergeCell ref="A57:AI57"/>
    <mergeCell ref="W18:Y18"/>
    <mergeCell ref="AE18:AH18"/>
    <mergeCell ref="AB48:AE48"/>
    <mergeCell ref="AA53:AE53"/>
    <mergeCell ref="A49:AI49"/>
    <mergeCell ref="A50:AI50"/>
    <mergeCell ref="A52:AI52"/>
    <mergeCell ref="A43:AI43"/>
    <mergeCell ref="A44:AI44"/>
    <mergeCell ref="A45:AI45"/>
    <mergeCell ref="A47:AI47"/>
    <mergeCell ref="Y36:AI36"/>
    <mergeCell ref="A37:AI37"/>
    <mergeCell ref="A38:D38"/>
    <mergeCell ref="Y38:AI38"/>
    <mergeCell ref="E40:X40"/>
    <mergeCell ref="A33:AI33"/>
    <mergeCell ref="A27:AI27"/>
    <mergeCell ref="C28:AI28"/>
    <mergeCell ref="A28:B28"/>
    <mergeCell ref="A29:AI29"/>
    <mergeCell ref="A30:D30"/>
  </mergeCells>
  <pageMargins left="1" right="0.75" top="0.5" bottom="0.5" header="0.5" footer="0.5"/>
  <pageSetup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30"/>
  <sheetViews>
    <sheetView workbookViewId="0">
      <pane xSplit="2" ySplit="2" topLeftCell="C3" activePane="bottomRight" state="frozen"/>
      <selection activeCell="F3" sqref="F3"/>
      <selection pane="topRight" activeCell="F3" sqref="F3"/>
      <selection pane="bottomLeft" activeCell="F3" sqref="F3"/>
      <selection pane="bottomRight" activeCell="B6" sqref="B6"/>
    </sheetView>
  </sheetViews>
  <sheetFormatPr defaultColWidth="9.140625" defaultRowHeight="15.75" x14ac:dyDescent="0.25"/>
  <cols>
    <col min="1" max="1" width="11.28515625" style="50" customWidth="1"/>
    <col min="2" max="2" width="29.85546875" style="51" bestFit="1" customWidth="1"/>
    <col min="3" max="3" width="22.7109375" style="51" customWidth="1"/>
    <col min="4" max="4" width="6.7109375" style="51" bestFit="1" customWidth="1"/>
    <col min="5" max="16384" width="9.140625" style="51"/>
  </cols>
  <sheetData>
    <row r="1" spans="1:3" s="49" customFormat="1" ht="48" thickBot="1" x14ac:dyDescent="0.3">
      <c r="A1" s="48" t="s">
        <v>524</v>
      </c>
      <c r="B1" s="48" t="s">
        <v>455</v>
      </c>
      <c r="C1" s="48" t="s">
        <v>622</v>
      </c>
    </row>
    <row r="3" spans="1:3" x14ac:dyDescent="0.25">
      <c r="A3" s="50">
        <v>9120</v>
      </c>
      <c r="B3" s="51" t="s">
        <v>428</v>
      </c>
      <c r="C3" s="52">
        <f>VLOOKUP(B3,Summary!A:F,6,FALSE)</f>
        <v>136204.98869539192</v>
      </c>
    </row>
    <row r="4" spans="1:3" x14ac:dyDescent="0.25">
      <c r="A4" s="50">
        <v>9035</v>
      </c>
      <c r="B4" s="51" t="s">
        <v>427</v>
      </c>
      <c r="C4" s="52">
        <f>VLOOKUP(B4,Summary!A:F,6,FALSE)</f>
        <v>282697.4249334003</v>
      </c>
    </row>
    <row r="5" spans="1:3" x14ac:dyDescent="0.25">
      <c r="A5" s="50">
        <v>9170</v>
      </c>
      <c r="B5" s="51" t="s">
        <v>624</v>
      </c>
      <c r="C5" s="52">
        <f>VLOOKUP(B5,Summary!A:F,6,FALSE)</f>
        <v>67071.428571428565</v>
      </c>
    </row>
    <row r="6" spans="1:3" x14ac:dyDescent="0.25">
      <c r="A6" s="50">
        <v>9175</v>
      </c>
      <c r="B6" s="51" t="s">
        <v>607</v>
      </c>
      <c r="C6" s="52">
        <f>VLOOKUP(B6,Summary!A:F,6,FALSE)</f>
        <v>111693.48490283161</v>
      </c>
    </row>
    <row r="7" spans="1:3" x14ac:dyDescent="0.25">
      <c r="A7" s="50">
        <v>9025</v>
      </c>
      <c r="B7" s="51" t="s">
        <v>429</v>
      </c>
      <c r="C7" s="52">
        <f>VLOOKUP(B7,Summary!A:F,6,FALSE)</f>
        <v>230757.96700636161</v>
      </c>
    </row>
    <row r="8" spans="1:3" x14ac:dyDescent="0.25">
      <c r="A8" s="50">
        <v>9130</v>
      </c>
      <c r="B8" s="51" t="s">
        <v>430</v>
      </c>
      <c r="C8" s="52">
        <f>VLOOKUP(B8,Summary!A:F,6,FALSE)</f>
        <v>201011.13085422281</v>
      </c>
    </row>
    <row r="9" spans="1:3" x14ac:dyDescent="0.25">
      <c r="A9" s="50">
        <v>9160</v>
      </c>
      <c r="B9" s="51" t="s">
        <v>431</v>
      </c>
      <c r="C9" s="52">
        <f>VLOOKUP(B9,Summary!A:F,6,FALSE)</f>
        <v>131675.93354779531</v>
      </c>
    </row>
    <row r="10" spans="1:3" x14ac:dyDescent="0.25">
      <c r="A10" s="50">
        <v>9135</v>
      </c>
      <c r="B10" s="51" t="s">
        <v>432</v>
      </c>
      <c r="C10" s="52">
        <f>VLOOKUP(B10,Summary!A:F,6,FALSE)</f>
        <v>111438.38197385546</v>
      </c>
    </row>
    <row r="11" spans="1:3" x14ac:dyDescent="0.25">
      <c r="A11" s="50">
        <v>9140</v>
      </c>
      <c r="B11" s="51" t="s">
        <v>433</v>
      </c>
      <c r="C11" s="52">
        <f>VLOOKUP(B11,Summary!A:F,6,FALSE)</f>
        <v>91934.199541519774</v>
      </c>
    </row>
    <row r="12" spans="1:3" x14ac:dyDescent="0.25">
      <c r="A12" s="50">
        <v>9030</v>
      </c>
      <c r="B12" s="51" t="s">
        <v>434</v>
      </c>
      <c r="C12" s="52">
        <f>VLOOKUP(B12,Summary!A:F,6,FALSE)</f>
        <v>120406.76536654808</v>
      </c>
    </row>
    <row r="13" spans="1:3" x14ac:dyDescent="0.25">
      <c r="A13" s="50">
        <v>9040</v>
      </c>
      <c r="B13" s="51" t="s">
        <v>435</v>
      </c>
      <c r="C13" s="52">
        <f>VLOOKUP(B13,Summary!A:F,6,FALSE)</f>
        <v>165391.98007855116</v>
      </c>
    </row>
    <row r="14" spans="1:3" x14ac:dyDescent="0.25">
      <c r="A14" s="50">
        <v>9095</v>
      </c>
      <c r="B14" s="51" t="s">
        <v>436</v>
      </c>
      <c r="C14" s="52">
        <f>VLOOKUP(B14,Summary!A:F,6,FALSE)</f>
        <v>126055.62151823712</v>
      </c>
    </row>
    <row r="15" spans="1:3" x14ac:dyDescent="0.25">
      <c r="A15" s="50">
        <v>9045</v>
      </c>
      <c r="B15" s="51" t="s">
        <v>437</v>
      </c>
      <c r="C15" s="52">
        <f>VLOOKUP(B15,Summary!A:F,6,FALSE)</f>
        <v>244702.84283405627</v>
      </c>
    </row>
    <row r="16" spans="1:3" x14ac:dyDescent="0.25">
      <c r="A16" s="50">
        <v>9125</v>
      </c>
      <c r="B16" s="51" t="s">
        <v>438</v>
      </c>
      <c r="C16" s="52">
        <f>VLOOKUP(B16,Summary!A:F,6,FALSE)</f>
        <v>83595.87680044325</v>
      </c>
    </row>
    <row r="17" spans="1:3" x14ac:dyDescent="0.25">
      <c r="A17" s="50">
        <v>9050</v>
      </c>
      <c r="B17" s="51" t="s">
        <v>439</v>
      </c>
      <c r="C17" s="52">
        <f>VLOOKUP(B17,Summary!A:F,6,FALSE)</f>
        <v>134382.55510860239</v>
      </c>
    </row>
    <row r="18" spans="1:3" x14ac:dyDescent="0.25">
      <c r="A18" s="50">
        <v>9055</v>
      </c>
      <c r="B18" s="51" t="s">
        <v>445</v>
      </c>
      <c r="C18" s="52">
        <f>VLOOKUP(B18,Summary!A:F,6,FALSE)</f>
        <v>190642.12365295828</v>
      </c>
    </row>
    <row r="19" spans="1:3" x14ac:dyDescent="0.25">
      <c r="A19" s="50">
        <v>9150</v>
      </c>
      <c r="B19" s="51" t="s">
        <v>440</v>
      </c>
      <c r="C19" s="52">
        <f>VLOOKUP(B19,Summary!A:F,6,FALSE)</f>
        <v>117328.7235917137</v>
      </c>
    </row>
    <row r="20" spans="1:3" x14ac:dyDescent="0.25">
      <c r="A20" s="50">
        <v>9060</v>
      </c>
      <c r="B20" s="51" t="s">
        <v>441</v>
      </c>
      <c r="C20" s="52">
        <f>VLOOKUP(B20,Summary!A:F,6,FALSE)</f>
        <v>200120.65590732102</v>
      </c>
    </row>
    <row r="21" spans="1:3" x14ac:dyDescent="0.25">
      <c r="A21" s="50">
        <v>9075</v>
      </c>
      <c r="B21" s="51" t="s">
        <v>442</v>
      </c>
      <c r="C21" s="52">
        <f>VLOOKUP(B21,Summary!A:F,6,FALSE)</f>
        <v>164772.61542605158</v>
      </c>
    </row>
    <row r="22" spans="1:3" x14ac:dyDescent="0.25">
      <c r="A22" s="50">
        <v>9145</v>
      </c>
      <c r="B22" s="51" t="s">
        <v>443</v>
      </c>
      <c r="C22" s="52">
        <f>VLOOKUP(B22,Summary!A:F,6,FALSE)</f>
        <v>107979.20696963034</v>
      </c>
    </row>
    <row r="23" spans="1:3" x14ac:dyDescent="0.25">
      <c r="A23" s="50">
        <v>9165</v>
      </c>
      <c r="B23" s="51" t="s">
        <v>444</v>
      </c>
      <c r="C23" s="52">
        <f>VLOOKUP(B23,Summary!A:F,6,FALSE)</f>
        <v>92656.915431219066</v>
      </c>
    </row>
    <row r="24" spans="1:3" x14ac:dyDescent="0.25">
      <c r="A24" s="53"/>
      <c r="B24" s="54" t="s">
        <v>447</v>
      </c>
      <c r="C24" s="55">
        <f>SUM(C3:C23)</f>
        <v>3112520.8227121397</v>
      </c>
    </row>
    <row r="26" spans="1:3" ht="16.5" thickBot="1" x14ac:dyDescent="0.3"/>
    <row r="27" spans="1:3" x14ac:dyDescent="0.25">
      <c r="A27" s="145" t="str">
        <f>'District &amp; BOCES Listing'!A4:B4</f>
        <v>FY2020-21 Budget Request</v>
      </c>
      <c r="B27" s="146"/>
      <c r="C27" s="36">
        <f>'District &amp; BOCES Listing'!D4</f>
        <v>3318279</v>
      </c>
    </row>
    <row r="28" spans="1:3" x14ac:dyDescent="0.25">
      <c r="A28" s="147"/>
      <c r="B28" s="148"/>
      <c r="C28" s="45"/>
    </row>
    <row r="29" spans="1:3" x14ac:dyDescent="0.25">
      <c r="A29" s="149" t="s">
        <v>525</v>
      </c>
      <c r="B29" s="150"/>
      <c r="C29" s="37">
        <f>'District &amp; BOCES Listing'!D6</f>
        <v>188279</v>
      </c>
    </row>
    <row r="30" spans="1:3" ht="16.5" thickBot="1" x14ac:dyDescent="0.3">
      <c r="A30" s="151" t="s">
        <v>423</v>
      </c>
      <c r="B30" s="152"/>
      <c r="C30" s="28">
        <f>C27+C28-C29</f>
        <v>3130000</v>
      </c>
    </row>
  </sheetData>
  <mergeCells count="4">
    <mergeCell ref="A27:B27"/>
    <mergeCell ref="A28:B28"/>
    <mergeCell ref="A29:B29"/>
    <mergeCell ref="A30:B30"/>
  </mergeCells>
  <printOptions horizontalCentered="1"/>
  <pageMargins left="1" right="0.75" top="0.5" bottom="0.5" header="0.5" footer="0.5"/>
  <pageSetup orientation="portrait" r:id="rId1"/>
  <headerFooter alignWithMargins="0">
    <oddFooter>&amp;L&amp;G&amp;RSchool Finance and Operations
08/1/2018</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Summary</vt:lpstr>
      <vt:lpstr>District &amp; BOCES Listing</vt:lpstr>
      <vt:lpstr>PSFA Runs</vt:lpstr>
      <vt:lpstr>Payment Request</vt:lpstr>
      <vt:lpstr>BOCES Payment (2)</vt:lpstr>
      <vt:lpstr>'District &amp; BOCES Listing'!Print_Area</vt:lpstr>
      <vt:lpstr>'District &amp; BOCES Listing'!Print_Titles</vt:lpstr>
    </vt:vector>
  </TitlesOfParts>
  <Company>CDE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christel_m</dc:creator>
  <cp:lastModifiedBy>Williams, Adam</cp:lastModifiedBy>
  <cp:lastPrinted>2018-08-01T15:23:35Z</cp:lastPrinted>
  <dcterms:created xsi:type="dcterms:W3CDTF">2002-11-20T21:25:44Z</dcterms:created>
  <dcterms:modified xsi:type="dcterms:W3CDTF">2020-08-12T16:51:15Z</dcterms:modified>
</cp:coreProperties>
</file>