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<sst xmlns="http://schemas.openxmlformats.org/spreadsheetml/2006/main" count="599" uniqueCount="291">
  <si>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</si>
  <si>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</si>
  <si>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</si>
  <si>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</si>
  <si>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</si>
  <si>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</si>
  <si>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</si>
  <si>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</si>
  <si>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</si>
  <si>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</si>
  <si>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</si>
  <si>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</si>
  <si>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</si>
  <si>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</si>
  <si>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</si>
  <si>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</si>
  <si>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</si>
  <si>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</si>
  <si>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</si>
  <si>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</si>
  <si>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</si>
  <si>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</si>
  <si>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</si>
  <si>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</si>
  <si>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</si>
  <si>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</si>
  <si>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</si>
  <si>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</si>
  <si>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</si>
  <si>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</si>
  <si>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</si>
  <si>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</si>
  <si>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</si>
  <si>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</si>
  <si>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</si>
  <si>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</si>
  <si>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</si>
  <si>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</si>
  <si>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</si>
  <si>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</si>
  <si>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</si>
  <si>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</si>
  <si>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</si>
  <si>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</si>
  <si>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</si>
  <si>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</si>
  <si>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</si>
  <si>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</si>
  <si>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</si>
  <si>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</si>
  <si>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</si>
  <si>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</si>
  <si>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</si>
  <si>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</si>
  <si>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</si>
  <si>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</si>
  <si>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</si>
  <si>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</si>
  <si>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</si>
  <si>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</si>
  <si>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</si>
  <si>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</si>
  <si>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</si>
  <si>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</si>
  <si>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</si>
  <si>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</si>
  <si>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</si>
  <si>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</si>
  <si>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</si>
  <si>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</si>
  <si>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</si>
  <si>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</si>
  <si>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</si>
  <si>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</si>
  <si>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</si>
  <si>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</si>
  <si>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</si>
  <si>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</si>
  <si>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</si>
  <si>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</si>
  <si>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</si>
  <si>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</si>
  <si>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</si>
  <si>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</si>
  <si>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</si>
  <si>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</si>
  <si>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</si>
  <si>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</si>
  <si>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</si>
  <si>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</si>
  <si>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</si>
  <si>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</si>
  <si>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</si>
  <si>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</si>
  <si>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</si>
  <si>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</si>
  <si>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</si>
  <si>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</si>
  <si>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</si>
  <si>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</si>
  <si>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</si>
  <si>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</si>
  <si>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</si>
  <si>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</si>
  <si>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</si>
  <si>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</si>
  <si>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</si>
  <si>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</si>
  <si>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</si>
  <si>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</si>
  <si>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</si>
  <si>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</si>
  <si>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</si>
  <si>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</si>
  <si>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</si>
  <si>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</si>
  <si>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</si>
  <si>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</si>
  <si>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</si>
  <si>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</si>
  <si>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</si>
  <si>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</si>
  <si>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</si>
  <si>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</si>
  <si>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</si>
  <si>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</si>
  <si>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</si>
  <si>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</si>
  <si>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</si>
  <si>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</si>
  <si>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</si>
  <si>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</si>
  <si>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</si>
  <si>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</si>
  <si>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</si>
  <si>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</si>
  <si>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</si>
  <si>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</si>
  <si>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</si>
  <si>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</si>
  <si>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</si>
  <si>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</si>
  <si>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</si>
  <si>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</si>
  <si>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</si>
  <si>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</si>
  <si>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</si>
  <si>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</si>
  <si>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</si>
  <si>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</si>
  <si>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</si>
  <si>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</si>
  <si>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</si>
  <si>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</si>
  <si>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</si>
  <si>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</si>
  <si>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</si>
  <si>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</si>
  <si>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</si>
  <si>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</si>
  <si>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</si>
  <si>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</si>
  <si>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</si>
  <si>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</si>
  <si>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</si>
  <si>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</si>
  <si>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</si>
  <si>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</si>
  <si>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</si>
  <si>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</si>
  <si>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</si>
  <si>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</si>
  <si>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</si>
  <si>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</si>
  <si>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</si>
  <si>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</si>
  <si>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</si>
  <si>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</si>
  <si>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</si>
  <si>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</si>
  <si>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</si>
  <si>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</si>
  <si>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</si>
  <si>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</si>
  <si>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</si>
  <si>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</si>
  <si>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</si>
  <si>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</si>
  <si>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</si>
  <si>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</si>
  <si>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</si>
  <si>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</si>
  <si>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</si>
  <si>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</si>
  <si>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</si>
  <si>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</si>
  <si>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</si>
  <si>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</si>
  <si>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</si>
  <si>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</si>
  <si>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</si>
  <si>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</si>
  <si>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</si>
  <si>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</si>
  <si>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</si>
  <si>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</si>
  <si>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</si>
  <si>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</si>
  <si>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</si>
  <si>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</si>
  <si>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</si>
  <si>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</si>
  <si>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</si>
  <si>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</si>
  <si>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</si>
  <si>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</si>
  <si>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</si>
  <si>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</si>
  <si>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</si>
  <si>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</si>
  <si>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</si>
  <si>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</si>
  <si>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</si>
  <si>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</si>
  <si>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</si>
  <si>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</si>
  <si>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</si>
  <si>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</si>
  <si>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</si>
  <si>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</si>
  <si>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</si>
  <si>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</si>
  <si>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</si>
  <si>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</si>
  <si>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</si>
  <si>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</si>
  <si>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</si>
  <si>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</si>
  <si>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</si>
  <si>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</si>
  <si>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</si>
  <si>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</si>
  <si>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</si>
  <si>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</si>
  <si>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</si>
  <si>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</si>
  <si>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</si>
  <si>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</si>
  <si>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</si>
  <si>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</si>
  <si>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</si>
  <si>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</si>
  <si>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</si>
  <si>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</si>
  <si>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</si>
  <si>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</si>
  <si>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</si>
  <si>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</si>
  <si>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</si>
  <si>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</si>
  <si>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</si>
  <si>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</si>
  <si>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</si>
  <si>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</si>
  <si>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</si>
  <si>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</si>
  <si>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</si>
  <si>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</si>
  <si>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</si>
  <si>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</si>
  <si>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</si>
  <si>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</si>
  <si>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</si>
  <si>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</si>
  <si>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</si>
  <si>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</si>
  <si>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</si>
  <si>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</si>
  <si>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</si>
  <si>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</si>
  <si>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</si>
  <si>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</si>
  <si>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</si>
  <si>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</si>
  <si>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Total FY 18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</si>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</sst>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 vertical="center"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6" fillId="38" borderId="0" xfId="0" applyFont="1" applyFill="1" applyAlignment="1">
      <alignment horizontal="right" vertical="center"/>
    </xf>
    <xf numFmtId="39" fontId="1" fillId="0" borderId="0" xfId="0" applyNumberFormat="1" applyFont="1" applyFill="1" applyBorder="1" applyAlignment="1">
      <alignment/>
    </xf>
    <xf numFmtId="39" fontId="1" fillId="39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39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PSP02T8K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7"/>
  <sheetViews>
    <sheetView tabSelected="1" zoomScale="75" zoomScaleNormal="75" zoomScalePageLayoutView="0" workbookViewId="0" topLeftCell="A1">
      <pane xSplit="3" ySplit="2" topLeftCell="G9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977" sqref="R977"/>
    </sheetView>
  </sheetViews>
  <sheetFormatPr defaultColWidth="9.14062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4" width="21.7109375" style="0" bestFit="1" customWidth="1"/>
    <col min="5" max="5" width="21.28125" style="0" bestFit="1" customWidth="1"/>
    <col min="6" max="6" width="21.7109375" style="0" bestFit="1" customWidth="1"/>
    <col min="7" max="12" width="15.421875" style="0" bestFit="1" customWidth="1"/>
    <col min="13" max="16" width="16.00390625" style="0" bestFit="1" customWidth="1"/>
    <col min="17" max="17" width="21.28125" style="0" bestFit="1" customWidth="1"/>
    <col min="18" max="18" width="21.28125" style="37" bestFit="1" customWidth="1"/>
    <col min="19" max="19" width="23.00390625" style="43" bestFit="1" customWidth="1"/>
    <col min="20" max="20" width="23.00390625" style="0" bestFit="1" customWidth="1"/>
    <col min="21" max="21" width="21.8515625" style="0" bestFit="1" customWidth="1"/>
    <col min="22" max="22" width="21.7109375" style="0" bestFit="1" customWidth="1"/>
    <col min="23" max="23" width="21.28125" style="0" bestFit="1" customWidth="1"/>
    <col min="24" max="24" width="21.7109375" style="0" bestFit="1" customWidth="1"/>
    <col min="25" max="26" width="22.00390625" style="0" bestFit="1" customWidth="1"/>
    <col min="27" max="28" width="21.8515625" style="0" bestFit="1" customWidth="1"/>
    <col min="29" max="29" width="21.7109375" style="0" bestFit="1" customWidth="1"/>
    <col min="30" max="31" width="21.57421875" style="0" bestFit="1" customWidth="1"/>
    <col min="32" max="32" width="21.28125" style="0" bestFit="1" customWidth="1"/>
    <col min="33" max="33" width="21.57421875" style="0" bestFit="1" customWidth="1"/>
    <col min="34" max="34" width="23.00390625" style="0" bestFit="1" customWidth="1"/>
    <col min="35" max="49" width="16.00390625" style="0" bestFit="1" customWidth="1"/>
    <col min="50" max="50" width="18.28125" style="0" bestFit="1" customWidth="1"/>
    <col min="51" max="51" width="18.421875" style="0" bestFit="1" customWidth="1"/>
    <col min="52" max="52" width="18.28125" style="0" bestFit="1" customWidth="1"/>
    <col min="53" max="53" width="18.421875" style="0" bestFit="1" customWidth="1"/>
    <col min="54" max="54" width="18.57421875" style="0" bestFit="1" customWidth="1"/>
    <col min="55" max="55" width="18.421875" style="0" bestFit="1" customWidth="1"/>
    <col min="56" max="56" width="22.140625" style="0" bestFit="1" customWidth="1"/>
    <col min="57" max="57" width="18.28125" style="0" bestFit="1" customWidth="1"/>
    <col min="58" max="58" width="18.421875" style="0" bestFit="1" customWidth="1"/>
    <col min="59" max="59" width="18.57421875" style="0" bestFit="1" customWidth="1"/>
    <col min="60" max="60" width="18.421875" style="0" bestFit="1" customWidth="1"/>
    <col min="61" max="61" width="22.140625" style="0" bestFit="1" customWidth="1"/>
    <col min="62" max="62" width="18.28125" style="0" bestFit="1" customWidth="1"/>
    <col min="63" max="63" width="18.421875" style="0" bestFit="1" customWidth="1"/>
    <col min="64" max="64" width="18.57421875" style="0" bestFit="1" customWidth="1"/>
    <col min="65" max="65" width="18.421875" style="0" bestFit="1" customWidth="1"/>
    <col min="66" max="66" width="18.28125" style="0" bestFit="1" customWidth="1"/>
    <col min="67" max="67" width="18.421875" style="0" bestFit="1" customWidth="1"/>
    <col min="68" max="68" width="18.57421875" style="0" bestFit="1" customWidth="1"/>
    <col min="69" max="69" width="18.421875" style="0" bestFit="1" customWidth="1"/>
    <col min="70" max="70" width="22.140625" style="0" bestFit="1" customWidth="1"/>
    <col min="71" max="71" width="21.28125" style="0" bestFit="1" customWidth="1"/>
    <col min="72" max="72" width="18.28125" style="0" bestFit="1" customWidth="1"/>
    <col min="73" max="73" width="18.421875" style="0" bestFit="1" customWidth="1"/>
    <col min="74" max="74" width="18.57421875" style="0" bestFit="1" customWidth="1"/>
    <col min="75" max="75" width="18.421875" style="0" bestFit="1" customWidth="1"/>
    <col min="76" max="76" width="22.140625" style="0" bestFit="1" customWidth="1"/>
    <col min="77" max="78" width="21.28125" style="0" bestFit="1" customWidth="1"/>
    <col min="79" max="80" width="20.57421875" style="0" bestFit="1" customWidth="1"/>
    <col min="81" max="83" width="21.28125" style="0" bestFit="1" customWidth="1"/>
    <col min="84" max="89" width="16.00390625" style="0" bestFit="1" customWidth="1"/>
    <col min="90" max="90" width="17.28125" style="0" bestFit="1" customWidth="1"/>
  </cols>
  <sheetData>
    <row r="1" ht="37.5">
      <c r="C1" s="2" t="s">
        <v>0</v>
      </c>
    </row>
    <row r="2" spans="3:19" ht="13.5" customHeight="1">
      <c r="C2" s="3" t="s">
        <v>1</v>
      </c>
      <c r="G2" s="25">
        <v>42917</v>
      </c>
      <c r="H2" s="25">
        <v>42948</v>
      </c>
      <c r="I2" s="25">
        <v>42979</v>
      </c>
      <c r="J2" s="25">
        <v>43009</v>
      </c>
      <c r="K2" s="25">
        <v>43040</v>
      </c>
      <c r="L2" s="25">
        <v>43070</v>
      </c>
      <c r="M2" s="25">
        <v>43101</v>
      </c>
      <c r="N2" s="25">
        <v>43132</v>
      </c>
      <c r="O2" s="25">
        <v>43160</v>
      </c>
      <c r="P2" s="25">
        <v>43191</v>
      </c>
      <c r="Q2" s="25">
        <v>43221</v>
      </c>
      <c r="R2" s="38">
        <v>43252</v>
      </c>
      <c r="S2" s="29" t="s">
        <v>284</v>
      </c>
    </row>
    <row r="3" ht="13.5" customHeight="1">
      <c r="C3" s="4"/>
    </row>
    <row r="4" spans="2:3" ht="13.5" customHeight="1">
      <c r="B4" s="9" t="s">
        <v>105</v>
      </c>
      <c r="C4" s="30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9" t="s">
        <v>105</v>
      </c>
      <c r="C10" s="10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7" t="s">
        <v>104</v>
      </c>
      <c r="C16" s="8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7" t="s">
        <v>104</v>
      </c>
      <c r="C22" s="8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17" ht="13.5" customHeight="1">
      <c r="A28" s="20"/>
      <c r="B28" s="9" t="s">
        <v>105</v>
      </c>
      <c r="C28" s="30" t="s">
        <v>125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3.5" customHeight="1">
      <c r="A29" s="20"/>
      <c r="B29" s="20"/>
      <c r="C29" s="4" t="str">
        <f>C23</f>
        <v>Debt Reserve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3.5" customHeight="1">
      <c r="A30" s="20"/>
      <c r="B30" s="20"/>
      <c r="C30" s="4" t="str">
        <f>C24</f>
        <v>Treasury Fee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3.5" customHeight="1" thickBot="1">
      <c r="A31" s="20"/>
      <c r="B31" s="20"/>
      <c r="C31" s="4" t="str">
        <f>C25</f>
        <v>Intercept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3.5" customHeight="1" thickBot="1">
      <c r="A32" s="20"/>
      <c r="B32" s="20"/>
      <c r="C32" s="6" t="s">
        <v>124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ht="13.5" customHeight="1">
      <c r="C33" s="4"/>
    </row>
    <row r="34" spans="2:3" ht="13.5" customHeight="1">
      <c r="B34" s="9" t="s">
        <v>105</v>
      </c>
      <c r="C34" s="30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9" t="s">
        <v>105</v>
      </c>
      <c r="C40" s="10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9" t="s">
        <v>105</v>
      </c>
      <c r="C46" s="11" t="s">
        <v>87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9" t="s">
        <v>105</v>
      </c>
      <c r="C52" s="10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9" t="s">
        <v>105</v>
      </c>
      <c r="C58" s="30" t="s">
        <v>137</v>
      </c>
    </row>
    <row r="59" spans="3:19" ht="13.5" customHeight="1">
      <c r="C59" s="4" t="str">
        <f>C53</f>
        <v>Debt Reserve</v>
      </c>
      <c r="S59"/>
    </row>
    <row r="60" spans="3:19" ht="13.5" customHeight="1">
      <c r="C60" s="4" t="str">
        <f>C54</f>
        <v>Treasury Fee</v>
      </c>
      <c r="S60"/>
    </row>
    <row r="61" spans="3:19" ht="13.5" customHeight="1" thickBot="1">
      <c r="C61" s="4" t="str">
        <f>C55</f>
        <v>Intercept</v>
      </c>
      <c r="S61"/>
    </row>
    <row r="62" spans="3:19" ht="13.5" customHeight="1" thickBot="1">
      <c r="C62" s="6" t="s">
        <v>138</v>
      </c>
      <c r="S62"/>
    </row>
    <row r="63" ht="13.5" customHeight="1">
      <c r="C63" s="4"/>
    </row>
    <row r="64" spans="2:3" ht="13.5" customHeight="1">
      <c r="B64" s="9" t="s">
        <v>105</v>
      </c>
      <c r="C64" s="10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9" t="s">
        <v>105</v>
      </c>
      <c r="C70" s="30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1:3" ht="13.5" customHeight="1">
      <c r="A76" s="1">
        <v>1</v>
      </c>
      <c r="C76" s="5" t="s">
        <v>23</v>
      </c>
    </row>
    <row r="77" spans="3:19" ht="13.5" customHeight="1">
      <c r="C77" s="4" t="str">
        <f>C71</f>
        <v>Debt Reserve</v>
      </c>
      <c r="G77" s="26">
        <v>460.83</v>
      </c>
      <c r="H77" s="26">
        <v>460.83</v>
      </c>
      <c r="I77" s="26">
        <v>460.83</v>
      </c>
      <c r="J77" s="26">
        <v>460.83</v>
      </c>
      <c r="K77" s="26">
        <v>460.83</v>
      </c>
      <c r="L77" s="26">
        <v>460.83</v>
      </c>
      <c r="M77" s="26">
        <v>460.83</v>
      </c>
      <c r="N77" s="26">
        <v>460.83</v>
      </c>
      <c r="O77" s="26">
        <v>460.83</v>
      </c>
      <c r="P77" s="26">
        <v>460.83</v>
      </c>
      <c r="Q77" s="26">
        <v>437.08</v>
      </c>
      <c r="R77" s="39">
        <v>437.08</v>
      </c>
      <c r="S77" s="26">
        <f>SUM(G77:R77)</f>
        <v>5482.46</v>
      </c>
    </row>
    <row r="78" spans="3:19" ht="13.5" customHeight="1">
      <c r="C78" s="4" t="str">
        <f>C72</f>
        <v>Treasury Fee</v>
      </c>
      <c r="G78" s="48">
        <v>250</v>
      </c>
      <c r="S78" s="26">
        <f>SUM(G78:R78)</f>
        <v>250</v>
      </c>
    </row>
    <row r="79" spans="3:19" ht="13.5" customHeight="1" thickBot="1">
      <c r="C79" s="4" t="str">
        <f>C73</f>
        <v>Intercept</v>
      </c>
      <c r="G79" s="26">
        <f aca="true" t="shared" si="0" ref="G79:Q79">23750+23398.96</f>
        <v>47148.96</v>
      </c>
      <c r="H79" s="26">
        <f t="shared" si="0"/>
        <v>47148.96</v>
      </c>
      <c r="I79" s="26">
        <f t="shared" si="0"/>
        <v>47148.96</v>
      </c>
      <c r="J79" s="26">
        <f t="shared" si="0"/>
        <v>47148.96</v>
      </c>
      <c r="K79" s="26">
        <f t="shared" si="0"/>
        <v>47148.96</v>
      </c>
      <c r="L79" s="26">
        <f t="shared" si="0"/>
        <v>47148.96</v>
      </c>
      <c r="M79" s="26">
        <f t="shared" si="0"/>
        <v>47148.96</v>
      </c>
      <c r="N79" s="26">
        <f t="shared" si="0"/>
        <v>47148.96</v>
      </c>
      <c r="O79" s="26">
        <f t="shared" si="0"/>
        <v>47148.96</v>
      </c>
      <c r="P79" s="26">
        <f t="shared" si="0"/>
        <v>47148.96</v>
      </c>
      <c r="Q79" s="26">
        <f t="shared" si="0"/>
        <v>47148.96</v>
      </c>
      <c r="R79" s="39">
        <f>24583.33+22211.46</f>
        <v>46794.79</v>
      </c>
      <c r="S79" s="26">
        <f>SUM(G79:R79)</f>
        <v>565433.3500000001</v>
      </c>
    </row>
    <row r="80" spans="3:19" ht="13.5" customHeight="1" thickBot="1">
      <c r="C80" s="6" t="s">
        <v>24</v>
      </c>
      <c r="G80" s="27">
        <f aca="true" t="shared" si="1" ref="G80:S80">SUM(G77:G79)</f>
        <v>47859.79</v>
      </c>
      <c r="H80" s="27">
        <f t="shared" si="1"/>
        <v>47609.79</v>
      </c>
      <c r="I80" s="27">
        <f t="shared" si="1"/>
        <v>47609.79</v>
      </c>
      <c r="J80" s="27">
        <f t="shared" si="1"/>
        <v>47609.79</v>
      </c>
      <c r="K80" s="27">
        <f t="shared" si="1"/>
        <v>47609.79</v>
      </c>
      <c r="L80" s="27">
        <f t="shared" si="1"/>
        <v>47609.79</v>
      </c>
      <c r="M80" s="27">
        <f t="shared" si="1"/>
        <v>47609.79</v>
      </c>
      <c r="N80" s="27">
        <f t="shared" si="1"/>
        <v>47609.79</v>
      </c>
      <c r="O80" s="27">
        <f t="shared" si="1"/>
        <v>47609.79</v>
      </c>
      <c r="P80" s="27">
        <f t="shared" si="1"/>
        <v>47609.79</v>
      </c>
      <c r="Q80" s="27">
        <f t="shared" si="1"/>
        <v>47586.04</v>
      </c>
      <c r="R80" s="40">
        <f t="shared" si="1"/>
        <v>47231.87</v>
      </c>
      <c r="S80" s="27">
        <f t="shared" si="1"/>
        <v>571165.81</v>
      </c>
    </row>
    <row r="81" ht="13.5" customHeight="1">
      <c r="C81" s="12"/>
    </row>
    <row r="82" spans="1:3" ht="13.5" customHeight="1">
      <c r="A82" s="1">
        <f>A76+1</f>
        <v>2</v>
      </c>
      <c r="C82" s="5" t="s">
        <v>25</v>
      </c>
    </row>
    <row r="83" spans="3:19" ht="13.5" customHeight="1">
      <c r="C83" s="4" t="str">
        <f>C77</f>
        <v>Debt Reserve</v>
      </c>
      <c r="G83" s="26">
        <v>1392.92</v>
      </c>
      <c r="H83" s="26">
        <v>1392.92</v>
      </c>
      <c r="I83" s="26">
        <v>1392.92</v>
      </c>
      <c r="J83" s="26">
        <v>1392.92</v>
      </c>
      <c r="K83" s="26">
        <v>1392.92</v>
      </c>
      <c r="L83" s="26">
        <v>1392.92</v>
      </c>
      <c r="M83" s="26">
        <v>1392.92</v>
      </c>
      <c r="N83" s="26">
        <v>1392.92</v>
      </c>
      <c r="O83" s="26">
        <v>1392.92</v>
      </c>
      <c r="P83" s="26">
        <v>1392.92</v>
      </c>
      <c r="Q83" s="26">
        <v>1348.75</v>
      </c>
      <c r="R83" s="39">
        <v>1348.75</v>
      </c>
      <c r="S83" s="26">
        <f>SUM(G83:R83)</f>
        <v>16626.7</v>
      </c>
    </row>
    <row r="84" spans="3:19" ht="13.5" customHeight="1">
      <c r="C84" s="4" t="str">
        <f>C78</f>
        <v>Treasury Fee</v>
      </c>
      <c r="G84" s="48">
        <v>250</v>
      </c>
      <c r="S84" s="26">
        <f>SUM(G84:R84)</f>
        <v>250</v>
      </c>
    </row>
    <row r="85" spans="3:19" ht="13.5" customHeight="1" thickBot="1">
      <c r="C85" s="4" t="str">
        <f>C79</f>
        <v>Intercept</v>
      </c>
      <c r="G85" s="26">
        <f aca="true" t="shared" si="2" ref="G85:P85">44166.67+74804.17</f>
        <v>118970.84</v>
      </c>
      <c r="H85" s="26">
        <f t="shared" si="2"/>
        <v>118970.84</v>
      </c>
      <c r="I85" s="26">
        <f t="shared" si="2"/>
        <v>118970.84</v>
      </c>
      <c r="J85" s="26">
        <f t="shared" si="2"/>
        <v>118970.84</v>
      </c>
      <c r="K85" s="26">
        <f t="shared" si="2"/>
        <v>118970.84</v>
      </c>
      <c r="L85" s="26">
        <f t="shared" si="2"/>
        <v>118970.84</v>
      </c>
      <c r="M85" s="26">
        <f t="shared" si="2"/>
        <v>118970.84</v>
      </c>
      <c r="N85" s="26">
        <f t="shared" si="2"/>
        <v>118970.84</v>
      </c>
      <c r="O85" s="26">
        <f t="shared" si="2"/>
        <v>118970.84</v>
      </c>
      <c r="P85" s="26">
        <f t="shared" si="2"/>
        <v>118970.84</v>
      </c>
      <c r="Q85" s="26">
        <f>46666.67+72595.83</f>
        <v>119262.5</v>
      </c>
      <c r="R85" s="39">
        <f>46666.67+72595.83</f>
        <v>119262.5</v>
      </c>
      <c r="S85" s="26">
        <f>SUM(G85:R85)</f>
        <v>1428233.4</v>
      </c>
    </row>
    <row r="86" spans="3:19" ht="13.5" customHeight="1" thickBot="1">
      <c r="C86" s="6" t="s">
        <v>26</v>
      </c>
      <c r="G86" s="27">
        <f aca="true" t="shared" si="3" ref="G86:S86">SUM(G83:G85)</f>
        <v>120613.76</v>
      </c>
      <c r="H86" s="27">
        <f t="shared" si="3"/>
        <v>120363.76</v>
      </c>
      <c r="I86" s="27">
        <f t="shared" si="3"/>
        <v>120363.76</v>
      </c>
      <c r="J86" s="27">
        <f t="shared" si="3"/>
        <v>120363.76</v>
      </c>
      <c r="K86" s="27">
        <f t="shared" si="3"/>
        <v>120363.76</v>
      </c>
      <c r="L86" s="27">
        <f t="shared" si="3"/>
        <v>120363.76</v>
      </c>
      <c r="M86" s="27">
        <f t="shared" si="3"/>
        <v>120363.76</v>
      </c>
      <c r="N86" s="27">
        <f t="shared" si="3"/>
        <v>120363.76</v>
      </c>
      <c r="O86" s="27">
        <f t="shared" si="3"/>
        <v>120363.76</v>
      </c>
      <c r="P86" s="27">
        <f t="shared" si="3"/>
        <v>120363.76</v>
      </c>
      <c r="Q86" s="27">
        <f t="shared" si="3"/>
        <v>120611.25</v>
      </c>
      <c r="R86" s="40">
        <f t="shared" si="3"/>
        <v>120611.25</v>
      </c>
      <c r="S86" s="27">
        <f t="shared" si="3"/>
        <v>1445110.0999999999</v>
      </c>
    </row>
    <row r="87" ht="13.5" customHeight="1">
      <c r="C87" s="12"/>
    </row>
    <row r="88" spans="2:3" ht="13.5" customHeight="1">
      <c r="B88" s="9" t="s">
        <v>105</v>
      </c>
      <c r="C88" s="30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2"/>
    </row>
    <row r="94" spans="2:3" ht="13.5" customHeight="1">
      <c r="B94" s="9" t="s">
        <v>105</v>
      </c>
      <c r="C94" s="10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2"/>
    </row>
    <row r="100" spans="2:3" ht="13.5" customHeight="1">
      <c r="B100" s="9" t="s">
        <v>105</v>
      </c>
      <c r="C100" s="10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2"/>
    </row>
    <row r="106" spans="2:3" ht="13.5" customHeight="1">
      <c r="B106" s="9" t="s">
        <v>105</v>
      </c>
      <c r="C106" s="30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2"/>
    </row>
    <row r="112" spans="2:3" ht="13.5" customHeight="1">
      <c r="B112" s="9" t="s">
        <v>105</v>
      </c>
      <c r="C112" s="30" t="s">
        <v>35</v>
      </c>
    </row>
    <row r="113" spans="3:19" ht="13.5" customHeight="1">
      <c r="C113" s="4" t="str">
        <f>C95</f>
        <v>Debt Reserve</v>
      </c>
      <c r="S113"/>
    </row>
    <row r="114" spans="3:19" ht="13.5" customHeight="1">
      <c r="C114" s="4" t="str">
        <f>C96</f>
        <v>Treasury Fee</v>
      </c>
      <c r="S114"/>
    </row>
    <row r="115" spans="3:19" ht="13.5" customHeight="1" thickBot="1">
      <c r="C115" s="4" t="str">
        <f>C97</f>
        <v>Intercept</v>
      </c>
      <c r="S115"/>
    </row>
    <row r="116" spans="3:19" ht="13.5" customHeight="1" thickBot="1">
      <c r="C116" s="6" t="s">
        <v>36</v>
      </c>
      <c r="S116"/>
    </row>
    <row r="117" ht="13.5" customHeight="1">
      <c r="C117" s="12"/>
    </row>
    <row r="118" spans="2:3" ht="13.5" customHeight="1">
      <c r="B118" s="9" t="s">
        <v>105</v>
      </c>
      <c r="C118" s="30" t="s">
        <v>157</v>
      </c>
    </row>
    <row r="119" spans="3:19" ht="13.5" customHeight="1">
      <c r="C119" s="4" t="str">
        <f>C101</f>
        <v>Debt Reserve</v>
      </c>
      <c r="S119"/>
    </row>
    <row r="120" spans="3:19" ht="13.5" customHeight="1">
      <c r="C120" s="4" t="str">
        <f>C102</f>
        <v>Treasury Fee</v>
      </c>
      <c r="S120"/>
    </row>
    <row r="121" spans="3:19" ht="13.5" customHeight="1" thickBot="1">
      <c r="C121" s="4" t="str">
        <f>C103</f>
        <v>Intercept</v>
      </c>
      <c r="S121"/>
    </row>
    <row r="122" spans="3:19" ht="13.5" customHeight="1" thickBot="1">
      <c r="C122" s="6" t="s">
        <v>37</v>
      </c>
      <c r="S122"/>
    </row>
    <row r="123" ht="13.5" customHeight="1">
      <c r="C123" s="12"/>
    </row>
    <row r="124" spans="1:3" ht="13.5" customHeight="1">
      <c r="A124" s="1">
        <f>A82+1</f>
        <v>3</v>
      </c>
      <c r="C124" s="5" t="s">
        <v>38</v>
      </c>
    </row>
    <row r="125" spans="3:19" ht="13.5" customHeight="1">
      <c r="C125" s="4" t="str">
        <f>C107</f>
        <v>Debt Reserve</v>
      </c>
      <c r="G125" s="26">
        <v>401.67</v>
      </c>
      <c r="H125" s="26">
        <v>401.67</v>
      </c>
      <c r="I125" s="26">
        <v>401.67</v>
      </c>
      <c r="J125" s="26">
        <v>401.67</v>
      </c>
      <c r="K125" s="26">
        <v>401.67</v>
      </c>
      <c r="L125" s="26">
        <v>401.67</v>
      </c>
      <c r="M125" s="26">
        <v>401.67</v>
      </c>
      <c r="N125" s="26">
        <v>401.67</v>
      </c>
      <c r="O125" s="26">
        <v>401.67</v>
      </c>
      <c r="P125" s="26">
        <v>401.67</v>
      </c>
      <c r="Q125" s="26">
        <v>387.5</v>
      </c>
      <c r="R125" s="39">
        <v>387.5</v>
      </c>
      <c r="S125" s="26">
        <f>SUM(G125:R125)</f>
        <v>4791.700000000001</v>
      </c>
    </row>
    <row r="126" spans="3:19" ht="13.5" customHeight="1">
      <c r="C126" s="4" t="str">
        <f>C108</f>
        <v>Treasury Fee</v>
      </c>
      <c r="G126" s="48">
        <v>250</v>
      </c>
      <c r="S126" s="26">
        <f>SUM(G126:R126)</f>
        <v>250</v>
      </c>
    </row>
    <row r="127" spans="3:19" ht="13.5" customHeight="1" thickBot="1">
      <c r="C127" s="4" t="str">
        <f>C109</f>
        <v>Intercept</v>
      </c>
      <c r="G127" s="26">
        <f>14166.67+20893.75</f>
        <v>35060.42</v>
      </c>
      <c r="H127" s="26">
        <f>14166.67+20893.75</f>
        <v>35060.42</v>
      </c>
      <c r="I127" s="26">
        <f>14166.67+20893.75</f>
        <v>35060.42</v>
      </c>
      <c r="J127" s="26">
        <f>14166.67+20893.75</f>
        <v>35060.42</v>
      </c>
      <c r="K127" s="26">
        <f>14166.67+20893.75</f>
        <v>35060.42</v>
      </c>
      <c r="L127" s="26">
        <f>14583.33+20167.71</f>
        <v>34751.04</v>
      </c>
      <c r="M127" s="26">
        <f aca="true" t="shared" si="4" ref="M127:R127">14583.33+20167.71</f>
        <v>34751.04</v>
      </c>
      <c r="N127" s="26">
        <f t="shared" si="4"/>
        <v>34751.04</v>
      </c>
      <c r="O127" s="26">
        <f t="shared" si="4"/>
        <v>34751.04</v>
      </c>
      <c r="P127" s="26">
        <f t="shared" si="4"/>
        <v>34751.04</v>
      </c>
      <c r="Q127" s="26">
        <f t="shared" si="4"/>
        <v>34751.04</v>
      </c>
      <c r="R127" s="39">
        <f t="shared" si="4"/>
        <v>34751.04</v>
      </c>
      <c r="S127" s="26">
        <f>SUM(G127:R127)</f>
        <v>418559.3799999999</v>
      </c>
    </row>
    <row r="128" spans="3:19" ht="13.5" customHeight="1" thickBot="1">
      <c r="C128" s="6" t="s">
        <v>39</v>
      </c>
      <c r="G128" s="27">
        <f aca="true" t="shared" si="5" ref="G128:S128">SUM(G125:G127)</f>
        <v>35712.09</v>
      </c>
      <c r="H128" s="27">
        <f t="shared" si="5"/>
        <v>35462.09</v>
      </c>
      <c r="I128" s="27">
        <f t="shared" si="5"/>
        <v>35462.09</v>
      </c>
      <c r="J128" s="27">
        <f t="shared" si="5"/>
        <v>35462.09</v>
      </c>
      <c r="K128" s="27">
        <f t="shared" si="5"/>
        <v>35462.09</v>
      </c>
      <c r="L128" s="27">
        <f t="shared" si="5"/>
        <v>35152.71</v>
      </c>
      <c r="M128" s="27">
        <f t="shared" si="5"/>
        <v>35152.71</v>
      </c>
      <c r="N128" s="27">
        <f t="shared" si="5"/>
        <v>35152.71</v>
      </c>
      <c r="O128" s="27">
        <f t="shared" si="5"/>
        <v>35152.71</v>
      </c>
      <c r="P128" s="27">
        <f t="shared" si="5"/>
        <v>35152.71</v>
      </c>
      <c r="Q128" s="27">
        <f t="shared" si="5"/>
        <v>35138.54</v>
      </c>
      <c r="R128" s="40">
        <f t="shared" si="5"/>
        <v>35138.54</v>
      </c>
      <c r="S128" s="27">
        <f t="shared" si="5"/>
        <v>423601.0799999999</v>
      </c>
    </row>
    <row r="129" ht="13.5" customHeight="1">
      <c r="C129" s="12"/>
    </row>
    <row r="130" spans="2:3" ht="13.5" customHeight="1">
      <c r="B130" s="9" t="s">
        <v>105</v>
      </c>
      <c r="C130" s="30" t="s">
        <v>42</v>
      </c>
    </row>
    <row r="131" spans="3:19" ht="13.5" customHeight="1">
      <c r="C131" s="4" t="str">
        <f>C113</f>
        <v>Debt Reserve</v>
      </c>
      <c r="S131"/>
    </row>
    <row r="132" spans="3:19" ht="13.5" customHeight="1">
      <c r="C132" s="4" t="str">
        <f>C114</f>
        <v>Treasury Fee</v>
      </c>
      <c r="S132"/>
    </row>
    <row r="133" spans="3:19" ht="13.5" customHeight="1" thickBot="1">
      <c r="C133" s="4" t="str">
        <f>C115</f>
        <v>Intercept</v>
      </c>
      <c r="S133"/>
    </row>
    <row r="134" spans="3:19" ht="13.5" customHeight="1" thickBot="1">
      <c r="C134" s="6" t="s">
        <v>40</v>
      </c>
      <c r="S134"/>
    </row>
    <row r="135" ht="13.5" customHeight="1">
      <c r="C135" s="12"/>
    </row>
    <row r="136" spans="2:3" ht="13.5" customHeight="1">
      <c r="B136" s="9" t="s">
        <v>105</v>
      </c>
      <c r="C136" s="10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2"/>
    </row>
    <row r="142" spans="2:3" ht="13.5" customHeight="1">
      <c r="B142" s="9" t="s">
        <v>105</v>
      </c>
      <c r="C142" s="30" t="s">
        <v>45</v>
      </c>
    </row>
    <row r="143" spans="3:19" ht="13.5" customHeight="1">
      <c r="C143" s="4" t="str">
        <f>C125</f>
        <v>Debt Reserve</v>
      </c>
      <c r="S143"/>
    </row>
    <row r="144" spans="3:19" ht="13.5" customHeight="1">
      <c r="C144" s="4" t="str">
        <f>C126</f>
        <v>Treasury Fee</v>
      </c>
      <c r="S144"/>
    </row>
    <row r="145" spans="3:19" ht="13.5" customHeight="1" thickBot="1">
      <c r="C145" s="4" t="str">
        <f>C127</f>
        <v>Intercept</v>
      </c>
      <c r="S145"/>
    </row>
    <row r="146" spans="3:19" ht="13.5" customHeight="1" thickBot="1">
      <c r="C146" s="6" t="s">
        <v>46</v>
      </c>
      <c r="S146"/>
    </row>
    <row r="147" ht="13.5" customHeight="1">
      <c r="C147" s="12"/>
    </row>
    <row r="148" spans="2:3" ht="13.5" customHeight="1">
      <c r="B148" s="9" t="s">
        <v>105</v>
      </c>
      <c r="C148" s="30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2"/>
    </row>
    <row r="154" spans="2:3" ht="13.5" customHeight="1">
      <c r="B154" s="9" t="s">
        <v>105</v>
      </c>
      <c r="C154" s="30" t="s">
        <v>49</v>
      </c>
    </row>
    <row r="155" spans="3:19" ht="13.5" customHeight="1">
      <c r="C155" s="4" t="str">
        <f>C137</f>
        <v>Debt Reserve</v>
      </c>
      <c r="S155"/>
    </row>
    <row r="156" spans="3:19" ht="13.5" customHeight="1">
      <c r="C156" s="4" t="str">
        <f>C138</f>
        <v>Treasury Fee</v>
      </c>
      <c r="S156"/>
    </row>
    <row r="157" spans="3:19" ht="13.5" customHeight="1" thickBot="1">
      <c r="C157" s="4" t="str">
        <f>C139</f>
        <v>Intercept</v>
      </c>
      <c r="S157"/>
    </row>
    <row r="158" spans="3:19" ht="13.5" customHeight="1" thickBot="1">
      <c r="C158" s="6" t="s">
        <v>50</v>
      </c>
      <c r="S158"/>
    </row>
    <row r="159" ht="13.5" customHeight="1">
      <c r="C159" s="12"/>
    </row>
    <row r="160" spans="2:3" ht="13.5" customHeight="1">
      <c r="B160" s="9" t="s">
        <v>105</v>
      </c>
      <c r="C160" s="10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2"/>
    </row>
    <row r="166" spans="2:3" ht="13.5" customHeight="1">
      <c r="B166" s="9" t="s">
        <v>105</v>
      </c>
      <c r="C166" s="30" t="s">
        <v>55</v>
      </c>
    </row>
    <row r="167" spans="3:19" ht="13.5" customHeight="1">
      <c r="C167" s="4" t="str">
        <f>C149</f>
        <v>Debt Reserve</v>
      </c>
      <c r="S167"/>
    </row>
    <row r="168" spans="3:19" ht="13.5" customHeight="1">
      <c r="C168" s="4" t="str">
        <f>C150</f>
        <v>Treasury Fee</v>
      </c>
      <c r="S168"/>
    </row>
    <row r="169" spans="3:19" ht="13.5" customHeight="1" thickBot="1">
      <c r="C169" s="4" t="str">
        <f>C151</f>
        <v>Intercept</v>
      </c>
      <c r="S169"/>
    </row>
    <row r="170" spans="3:19" ht="13.5" customHeight="1" thickBot="1">
      <c r="C170" s="6" t="s">
        <v>53</v>
      </c>
      <c r="S170"/>
    </row>
    <row r="171" ht="13.5" customHeight="1">
      <c r="C171" s="12"/>
    </row>
    <row r="172" spans="2:3" ht="13.5" customHeight="1">
      <c r="B172" s="9" t="s">
        <v>105</v>
      </c>
      <c r="C172" s="30" t="s">
        <v>57</v>
      </c>
    </row>
    <row r="173" spans="3:19" ht="13.5" customHeight="1">
      <c r="C173" s="4" t="str">
        <f>C155</f>
        <v>Debt Reserve</v>
      </c>
      <c r="S173"/>
    </row>
    <row r="174" spans="3:19" ht="13.5" customHeight="1">
      <c r="C174" s="4" t="str">
        <f>C156</f>
        <v>Treasury Fee</v>
      </c>
      <c r="S174"/>
    </row>
    <row r="175" spans="3:19" ht="13.5" customHeight="1" thickBot="1">
      <c r="C175" s="4" t="str">
        <f>C157</f>
        <v>Intercept</v>
      </c>
      <c r="S175"/>
    </row>
    <row r="176" spans="3:19" ht="13.5" customHeight="1" thickBot="1">
      <c r="C176" s="6" t="s">
        <v>58</v>
      </c>
      <c r="S176"/>
    </row>
    <row r="177" ht="13.5" customHeight="1">
      <c r="C177" s="12"/>
    </row>
    <row r="178" spans="2:3" ht="13.5" customHeight="1">
      <c r="B178" s="9" t="s">
        <v>105</v>
      </c>
      <c r="C178" s="30" t="s">
        <v>59</v>
      </c>
    </row>
    <row r="179" spans="3:19" ht="13.5" customHeight="1">
      <c r="C179" s="4" t="str">
        <f>C161</f>
        <v>Debt Reserve</v>
      </c>
      <c r="S179"/>
    </row>
    <row r="180" spans="3:19" ht="13.5" customHeight="1">
      <c r="C180" s="4" t="str">
        <f>C162</f>
        <v>Treasury Fee</v>
      </c>
      <c r="S180"/>
    </row>
    <row r="181" spans="3:19" ht="13.5" customHeight="1" thickBot="1">
      <c r="C181" s="4" t="str">
        <f>C163</f>
        <v>Intercept</v>
      </c>
      <c r="S181"/>
    </row>
    <row r="182" spans="3:19" ht="13.5" customHeight="1" thickBot="1">
      <c r="C182" s="6" t="s">
        <v>60</v>
      </c>
      <c r="S182"/>
    </row>
    <row r="183" ht="13.5" customHeight="1">
      <c r="C183" s="12"/>
    </row>
    <row r="184" spans="2:3" ht="13.5" customHeight="1">
      <c r="B184" s="9" t="s">
        <v>105</v>
      </c>
      <c r="C184" s="30" t="s">
        <v>62</v>
      </c>
    </row>
    <row r="185" spans="3:19" ht="13.5" customHeight="1">
      <c r="C185" s="4" t="str">
        <f>C167</f>
        <v>Debt Reserve</v>
      </c>
      <c r="S185"/>
    </row>
    <row r="186" spans="3:19" ht="13.5" customHeight="1">
      <c r="C186" s="4" t="str">
        <f>C168</f>
        <v>Treasury Fee</v>
      </c>
      <c r="S186"/>
    </row>
    <row r="187" spans="3:19" ht="13.5" customHeight="1" thickBot="1">
      <c r="C187" s="4" t="str">
        <f>C169</f>
        <v>Intercept</v>
      </c>
      <c r="S187"/>
    </row>
    <row r="188" spans="3:19" ht="13.5" customHeight="1" thickBot="1">
      <c r="C188" s="6" t="s">
        <v>63</v>
      </c>
      <c r="S188"/>
    </row>
    <row r="189" ht="13.5" customHeight="1">
      <c r="C189" s="12"/>
    </row>
    <row r="190" spans="2:3" ht="13.5" customHeight="1">
      <c r="B190" s="9" t="s">
        <v>105</v>
      </c>
      <c r="C190" s="30" t="s">
        <v>64</v>
      </c>
    </row>
    <row r="191" spans="3:19" ht="13.5" customHeight="1">
      <c r="C191" s="4" t="str">
        <f>C173</f>
        <v>Debt Reserve</v>
      </c>
      <c r="S191"/>
    </row>
    <row r="192" spans="3:19" ht="13.5" customHeight="1">
      <c r="C192" s="4" t="str">
        <f>C174</f>
        <v>Treasury Fee</v>
      </c>
      <c r="S192"/>
    </row>
    <row r="193" spans="3:19" ht="13.5" customHeight="1" thickBot="1">
      <c r="C193" s="4" t="str">
        <f>C175</f>
        <v>Intercept</v>
      </c>
      <c r="S193"/>
    </row>
    <row r="194" spans="3:19" ht="13.5" customHeight="1" thickBot="1">
      <c r="C194" s="6" t="s">
        <v>65</v>
      </c>
      <c r="S194"/>
    </row>
    <row r="195" ht="13.5" customHeight="1">
      <c r="C195" s="12"/>
    </row>
    <row r="196" spans="2:3" ht="13.5" customHeight="1">
      <c r="B196" s="9" t="s">
        <v>105</v>
      </c>
      <c r="C196" s="30" t="s">
        <v>66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67</v>
      </c>
    </row>
    <row r="201" ht="13.5" customHeight="1">
      <c r="C201" s="12"/>
    </row>
    <row r="202" spans="2:3" ht="13.5" customHeight="1">
      <c r="B202" s="9" t="s">
        <v>105</v>
      </c>
      <c r="C202" s="30" t="s">
        <v>134</v>
      </c>
    </row>
    <row r="203" spans="3:19" ht="13.5" customHeight="1">
      <c r="C203" s="4" t="str">
        <f>C185</f>
        <v>Debt Reserve</v>
      </c>
      <c r="S203"/>
    </row>
    <row r="204" spans="3:19" ht="13.5" customHeight="1">
      <c r="C204" s="4" t="str">
        <f>C186</f>
        <v>Treasury Fee</v>
      </c>
      <c r="S204"/>
    </row>
    <row r="205" spans="3:19" ht="13.5" customHeight="1" thickBot="1">
      <c r="C205" s="4" t="str">
        <f>C187</f>
        <v>Intercept</v>
      </c>
      <c r="S205"/>
    </row>
    <row r="206" spans="3:19" ht="13.5" customHeight="1" thickBot="1">
      <c r="C206" s="6" t="s">
        <v>68</v>
      </c>
      <c r="S206"/>
    </row>
    <row r="207" ht="13.5" customHeight="1">
      <c r="C207" s="12"/>
    </row>
    <row r="208" spans="1:3" ht="13.5" customHeight="1">
      <c r="A208" s="1">
        <f>A124+1</f>
        <v>4</v>
      </c>
      <c r="C208" s="5" t="s">
        <v>69</v>
      </c>
    </row>
    <row r="209" spans="3:19" ht="13.5" customHeight="1">
      <c r="C209" s="4" t="str">
        <f>C191</f>
        <v>Debt Reserve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39">
        <v>0</v>
      </c>
      <c r="S209" s="26">
        <f>SUM(G209:R209)</f>
        <v>0</v>
      </c>
    </row>
    <row r="210" spans="3:19" ht="13.5" customHeight="1">
      <c r="C210" s="4" t="str">
        <f>C192</f>
        <v>Treasury Fee</v>
      </c>
      <c r="G210" s="48">
        <v>250</v>
      </c>
      <c r="S210" s="26">
        <f>SUM(G210:R210)</f>
        <v>250</v>
      </c>
    </row>
    <row r="211" spans="3:19" ht="13.5" customHeight="1" thickBot="1">
      <c r="C211" s="4" t="str">
        <f>C193</f>
        <v>Intercept</v>
      </c>
      <c r="G211" s="26">
        <f aca="true" t="shared" si="6" ref="G211:P211">15833.33+27780.42</f>
        <v>43613.75</v>
      </c>
      <c r="H211" s="26">
        <f t="shared" si="6"/>
        <v>43613.75</v>
      </c>
      <c r="I211" s="26">
        <f t="shared" si="6"/>
        <v>43613.75</v>
      </c>
      <c r="J211" s="26">
        <f t="shared" si="6"/>
        <v>43613.75</v>
      </c>
      <c r="K211" s="26">
        <f t="shared" si="6"/>
        <v>43613.75</v>
      </c>
      <c r="L211" s="26">
        <f t="shared" si="6"/>
        <v>43613.75</v>
      </c>
      <c r="M211" s="26">
        <f t="shared" si="6"/>
        <v>43613.75</v>
      </c>
      <c r="N211" s="26">
        <f t="shared" si="6"/>
        <v>43613.75</v>
      </c>
      <c r="O211" s="26">
        <f t="shared" si="6"/>
        <v>43613.75</v>
      </c>
      <c r="P211" s="26">
        <f t="shared" si="6"/>
        <v>43613.75</v>
      </c>
      <c r="Q211" s="26">
        <f>16666.67+26925.42</f>
        <v>43592.09</v>
      </c>
      <c r="R211" s="39">
        <f>16666.67+26925.42</f>
        <v>43592.09</v>
      </c>
      <c r="S211" s="26">
        <f>SUM(G211:R211)</f>
        <v>523321.67999999993</v>
      </c>
    </row>
    <row r="212" spans="3:19" ht="13.5" customHeight="1" thickBot="1">
      <c r="C212" s="6" t="s">
        <v>20</v>
      </c>
      <c r="G212" s="27">
        <f aca="true" t="shared" si="7" ref="G212:S212">SUM(G209:G211)</f>
        <v>43863.75</v>
      </c>
      <c r="H212" s="27">
        <f t="shared" si="7"/>
        <v>43613.75</v>
      </c>
      <c r="I212" s="27">
        <f t="shared" si="7"/>
        <v>43613.75</v>
      </c>
      <c r="J212" s="27">
        <f t="shared" si="7"/>
        <v>43613.75</v>
      </c>
      <c r="K212" s="27">
        <f t="shared" si="7"/>
        <v>43613.75</v>
      </c>
      <c r="L212" s="27">
        <f t="shared" si="7"/>
        <v>43613.75</v>
      </c>
      <c r="M212" s="27">
        <f t="shared" si="7"/>
        <v>43613.75</v>
      </c>
      <c r="N212" s="27">
        <f t="shared" si="7"/>
        <v>43613.75</v>
      </c>
      <c r="O212" s="27">
        <f t="shared" si="7"/>
        <v>43613.75</v>
      </c>
      <c r="P212" s="27">
        <f t="shared" si="7"/>
        <v>43613.75</v>
      </c>
      <c r="Q212" s="27">
        <f t="shared" si="7"/>
        <v>43592.09</v>
      </c>
      <c r="R212" s="40">
        <f t="shared" si="7"/>
        <v>43592.09</v>
      </c>
      <c r="S212" s="27">
        <f t="shared" si="7"/>
        <v>523571.67999999993</v>
      </c>
    </row>
    <row r="213" ht="13.5" customHeight="1">
      <c r="C213" s="12"/>
    </row>
    <row r="214" spans="2:3" ht="13.5" customHeight="1">
      <c r="B214" s="9" t="s">
        <v>105</v>
      </c>
      <c r="C214" s="30" t="s">
        <v>70</v>
      </c>
    </row>
    <row r="215" spans="3:19" ht="13.5" customHeight="1">
      <c r="C215" s="4" t="str">
        <f>C197</f>
        <v>Debt Reserve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/>
      <c r="M215" s="26"/>
      <c r="N215" s="26"/>
      <c r="O215" s="26"/>
      <c r="P215" s="26"/>
      <c r="Q215" s="26"/>
      <c r="R215" s="39"/>
      <c r="S215" s="26">
        <f>SUM(G215:R215)</f>
        <v>0</v>
      </c>
    </row>
    <row r="216" spans="3:19" ht="13.5" customHeight="1">
      <c r="C216" s="4" t="str">
        <f>C198</f>
        <v>Treasury Fee</v>
      </c>
      <c r="G216" s="48">
        <v>250</v>
      </c>
      <c r="S216" s="26">
        <f>SUM(G216:R216)</f>
        <v>250</v>
      </c>
    </row>
    <row r="217" spans="3:19" ht="13.5" customHeight="1" thickBot="1">
      <c r="C217" s="4" t="str">
        <f>C199</f>
        <v>Intercept</v>
      </c>
      <c r="G217" s="26">
        <f>10000+20648.44</f>
        <v>30648.44</v>
      </c>
      <c r="H217" s="26">
        <f>10000+20648.44</f>
        <v>30648.44</v>
      </c>
      <c r="I217" s="26">
        <f>10000+20648.44</f>
        <v>30648.44</v>
      </c>
      <c r="J217" s="26">
        <f>10000+20648.44</f>
        <v>30648.44</v>
      </c>
      <c r="K217" s="26">
        <f>10833.33+20085.94</f>
        <v>30919.269999999997</v>
      </c>
      <c r="L217" s="26"/>
      <c r="M217" s="26"/>
      <c r="N217" s="26"/>
      <c r="O217" s="26"/>
      <c r="P217" s="26"/>
      <c r="Q217" s="26"/>
      <c r="R217" s="39"/>
      <c r="S217" s="26">
        <f>SUM(G217:R217)</f>
        <v>153513.03</v>
      </c>
    </row>
    <row r="218" spans="3:19" ht="13.5" customHeight="1" thickBot="1">
      <c r="C218" s="6" t="s">
        <v>71</v>
      </c>
      <c r="G218" s="27">
        <f aca="true" t="shared" si="8" ref="G218:S218">SUM(G215:G217)</f>
        <v>30898.44</v>
      </c>
      <c r="H218" s="27">
        <f t="shared" si="8"/>
        <v>30648.44</v>
      </c>
      <c r="I218" s="27">
        <f t="shared" si="8"/>
        <v>30648.44</v>
      </c>
      <c r="J218" s="27">
        <f t="shared" si="8"/>
        <v>30648.44</v>
      </c>
      <c r="K218" s="27">
        <f t="shared" si="8"/>
        <v>30919.269999999997</v>
      </c>
      <c r="L218" s="27">
        <f t="shared" si="8"/>
        <v>0</v>
      </c>
      <c r="M218" s="27">
        <f t="shared" si="8"/>
        <v>0</v>
      </c>
      <c r="N218" s="27">
        <f t="shared" si="8"/>
        <v>0</v>
      </c>
      <c r="O218" s="27">
        <f t="shared" si="8"/>
        <v>0</v>
      </c>
      <c r="P218" s="27">
        <f t="shared" si="8"/>
        <v>0</v>
      </c>
      <c r="Q218" s="27">
        <f t="shared" si="8"/>
        <v>0</v>
      </c>
      <c r="R218" s="40">
        <f t="shared" si="8"/>
        <v>0</v>
      </c>
      <c r="S218" s="27">
        <f t="shared" si="8"/>
        <v>153763.03</v>
      </c>
    </row>
    <row r="219" ht="13.5" customHeight="1">
      <c r="C219" s="12"/>
    </row>
    <row r="220" spans="1:3" ht="13.5" customHeight="1">
      <c r="A220" s="1">
        <f>A208+1</f>
        <v>5</v>
      </c>
      <c r="C220" s="5" t="s">
        <v>72</v>
      </c>
    </row>
    <row r="221" spans="3:19" ht="13.5" customHeight="1">
      <c r="C221" s="4" t="str">
        <f>C203</f>
        <v>Debt Reserve</v>
      </c>
      <c r="G221" s="26">
        <v>351.93</v>
      </c>
      <c r="H221" s="26">
        <v>351.93</v>
      </c>
      <c r="I221" s="26">
        <v>351.93</v>
      </c>
      <c r="J221" s="26">
        <v>351.93</v>
      </c>
      <c r="K221" s="26">
        <v>351.93</v>
      </c>
      <c r="L221" s="26">
        <v>351.93</v>
      </c>
      <c r="M221" s="26">
        <v>339.45</v>
      </c>
      <c r="N221" s="26">
        <v>339.45</v>
      </c>
      <c r="O221" s="26">
        <v>339.45</v>
      </c>
      <c r="P221" s="26">
        <v>339.45</v>
      </c>
      <c r="Q221" s="26">
        <v>339.45</v>
      </c>
      <c r="R221" s="39">
        <v>339.45</v>
      </c>
      <c r="S221" s="26">
        <f>SUM(G221:R221)</f>
        <v>4148.279999999999</v>
      </c>
    </row>
    <row r="222" spans="3:19" ht="13.5" customHeight="1">
      <c r="C222" s="4" t="str">
        <f>C204</f>
        <v>Treasury Fee</v>
      </c>
      <c r="G222" s="48">
        <v>250</v>
      </c>
      <c r="S222" s="26">
        <f>SUM(G222:R222)</f>
        <v>250</v>
      </c>
    </row>
    <row r="223" spans="3:19" ht="13.5" customHeight="1" thickBot="1">
      <c r="C223" s="4" t="str">
        <f>C205</f>
        <v>Intercept</v>
      </c>
      <c r="G223" s="26">
        <f>12500+15151.88</f>
        <v>27651.879999999997</v>
      </c>
      <c r="H223" s="26">
        <f>12500+15151.88</f>
        <v>27651.879999999997</v>
      </c>
      <c r="I223" s="26">
        <f>12500+15151.88</f>
        <v>27651.879999999997</v>
      </c>
      <c r="J223" s="26">
        <f>12500+15151.88</f>
        <v>27651.879999999997</v>
      </c>
      <c r="K223" s="26">
        <f>12500+15151.88</f>
        <v>27651.879999999997</v>
      </c>
      <c r="L223" s="26">
        <f>12916.67+14651.88</f>
        <v>27568.55</v>
      </c>
      <c r="M223" s="26">
        <f aca="true" t="shared" si="9" ref="M223:R223">12916.67+14651.88</f>
        <v>27568.55</v>
      </c>
      <c r="N223" s="26">
        <f t="shared" si="9"/>
        <v>27568.55</v>
      </c>
      <c r="O223" s="26">
        <f t="shared" si="9"/>
        <v>27568.55</v>
      </c>
      <c r="P223" s="26">
        <f t="shared" si="9"/>
        <v>27568.55</v>
      </c>
      <c r="Q223" s="26">
        <f t="shared" si="9"/>
        <v>27568.55</v>
      </c>
      <c r="R223" s="39">
        <f t="shared" si="9"/>
        <v>27568.55</v>
      </c>
      <c r="S223" s="26">
        <f>SUM(G223:R223)</f>
        <v>331239.24999999994</v>
      </c>
    </row>
    <row r="224" spans="3:19" ht="13.5" customHeight="1" thickBot="1">
      <c r="C224" s="6" t="s">
        <v>73</v>
      </c>
      <c r="G224" s="27">
        <f aca="true" t="shared" si="10" ref="G224:S224">SUM(G221:G223)</f>
        <v>28253.809999999998</v>
      </c>
      <c r="H224" s="27">
        <f t="shared" si="10"/>
        <v>28003.809999999998</v>
      </c>
      <c r="I224" s="27">
        <f t="shared" si="10"/>
        <v>28003.809999999998</v>
      </c>
      <c r="J224" s="27">
        <f t="shared" si="10"/>
        <v>28003.809999999998</v>
      </c>
      <c r="K224" s="27">
        <f t="shared" si="10"/>
        <v>28003.809999999998</v>
      </c>
      <c r="L224" s="27">
        <f t="shared" si="10"/>
        <v>27920.48</v>
      </c>
      <c r="M224" s="27">
        <f t="shared" si="10"/>
        <v>27908</v>
      </c>
      <c r="N224" s="27">
        <f t="shared" si="10"/>
        <v>27908</v>
      </c>
      <c r="O224" s="27">
        <f t="shared" si="10"/>
        <v>27908</v>
      </c>
      <c r="P224" s="27">
        <f t="shared" si="10"/>
        <v>27908</v>
      </c>
      <c r="Q224" s="27">
        <f t="shared" si="10"/>
        <v>27908</v>
      </c>
      <c r="R224" s="40">
        <f t="shared" si="10"/>
        <v>27908</v>
      </c>
      <c r="S224" s="27">
        <f t="shared" si="10"/>
        <v>335637.5299999999</v>
      </c>
    </row>
    <row r="225" ht="13.5" customHeight="1">
      <c r="C225" s="12"/>
    </row>
    <row r="226" spans="2:3" ht="13.5" customHeight="1">
      <c r="B226" s="9" t="s">
        <v>105</v>
      </c>
      <c r="C226" s="44" t="s">
        <v>74</v>
      </c>
    </row>
    <row r="227" spans="3:19" ht="13.5" customHeight="1">
      <c r="C227" s="4" t="str">
        <f>C209</f>
        <v>Debt Reserve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S227" s="26">
        <f>SUM(G227:R227)</f>
        <v>0</v>
      </c>
    </row>
    <row r="228" spans="3:19" ht="13.5" customHeight="1">
      <c r="C228" s="4" t="str">
        <f>C210</f>
        <v>Treasury Fee</v>
      </c>
      <c r="G228" s="48">
        <v>250</v>
      </c>
      <c r="S228" s="26">
        <f>SUM(G228:R228)</f>
        <v>250</v>
      </c>
    </row>
    <row r="229" spans="3:19" ht="13.5" customHeight="1" thickBot="1">
      <c r="C229" s="4" t="str">
        <f>C211</f>
        <v>Intercept</v>
      </c>
      <c r="G229" s="26">
        <f>8750+20220.83</f>
        <v>28970.83</v>
      </c>
      <c r="H229" s="26">
        <f>8750+20220.83</f>
        <v>28970.83</v>
      </c>
      <c r="I229" s="26">
        <f>8750+20220.83</f>
        <v>28970.83</v>
      </c>
      <c r="J229" s="26">
        <f>8750+20220.83</f>
        <v>28970.83</v>
      </c>
      <c r="K229" s="26">
        <f>8750+20220.83</f>
        <v>28970.83</v>
      </c>
      <c r="L229" s="26">
        <f>9166.67+19717.71</f>
        <v>28884.379999999997</v>
      </c>
      <c r="M229" s="26">
        <f>9166.67+19717.71</f>
        <v>28884.379999999997</v>
      </c>
      <c r="N229" s="26">
        <f>9166.67+19717.71</f>
        <v>28884.379999999997</v>
      </c>
      <c r="O229" s="26">
        <f>9166.67+19717.71</f>
        <v>28884.379999999997</v>
      </c>
      <c r="S229" s="26">
        <f>SUM(G229:R229)</f>
        <v>260391.67000000004</v>
      </c>
    </row>
    <row r="230" spans="3:19" ht="13.5" customHeight="1" thickBot="1">
      <c r="C230" s="14" t="s">
        <v>75</v>
      </c>
      <c r="G230" s="27">
        <f aca="true" t="shared" si="11" ref="G230:S230">SUM(G227:G229)</f>
        <v>29220.83</v>
      </c>
      <c r="H230" s="27">
        <f t="shared" si="11"/>
        <v>28970.83</v>
      </c>
      <c r="I230" s="27">
        <f t="shared" si="11"/>
        <v>28970.83</v>
      </c>
      <c r="J230" s="27">
        <f t="shared" si="11"/>
        <v>28970.83</v>
      </c>
      <c r="K230" s="27">
        <f t="shared" si="11"/>
        <v>28970.83</v>
      </c>
      <c r="L230" s="27">
        <f t="shared" si="11"/>
        <v>28884.379999999997</v>
      </c>
      <c r="M230" s="27">
        <f t="shared" si="11"/>
        <v>28884.379999999997</v>
      </c>
      <c r="N230" s="27">
        <f t="shared" si="11"/>
        <v>28884.379999999997</v>
      </c>
      <c r="O230" s="27">
        <f t="shared" si="11"/>
        <v>28884.379999999997</v>
      </c>
      <c r="P230" s="27">
        <f t="shared" si="11"/>
        <v>0</v>
      </c>
      <c r="Q230" s="27">
        <f t="shared" si="11"/>
        <v>0</v>
      </c>
      <c r="R230" s="40">
        <f t="shared" si="11"/>
        <v>0</v>
      </c>
      <c r="S230" s="27">
        <f t="shared" si="11"/>
        <v>260641.67000000004</v>
      </c>
    </row>
    <row r="231" ht="13.5" customHeight="1">
      <c r="C231" s="12"/>
    </row>
    <row r="232" spans="1:3" ht="13.5" customHeight="1">
      <c r="A232" s="1">
        <f>A220+1</f>
        <v>6</v>
      </c>
      <c r="C232" s="13" t="s">
        <v>76</v>
      </c>
    </row>
    <row r="233" spans="3:19" ht="13.5" customHeight="1">
      <c r="C233" s="4" t="str">
        <f>C221</f>
        <v>Debt Reserve</v>
      </c>
      <c r="G233" s="26">
        <v>1078.75</v>
      </c>
      <c r="H233" s="26">
        <v>1078.75</v>
      </c>
      <c r="I233" s="26">
        <v>1078.75</v>
      </c>
      <c r="J233" s="26">
        <v>1078.75</v>
      </c>
      <c r="K233" s="26">
        <v>1078.75</v>
      </c>
      <c r="L233" s="26">
        <v>1078.75</v>
      </c>
      <c r="M233" s="26">
        <v>1078.75</v>
      </c>
      <c r="N233" s="26">
        <v>1078.75</v>
      </c>
      <c r="O233" s="26">
        <v>1078.75</v>
      </c>
      <c r="P233" s="26">
        <v>1046.25</v>
      </c>
      <c r="Q233" s="26">
        <v>1046.25</v>
      </c>
      <c r="R233" s="39">
        <v>1046.25</v>
      </c>
      <c r="S233" s="26">
        <f>SUM(G233:R233)</f>
        <v>12847.5</v>
      </c>
    </row>
    <row r="234" spans="3:19" ht="13.5" customHeight="1">
      <c r="C234" s="4" t="str">
        <f>C222</f>
        <v>Treasury Fee</v>
      </c>
      <c r="G234" s="48">
        <v>250</v>
      </c>
      <c r="S234" s="26">
        <f>SUM(G234:R234)</f>
        <v>250</v>
      </c>
    </row>
    <row r="235" spans="3:19" ht="13.5" customHeight="1" thickBot="1">
      <c r="C235" s="4" t="str">
        <f>C223</f>
        <v>Intercept</v>
      </c>
      <c r="G235" s="26">
        <f>32500+47306.25</f>
        <v>79806.25</v>
      </c>
      <c r="H235" s="26">
        <f>33750+46006.25</f>
        <v>79756.25</v>
      </c>
      <c r="I235" s="26">
        <f aca="true" t="shared" si="12" ref="I235:R235">33750+46006.25</f>
        <v>79756.25</v>
      </c>
      <c r="J235" s="26">
        <f t="shared" si="12"/>
        <v>79756.25</v>
      </c>
      <c r="K235" s="26">
        <f t="shared" si="12"/>
        <v>79756.25</v>
      </c>
      <c r="L235" s="26">
        <f t="shared" si="12"/>
        <v>79756.25</v>
      </c>
      <c r="M235" s="26">
        <f t="shared" si="12"/>
        <v>79756.25</v>
      </c>
      <c r="N235" s="26">
        <f t="shared" si="12"/>
        <v>79756.25</v>
      </c>
      <c r="O235" s="26">
        <f t="shared" si="12"/>
        <v>79756.25</v>
      </c>
      <c r="P235" s="26">
        <f t="shared" si="12"/>
        <v>79756.25</v>
      </c>
      <c r="Q235" s="26">
        <f t="shared" si="12"/>
        <v>79756.25</v>
      </c>
      <c r="R235" s="39">
        <f t="shared" si="12"/>
        <v>79756.25</v>
      </c>
      <c r="S235" s="26">
        <f>SUM(G235:R235)</f>
        <v>957125</v>
      </c>
    </row>
    <row r="236" spans="3:19" ht="13.5" customHeight="1" thickBot="1">
      <c r="C236" s="14" t="s">
        <v>77</v>
      </c>
      <c r="G236" s="27">
        <f aca="true" t="shared" si="13" ref="G236:S236">SUM(G233:G235)</f>
        <v>81135</v>
      </c>
      <c r="H236" s="27">
        <f t="shared" si="13"/>
        <v>80835</v>
      </c>
      <c r="I236" s="27">
        <f t="shared" si="13"/>
        <v>80835</v>
      </c>
      <c r="J236" s="27">
        <f t="shared" si="13"/>
        <v>80835</v>
      </c>
      <c r="K236" s="27">
        <f t="shared" si="13"/>
        <v>80835</v>
      </c>
      <c r="L236" s="27">
        <f t="shared" si="13"/>
        <v>80835</v>
      </c>
      <c r="M236" s="27">
        <f t="shared" si="13"/>
        <v>80835</v>
      </c>
      <c r="N236" s="27">
        <f t="shared" si="13"/>
        <v>80835</v>
      </c>
      <c r="O236" s="27">
        <f t="shared" si="13"/>
        <v>80835</v>
      </c>
      <c r="P236" s="27">
        <f t="shared" si="13"/>
        <v>80802.5</v>
      </c>
      <c r="Q236" s="27">
        <f t="shared" si="13"/>
        <v>80802.5</v>
      </c>
      <c r="R236" s="40">
        <f t="shared" si="13"/>
        <v>80802.5</v>
      </c>
      <c r="S236" s="27">
        <f t="shared" si="13"/>
        <v>970222.5</v>
      </c>
    </row>
    <row r="237" ht="13.5" customHeight="1">
      <c r="C237" s="12"/>
    </row>
    <row r="238" spans="1:3" ht="13.5" customHeight="1">
      <c r="A238" s="1">
        <f>A232+1</f>
        <v>7</v>
      </c>
      <c r="C238" s="13" t="s">
        <v>78</v>
      </c>
    </row>
    <row r="239" spans="3:19" ht="13.5" customHeight="1">
      <c r="C239" s="4" t="str">
        <f>C227</f>
        <v>Debt Reserve</v>
      </c>
      <c r="G239" s="26">
        <v>613.75</v>
      </c>
      <c r="H239" s="26">
        <v>613.75</v>
      </c>
      <c r="I239" s="26">
        <v>613.75</v>
      </c>
      <c r="J239" s="26">
        <v>613.75</v>
      </c>
      <c r="K239" s="26">
        <v>613.75</v>
      </c>
      <c r="L239" s="26">
        <v>613.75</v>
      </c>
      <c r="M239" s="26">
        <v>613.75</v>
      </c>
      <c r="N239" s="26">
        <v>613.75</v>
      </c>
      <c r="O239" s="26">
        <v>613.75</v>
      </c>
      <c r="P239" s="26">
        <v>613.75</v>
      </c>
      <c r="Q239" s="26">
        <v>613.75</v>
      </c>
      <c r="R239" s="39">
        <v>594.17</v>
      </c>
      <c r="S239" s="26">
        <f>SUM(G239:R239)</f>
        <v>7345.42</v>
      </c>
    </row>
    <row r="240" spans="3:19" ht="13.5" customHeight="1">
      <c r="C240" s="4" t="str">
        <f>C228</f>
        <v>Treasury Fee</v>
      </c>
      <c r="G240" s="48">
        <v>250</v>
      </c>
      <c r="S240" s="26">
        <f>SUM(G240:R240)</f>
        <v>250</v>
      </c>
    </row>
    <row r="241" spans="3:19" ht="13.5" customHeight="1" thickBot="1">
      <c r="C241" s="4" t="str">
        <f>C229</f>
        <v>Intercept</v>
      </c>
      <c r="G241" s="26">
        <f aca="true" t="shared" si="14" ref="G241:N241">19583.33+27851.77</f>
        <v>47435.100000000006</v>
      </c>
      <c r="H241" s="26">
        <f t="shared" si="14"/>
        <v>47435.100000000006</v>
      </c>
      <c r="I241" s="26">
        <f t="shared" si="14"/>
        <v>47435.100000000006</v>
      </c>
      <c r="J241" s="26">
        <f t="shared" si="14"/>
        <v>47435.100000000006</v>
      </c>
      <c r="K241" s="26">
        <f t="shared" si="14"/>
        <v>47435.100000000006</v>
      </c>
      <c r="L241" s="26">
        <f t="shared" si="14"/>
        <v>47435.100000000006</v>
      </c>
      <c r="M241" s="26">
        <f t="shared" si="14"/>
        <v>47435.100000000006</v>
      </c>
      <c r="N241" s="26">
        <f t="shared" si="14"/>
        <v>47435.100000000006</v>
      </c>
      <c r="O241" s="26">
        <f>20416.67+27048.86</f>
        <v>47465.53</v>
      </c>
      <c r="P241" s="26">
        <f>20416.67+27048.86</f>
        <v>47465.53</v>
      </c>
      <c r="Q241" s="26">
        <f>20416.67+27048.86</f>
        <v>47465.53</v>
      </c>
      <c r="R241" s="39">
        <f>20416.67+27048.86</f>
        <v>47465.53</v>
      </c>
      <c r="S241" s="26">
        <f>SUM(G241:R241)</f>
        <v>569342.9200000002</v>
      </c>
    </row>
    <row r="242" spans="3:19" ht="13.5" customHeight="1" thickBot="1">
      <c r="C242" s="14" t="s">
        <v>79</v>
      </c>
      <c r="G242" s="27">
        <f aca="true" t="shared" si="15" ref="G242:S242">SUM(G239:G241)</f>
        <v>48298.850000000006</v>
      </c>
      <c r="H242" s="27">
        <f t="shared" si="15"/>
        <v>48048.850000000006</v>
      </c>
      <c r="I242" s="27">
        <f t="shared" si="15"/>
        <v>48048.850000000006</v>
      </c>
      <c r="J242" s="27">
        <f t="shared" si="15"/>
        <v>48048.850000000006</v>
      </c>
      <c r="K242" s="27">
        <f t="shared" si="15"/>
        <v>48048.850000000006</v>
      </c>
      <c r="L242" s="27">
        <f t="shared" si="15"/>
        <v>48048.850000000006</v>
      </c>
      <c r="M242" s="27">
        <f t="shared" si="15"/>
        <v>48048.850000000006</v>
      </c>
      <c r="N242" s="27">
        <f t="shared" si="15"/>
        <v>48048.850000000006</v>
      </c>
      <c r="O242" s="27">
        <f t="shared" si="15"/>
        <v>48079.28</v>
      </c>
      <c r="P242" s="27">
        <f t="shared" si="15"/>
        <v>48079.28</v>
      </c>
      <c r="Q242" s="27">
        <f t="shared" si="15"/>
        <v>48079.28</v>
      </c>
      <c r="R242" s="40">
        <f t="shared" si="15"/>
        <v>48059.7</v>
      </c>
      <c r="S242" s="27">
        <f t="shared" si="15"/>
        <v>576938.3400000002</v>
      </c>
    </row>
    <row r="243" ht="13.5" customHeight="1">
      <c r="C243" s="12"/>
    </row>
    <row r="244" spans="2:3" ht="13.5" customHeight="1">
      <c r="B244" s="9" t="s">
        <v>105</v>
      </c>
      <c r="C244" s="44" t="s">
        <v>80</v>
      </c>
    </row>
    <row r="245" spans="3:19" ht="13.5" customHeight="1">
      <c r="C245" s="4" t="str">
        <f>C239</f>
        <v>Debt Reserve</v>
      </c>
      <c r="S245"/>
    </row>
    <row r="246" spans="3:19" ht="13.5" customHeight="1">
      <c r="C246" s="4" t="str">
        <f>C240</f>
        <v>Treasury Fee</v>
      </c>
      <c r="S246"/>
    </row>
    <row r="247" spans="3:19" ht="13.5" customHeight="1" thickBot="1">
      <c r="C247" s="4" t="str">
        <f>C241</f>
        <v>Intercept</v>
      </c>
      <c r="S247"/>
    </row>
    <row r="248" spans="3:19" ht="13.5" customHeight="1" thickBot="1">
      <c r="C248" s="6" t="s">
        <v>30</v>
      </c>
      <c r="S248"/>
    </row>
    <row r="249" spans="3:19" ht="13.5" customHeight="1">
      <c r="C249" s="12"/>
      <c r="S249"/>
    </row>
    <row r="250" spans="2:19" ht="13.5" customHeight="1">
      <c r="B250" s="9" t="s">
        <v>105</v>
      </c>
      <c r="C250" s="44" t="s">
        <v>81</v>
      </c>
      <c r="S250"/>
    </row>
    <row r="251" spans="3:19" ht="13.5" customHeight="1">
      <c r="C251" s="4" t="str">
        <f>C245</f>
        <v>Debt Reserve</v>
      </c>
      <c r="S251"/>
    </row>
    <row r="252" spans="3:19" ht="13.5" customHeight="1">
      <c r="C252" s="4" t="str">
        <f>C246</f>
        <v>Treasury Fee</v>
      </c>
      <c r="S252"/>
    </row>
    <row r="253" spans="3:19" ht="13.5" customHeight="1" thickBot="1">
      <c r="C253" s="4" t="str">
        <f>C247</f>
        <v>Intercept</v>
      </c>
      <c r="S253"/>
    </row>
    <row r="254" spans="3:19" ht="13.5" customHeight="1" thickBot="1">
      <c r="C254" s="6" t="s">
        <v>32</v>
      </c>
      <c r="S254"/>
    </row>
    <row r="255" spans="3:19" ht="13.5" customHeight="1">
      <c r="C255" s="12"/>
      <c r="S255"/>
    </row>
    <row r="256" spans="2:19" ht="13.5" customHeight="1">
      <c r="B256" s="9" t="s">
        <v>105</v>
      </c>
      <c r="C256" s="44" t="s">
        <v>82</v>
      </c>
      <c r="S256"/>
    </row>
    <row r="257" spans="3:19" ht="13.5" customHeight="1">
      <c r="C257" s="4" t="str">
        <f>C251</f>
        <v>Debt Reserve</v>
      </c>
      <c r="S257"/>
    </row>
    <row r="258" spans="3:19" ht="13.5" customHeight="1">
      <c r="C258" s="4" t="str">
        <f>C252</f>
        <v>Treasury Fee</v>
      </c>
      <c r="S258"/>
    </row>
    <row r="259" spans="3:19" ht="13.5" customHeight="1" thickBot="1">
      <c r="C259" s="4" t="str">
        <f>C253</f>
        <v>Intercept</v>
      </c>
      <c r="S259"/>
    </row>
    <row r="260" spans="3:19" ht="13.5" customHeight="1" thickBot="1">
      <c r="C260" s="14" t="s">
        <v>83</v>
      </c>
      <c r="S260"/>
    </row>
    <row r="261" ht="13.5" customHeight="1">
      <c r="C261" s="15"/>
    </row>
    <row r="262" spans="1:3" ht="13.5" customHeight="1">
      <c r="A262" s="16"/>
      <c r="B262" s="7" t="s">
        <v>104</v>
      </c>
      <c r="C262" s="35" t="s">
        <v>85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4" t="s">
        <v>86</v>
      </c>
    </row>
    <row r="267" ht="13.5" customHeight="1">
      <c r="C267" s="15"/>
    </row>
    <row r="268" spans="1:3" ht="13.5" customHeight="1">
      <c r="A268" s="16"/>
      <c r="B268" s="9" t="s">
        <v>105</v>
      </c>
      <c r="C268" s="44" t="s">
        <v>88</v>
      </c>
    </row>
    <row r="269" spans="3:19" ht="13.5" customHeight="1">
      <c r="C269" s="4" t="str">
        <f>C263</f>
        <v>Debt Reserve</v>
      </c>
      <c r="S269"/>
    </row>
    <row r="270" spans="3:19" ht="13.5" customHeight="1">
      <c r="C270" s="4" t="str">
        <f>C264</f>
        <v>Treasury Fee</v>
      </c>
      <c r="S270"/>
    </row>
    <row r="271" spans="3:19" ht="13.5" customHeight="1" thickBot="1">
      <c r="C271" s="4" t="str">
        <f>C265</f>
        <v>Intercept</v>
      </c>
      <c r="S271"/>
    </row>
    <row r="272" spans="3:19" ht="13.5" customHeight="1" thickBot="1">
      <c r="C272" s="14" t="s">
        <v>89</v>
      </c>
      <c r="S272"/>
    </row>
    <row r="273" ht="13.5" customHeight="1">
      <c r="C273" s="15"/>
    </row>
    <row r="274" spans="1:3" ht="13.5" customHeight="1">
      <c r="A274" s="16">
        <f>+A238+1</f>
        <v>8</v>
      </c>
      <c r="C274" s="13" t="s">
        <v>90</v>
      </c>
    </row>
    <row r="275" spans="3:19" ht="13.5" customHeight="1">
      <c r="C275" s="4" t="str">
        <f>C269</f>
        <v>Debt Reserve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39">
        <v>0</v>
      </c>
      <c r="S275" s="26">
        <f>SUM(G275:R275)</f>
        <v>0</v>
      </c>
    </row>
    <row r="276" spans="3:19" ht="13.5" customHeight="1">
      <c r="C276" s="4" t="str">
        <f>C270</f>
        <v>Treasury Fee</v>
      </c>
      <c r="G276" s="48">
        <v>250</v>
      </c>
      <c r="S276" s="26">
        <f>SUM(G276:R276)</f>
        <v>250</v>
      </c>
    </row>
    <row r="277" spans="3:19" ht="13.5" customHeight="1" thickBot="1">
      <c r="C277" s="4" t="str">
        <f>C271</f>
        <v>Intercept</v>
      </c>
      <c r="G277" s="26">
        <f aca="true" t="shared" si="16" ref="G277:P277">2916.67+10968.75</f>
        <v>13885.42</v>
      </c>
      <c r="H277" s="26">
        <f t="shared" si="16"/>
        <v>13885.42</v>
      </c>
      <c r="I277" s="26">
        <f t="shared" si="16"/>
        <v>13885.42</v>
      </c>
      <c r="J277" s="26">
        <f t="shared" si="16"/>
        <v>13885.42</v>
      </c>
      <c r="K277" s="26">
        <f t="shared" si="16"/>
        <v>13885.42</v>
      </c>
      <c r="L277" s="26">
        <f t="shared" si="16"/>
        <v>13885.42</v>
      </c>
      <c r="M277" s="26">
        <f t="shared" si="16"/>
        <v>13885.42</v>
      </c>
      <c r="N277" s="26">
        <f t="shared" si="16"/>
        <v>13885.42</v>
      </c>
      <c r="O277" s="26">
        <f t="shared" si="16"/>
        <v>13885.42</v>
      </c>
      <c r="P277" s="26">
        <f t="shared" si="16"/>
        <v>13885.42</v>
      </c>
      <c r="Q277" s="26">
        <f>3333.33+10750</f>
        <v>14083.33</v>
      </c>
      <c r="R277" s="39">
        <f>3333.33+10750</f>
        <v>14083.33</v>
      </c>
      <c r="S277" s="26">
        <f>SUM(G277:R277)</f>
        <v>167020.86</v>
      </c>
    </row>
    <row r="278" spans="3:19" ht="13.5" customHeight="1" thickBot="1">
      <c r="C278" s="14" t="s">
        <v>91</v>
      </c>
      <c r="G278" s="27">
        <f aca="true" t="shared" si="17" ref="G278:S278">SUM(G275:G277)</f>
        <v>14135.42</v>
      </c>
      <c r="H278" s="27">
        <f t="shared" si="17"/>
        <v>13885.42</v>
      </c>
      <c r="I278" s="27">
        <f t="shared" si="17"/>
        <v>13885.42</v>
      </c>
      <c r="J278" s="27">
        <f t="shared" si="17"/>
        <v>13885.42</v>
      </c>
      <c r="K278" s="27">
        <f t="shared" si="17"/>
        <v>13885.42</v>
      </c>
      <c r="L278" s="27">
        <f t="shared" si="17"/>
        <v>13885.42</v>
      </c>
      <c r="M278" s="27">
        <f t="shared" si="17"/>
        <v>13885.42</v>
      </c>
      <c r="N278" s="27">
        <f t="shared" si="17"/>
        <v>13885.42</v>
      </c>
      <c r="O278" s="27">
        <f t="shared" si="17"/>
        <v>13885.42</v>
      </c>
      <c r="P278" s="27">
        <f t="shared" si="17"/>
        <v>13885.42</v>
      </c>
      <c r="Q278" s="27">
        <f t="shared" si="17"/>
        <v>14083.33</v>
      </c>
      <c r="R278" s="40">
        <f t="shared" si="17"/>
        <v>14083.33</v>
      </c>
      <c r="S278" s="27">
        <f t="shared" si="17"/>
        <v>167270.86</v>
      </c>
    </row>
    <row r="279" ht="13.5" customHeight="1">
      <c r="C279" s="15"/>
    </row>
    <row r="280" spans="1:3" ht="13.5" customHeight="1">
      <c r="A280" s="16"/>
      <c r="B280" s="9" t="s">
        <v>105</v>
      </c>
      <c r="C280" s="44" t="s">
        <v>92</v>
      </c>
    </row>
    <row r="281" spans="3:19" ht="13.5" customHeight="1">
      <c r="C281" s="4" t="str">
        <f>C275</f>
        <v>Debt Reserve</v>
      </c>
      <c r="S281"/>
    </row>
    <row r="282" spans="3:19" ht="13.5" customHeight="1">
      <c r="C282" s="4" t="str">
        <f>C276</f>
        <v>Treasury Fee</v>
      </c>
      <c r="S282"/>
    </row>
    <row r="283" spans="3:19" ht="13.5" customHeight="1" thickBot="1">
      <c r="C283" s="4" t="str">
        <f>C277</f>
        <v>Intercept</v>
      </c>
      <c r="S283"/>
    </row>
    <row r="284" spans="3:19" ht="13.5" customHeight="1" thickBot="1">
      <c r="C284" s="14" t="s">
        <v>93</v>
      </c>
      <c r="S284"/>
    </row>
    <row r="285" ht="13.5" customHeight="1">
      <c r="C285" s="15"/>
    </row>
    <row r="286" spans="1:3" ht="13.5" customHeight="1">
      <c r="A286" s="16"/>
      <c r="B286" s="42" t="s">
        <v>105</v>
      </c>
      <c r="C286" s="44" t="s">
        <v>158</v>
      </c>
    </row>
    <row r="287" spans="3:19" ht="13.5" customHeight="1">
      <c r="C287" s="4" t="str">
        <f>C281</f>
        <v>Debt Reserve</v>
      </c>
      <c r="S287"/>
    </row>
    <row r="288" spans="3:19" ht="13.5" customHeight="1">
      <c r="C288" s="4" t="str">
        <f>C282</f>
        <v>Treasury Fee</v>
      </c>
      <c r="S288"/>
    </row>
    <row r="289" spans="3:19" ht="13.5" customHeight="1" thickBot="1">
      <c r="C289" s="4" t="str">
        <f>C283</f>
        <v>Intercept</v>
      </c>
      <c r="S289"/>
    </row>
    <row r="290" spans="3:19" ht="13.5" customHeight="1" thickBot="1">
      <c r="C290" s="14" t="s">
        <v>94</v>
      </c>
      <c r="S290"/>
    </row>
    <row r="291" ht="13.5" customHeight="1">
      <c r="C291" s="15"/>
    </row>
    <row r="292" spans="1:3" ht="13.5" customHeight="1">
      <c r="A292" s="16"/>
      <c r="B292" s="9" t="s">
        <v>105</v>
      </c>
      <c r="C292" s="44" t="s">
        <v>95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4" t="s">
        <v>96</v>
      </c>
    </row>
    <row r="297" ht="13.5" customHeight="1">
      <c r="C297" s="15"/>
    </row>
    <row r="298" spans="1:3" ht="13.5" customHeight="1">
      <c r="A298" s="16"/>
      <c r="B298" s="18" t="s">
        <v>104</v>
      </c>
      <c r="C298" s="19" t="s">
        <v>97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4" t="s">
        <v>98</v>
      </c>
    </row>
    <row r="303" ht="13.5" customHeight="1">
      <c r="C303" s="15"/>
    </row>
    <row r="304" spans="1:3" ht="13.5" customHeight="1">
      <c r="A304" s="16"/>
      <c r="B304" s="9" t="s">
        <v>105</v>
      </c>
      <c r="C304" s="30" t="s">
        <v>99</v>
      </c>
    </row>
    <row r="305" spans="3:19" ht="13.5" customHeight="1">
      <c r="C305" s="4" t="str">
        <f>C299</f>
        <v>Debt Reserve</v>
      </c>
      <c r="S305"/>
    </row>
    <row r="306" spans="3:19" ht="13.5" customHeight="1">
      <c r="C306" s="4" t="str">
        <f>C300</f>
        <v>Treasury Fee</v>
      </c>
      <c r="S306"/>
    </row>
    <row r="307" spans="3:19" ht="13.5" customHeight="1" thickBot="1">
      <c r="C307" s="4" t="str">
        <f>C301</f>
        <v>Intercept</v>
      </c>
      <c r="S307"/>
    </row>
    <row r="308" spans="3:19" ht="13.5" customHeight="1" thickBot="1">
      <c r="C308" s="6" t="s">
        <v>100</v>
      </c>
      <c r="S308"/>
    </row>
    <row r="309" ht="13.5" customHeight="1">
      <c r="C309" s="15"/>
    </row>
    <row r="310" spans="1:3" ht="13.5" customHeight="1">
      <c r="A310" s="16">
        <f>+A274+1</f>
        <v>9</v>
      </c>
      <c r="B310" s="33" t="s">
        <v>103</v>
      </c>
      <c r="C310" s="32" t="s">
        <v>101</v>
      </c>
    </row>
    <row r="311" spans="3:19" ht="13.5" customHeight="1">
      <c r="C311" s="4" t="str">
        <f>C305</f>
        <v>Debt Reserve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39">
        <v>0</v>
      </c>
      <c r="S311" s="26">
        <f>SUM(G311:R311)</f>
        <v>0</v>
      </c>
    </row>
    <row r="312" spans="3:19" ht="13.5" customHeight="1">
      <c r="C312" s="4" t="str">
        <f>C306</f>
        <v>Treasury Fee</v>
      </c>
      <c r="G312" s="48">
        <v>250</v>
      </c>
      <c r="S312" s="26">
        <f>SUM(G312:R312)</f>
        <v>250</v>
      </c>
    </row>
    <row r="313" spans="3:19" ht="13.5" customHeight="1" thickBot="1">
      <c r="C313" s="4" t="str">
        <f>C307</f>
        <v>Intercept</v>
      </c>
      <c r="G313" s="26">
        <f>15416.67+40402.08</f>
        <v>55818.75</v>
      </c>
      <c r="H313" s="26">
        <f aca="true" t="shared" si="18" ref="H313:R313">15416.67+40402.08</f>
        <v>55818.75</v>
      </c>
      <c r="I313" s="26">
        <f t="shared" si="18"/>
        <v>55818.75</v>
      </c>
      <c r="J313" s="26">
        <f t="shared" si="18"/>
        <v>55818.75</v>
      </c>
      <c r="K313" s="26">
        <f t="shared" si="18"/>
        <v>55818.75</v>
      </c>
      <c r="L313" s="26">
        <f t="shared" si="18"/>
        <v>55818.75</v>
      </c>
      <c r="M313" s="26">
        <f t="shared" si="18"/>
        <v>55818.75</v>
      </c>
      <c r="N313" s="26">
        <f t="shared" si="18"/>
        <v>55818.75</v>
      </c>
      <c r="O313" s="26">
        <f t="shared" si="18"/>
        <v>55818.75</v>
      </c>
      <c r="P313" s="26">
        <f t="shared" si="18"/>
        <v>55818.75</v>
      </c>
      <c r="Q313" s="26">
        <f t="shared" si="18"/>
        <v>55818.75</v>
      </c>
      <c r="R313" s="39">
        <f t="shared" si="18"/>
        <v>55818.75</v>
      </c>
      <c r="S313" s="26">
        <f>SUM(G313:R313)</f>
        <v>669825</v>
      </c>
    </row>
    <row r="314" spans="3:19" ht="13.5" customHeight="1" thickBot="1">
      <c r="C314" s="6" t="s">
        <v>102</v>
      </c>
      <c r="G314" s="27">
        <f aca="true" t="shared" si="19" ref="G314:S314">SUM(G311:G313)</f>
        <v>56068.75</v>
      </c>
      <c r="H314" s="27">
        <f t="shared" si="19"/>
        <v>55818.75</v>
      </c>
      <c r="I314" s="27">
        <f t="shared" si="19"/>
        <v>55818.75</v>
      </c>
      <c r="J314" s="27">
        <f t="shared" si="19"/>
        <v>55818.75</v>
      </c>
      <c r="K314" s="27">
        <f t="shared" si="19"/>
        <v>55818.75</v>
      </c>
      <c r="L314" s="27">
        <f t="shared" si="19"/>
        <v>55818.75</v>
      </c>
      <c r="M314" s="27">
        <f t="shared" si="19"/>
        <v>55818.75</v>
      </c>
      <c r="N314" s="27">
        <f t="shared" si="19"/>
        <v>55818.75</v>
      </c>
      <c r="O314" s="27">
        <f t="shared" si="19"/>
        <v>55818.75</v>
      </c>
      <c r="P314" s="27">
        <f t="shared" si="19"/>
        <v>55818.75</v>
      </c>
      <c r="Q314" s="27">
        <f t="shared" si="19"/>
        <v>55818.75</v>
      </c>
      <c r="R314" s="40">
        <f t="shared" si="19"/>
        <v>55818.75</v>
      </c>
      <c r="S314" s="27">
        <f t="shared" si="19"/>
        <v>670075</v>
      </c>
    </row>
    <row r="315" ht="13.5" customHeight="1">
      <c r="C315" s="15"/>
    </row>
    <row r="316" spans="1:3" ht="13.5" customHeight="1">
      <c r="A316" s="16">
        <f>+A310+1</f>
        <v>10</v>
      </c>
      <c r="B316" s="17"/>
      <c r="C316" s="5" t="s">
        <v>106</v>
      </c>
    </row>
    <row r="317" spans="3:19" ht="13.5" customHeight="1">
      <c r="C317" s="4" t="str">
        <f>C311</f>
        <v>Debt Reserve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39">
        <v>0</v>
      </c>
      <c r="S317" s="26">
        <f>SUM(G317:R317)</f>
        <v>0</v>
      </c>
    </row>
    <row r="318" spans="3:19" ht="13.5" customHeight="1">
      <c r="C318" s="4" t="str">
        <f>C312</f>
        <v>Treasury Fee</v>
      </c>
      <c r="G318" s="48">
        <v>250</v>
      </c>
      <c r="S318" s="26">
        <f>SUM(G318:R318)</f>
        <v>250</v>
      </c>
    </row>
    <row r="319" spans="3:19" ht="13.5" customHeight="1" thickBot="1">
      <c r="C319" s="4" t="str">
        <f>C313</f>
        <v>Intercept</v>
      </c>
      <c r="G319" s="26">
        <f aca="true" t="shared" si="20" ref="G319:O319">7083.33+24665.63</f>
        <v>31748.96</v>
      </c>
      <c r="H319" s="26">
        <f t="shared" si="20"/>
        <v>31748.96</v>
      </c>
      <c r="I319" s="26">
        <f t="shared" si="20"/>
        <v>31748.96</v>
      </c>
      <c r="J319" s="26">
        <f t="shared" si="20"/>
        <v>31748.96</v>
      </c>
      <c r="K319" s="26">
        <f t="shared" si="20"/>
        <v>31748.96</v>
      </c>
      <c r="L319" s="26">
        <f t="shared" si="20"/>
        <v>31748.96</v>
      </c>
      <c r="M319" s="26">
        <f t="shared" si="20"/>
        <v>31748.96</v>
      </c>
      <c r="N319" s="26">
        <f t="shared" si="20"/>
        <v>31748.96</v>
      </c>
      <c r="O319" s="26">
        <f t="shared" si="20"/>
        <v>31748.96</v>
      </c>
      <c r="P319" s="26">
        <f>7500+24187.5</f>
        <v>31687.5</v>
      </c>
      <c r="Q319" s="26">
        <f>7500+24187.5</f>
        <v>31687.5</v>
      </c>
      <c r="R319" s="39">
        <f>7500+24187.5</f>
        <v>31687.5</v>
      </c>
      <c r="S319" s="26">
        <f>SUM(G319:R319)</f>
        <v>380803.13999999996</v>
      </c>
    </row>
    <row r="320" spans="3:19" ht="13.5" customHeight="1" thickBot="1">
      <c r="C320" s="6" t="s">
        <v>107</v>
      </c>
      <c r="G320" s="27">
        <f aca="true" t="shared" si="21" ref="G320:S320">SUM(G317:G319)</f>
        <v>31998.96</v>
      </c>
      <c r="H320" s="27">
        <f t="shared" si="21"/>
        <v>31748.96</v>
      </c>
      <c r="I320" s="27">
        <f t="shared" si="21"/>
        <v>31748.96</v>
      </c>
      <c r="J320" s="27">
        <f t="shared" si="21"/>
        <v>31748.96</v>
      </c>
      <c r="K320" s="27">
        <f t="shared" si="21"/>
        <v>31748.96</v>
      </c>
      <c r="L320" s="27">
        <f t="shared" si="21"/>
        <v>31748.96</v>
      </c>
      <c r="M320" s="27">
        <f t="shared" si="21"/>
        <v>31748.96</v>
      </c>
      <c r="N320" s="27">
        <f t="shared" si="21"/>
        <v>31748.96</v>
      </c>
      <c r="O320" s="27">
        <f t="shared" si="21"/>
        <v>31748.96</v>
      </c>
      <c r="P320" s="27">
        <f t="shared" si="21"/>
        <v>31687.5</v>
      </c>
      <c r="Q320" s="27">
        <f t="shared" si="21"/>
        <v>31687.5</v>
      </c>
      <c r="R320" s="40">
        <f t="shared" si="21"/>
        <v>31687.5</v>
      </c>
      <c r="S320" s="27">
        <f t="shared" si="21"/>
        <v>381053.13999999996</v>
      </c>
    </row>
    <row r="321" ht="13.5" customHeight="1">
      <c r="C321" s="12"/>
    </row>
    <row r="322" spans="1:3" ht="13.5" customHeight="1">
      <c r="A322" s="16"/>
      <c r="B322" s="9" t="s">
        <v>105</v>
      </c>
      <c r="C322" s="10" t="s">
        <v>108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109</v>
      </c>
    </row>
    <row r="327" ht="13.5" customHeight="1">
      <c r="C327" s="12"/>
    </row>
    <row r="328" spans="1:3" ht="13.5" customHeight="1">
      <c r="A328" s="16"/>
      <c r="B328" s="9" t="s">
        <v>105</v>
      </c>
      <c r="C328" s="30" t="s">
        <v>110</v>
      </c>
    </row>
    <row r="329" spans="3:19" ht="13.5" customHeight="1">
      <c r="C329" s="4" t="str">
        <f>C323</f>
        <v>Debt Reserve</v>
      </c>
      <c r="S329"/>
    </row>
    <row r="330" spans="3:19" ht="13.5" customHeight="1">
      <c r="C330" s="4" t="str">
        <f>C324</f>
        <v>Treasury Fee</v>
      </c>
      <c r="S330"/>
    </row>
    <row r="331" spans="3:19" ht="13.5" customHeight="1" thickBot="1">
      <c r="C331" s="4" t="str">
        <f>C325</f>
        <v>Intercept</v>
      </c>
      <c r="S331"/>
    </row>
    <row r="332" spans="3:19" ht="13.5" customHeight="1" thickBot="1">
      <c r="C332" s="6" t="s">
        <v>111</v>
      </c>
      <c r="S332"/>
    </row>
    <row r="333" ht="13.5" customHeight="1">
      <c r="C333" s="12"/>
    </row>
    <row r="334" spans="1:3" ht="13.5" customHeight="1">
      <c r="A334" s="16"/>
      <c r="B334" s="9" t="s">
        <v>105</v>
      </c>
      <c r="C334" s="30" t="s">
        <v>112</v>
      </c>
    </row>
    <row r="335" spans="3:19" ht="13.5" customHeight="1">
      <c r="C335" s="4" t="str">
        <f>C329</f>
        <v>Debt Reserve</v>
      </c>
      <c r="S335"/>
    </row>
    <row r="336" spans="3:19" ht="13.5" customHeight="1">
      <c r="C336" s="4" t="str">
        <f>C330</f>
        <v>Treasury Fee</v>
      </c>
      <c r="S336"/>
    </row>
    <row r="337" spans="3:19" ht="13.5" customHeight="1" thickBot="1">
      <c r="C337" s="4" t="str">
        <f>C331</f>
        <v>Intercept</v>
      </c>
      <c r="S337"/>
    </row>
    <row r="338" spans="3:19" ht="13.5" customHeight="1" thickBot="1">
      <c r="C338" s="6" t="s">
        <v>113</v>
      </c>
      <c r="S338"/>
    </row>
    <row r="339" ht="13.5" customHeight="1">
      <c r="C339" s="12"/>
    </row>
    <row r="340" spans="1:3" ht="13.5" customHeight="1">
      <c r="A340" s="16">
        <f>+A316+1</f>
        <v>11</v>
      </c>
      <c r="B340" s="17"/>
      <c r="C340" s="5" t="s">
        <v>114</v>
      </c>
    </row>
    <row r="341" spans="3:19" ht="13.5" customHeight="1">
      <c r="C341" s="4" t="str">
        <f>C335</f>
        <v>Debt Reserve</v>
      </c>
      <c r="G341" s="26">
        <v>512.08</v>
      </c>
      <c r="H341" s="26">
        <v>512.08</v>
      </c>
      <c r="I341" s="26">
        <v>512.08</v>
      </c>
      <c r="J341" s="26">
        <v>512.08</v>
      </c>
      <c r="K341" s="26">
        <v>512.08</v>
      </c>
      <c r="L341" s="26">
        <v>512.08</v>
      </c>
      <c r="M341" s="26">
        <v>512.08</v>
      </c>
      <c r="N341" s="26">
        <v>512.08</v>
      </c>
      <c r="O341" s="26">
        <v>512.08</v>
      </c>
      <c r="P341" s="26">
        <v>512.08</v>
      </c>
      <c r="Q341" s="26">
        <v>512.08</v>
      </c>
      <c r="R341" s="39">
        <v>512.08</v>
      </c>
      <c r="S341" s="26">
        <f>SUM(G341:R341)</f>
        <v>6144.96</v>
      </c>
    </row>
    <row r="342" spans="3:19" ht="13.5" customHeight="1">
      <c r="C342" s="4" t="str">
        <f>C336</f>
        <v>Treasury Fee</v>
      </c>
      <c r="G342" s="48">
        <v>250</v>
      </c>
      <c r="S342" s="26">
        <f>SUM(G342:R342)</f>
        <v>250</v>
      </c>
    </row>
    <row r="343" spans="3:19" ht="13.5" customHeight="1" thickBot="1">
      <c r="C343" s="4" t="str">
        <f>C337</f>
        <v>Intercept</v>
      </c>
      <c r="G343" s="26">
        <v>28804.69</v>
      </c>
      <c r="H343" s="26">
        <v>28804.69</v>
      </c>
      <c r="I343" s="26">
        <v>28804.69</v>
      </c>
      <c r="J343" s="26">
        <v>28804.69</v>
      </c>
      <c r="K343" s="26">
        <v>28804.69</v>
      </c>
      <c r="L343" s="26">
        <v>28804.69</v>
      </c>
      <c r="M343" s="26">
        <v>28804.69</v>
      </c>
      <c r="N343" s="26">
        <v>28804.69</v>
      </c>
      <c r="O343" s="26">
        <v>28804.69</v>
      </c>
      <c r="P343" s="26">
        <v>28804.69</v>
      </c>
      <c r="Q343" s="26">
        <v>28804.69</v>
      </c>
      <c r="R343" s="39">
        <v>28804.69</v>
      </c>
      <c r="S343" s="26">
        <f>SUM(G343:R343)</f>
        <v>345656.27999999997</v>
      </c>
    </row>
    <row r="344" spans="3:19" ht="13.5" customHeight="1" thickBot="1">
      <c r="C344" s="6" t="s">
        <v>26</v>
      </c>
      <c r="G344" s="27">
        <f aca="true" t="shared" si="22" ref="G344:S344">SUM(G341:G343)</f>
        <v>29566.77</v>
      </c>
      <c r="H344" s="27">
        <f t="shared" si="22"/>
        <v>29316.77</v>
      </c>
      <c r="I344" s="27">
        <f t="shared" si="22"/>
        <v>29316.77</v>
      </c>
      <c r="J344" s="27">
        <f t="shared" si="22"/>
        <v>29316.77</v>
      </c>
      <c r="K344" s="27">
        <f t="shared" si="22"/>
        <v>29316.77</v>
      </c>
      <c r="L344" s="27">
        <f t="shared" si="22"/>
        <v>29316.77</v>
      </c>
      <c r="M344" s="27">
        <f t="shared" si="22"/>
        <v>29316.77</v>
      </c>
      <c r="N344" s="27">
        <f t="shared" si="22"/>
        <v>29316.77</v>
      </c>
      <c r="O344" s="27">
        <f t="shared" si="22"/>
        <v>29316.77</v>
      </c>
      <c r="P344" s="27">
        <f t="shared" si="22"/>
        <v>29316.77</v>
      </c>
      <c r="Q344" s="27">
        <f t="shared" si="22"/>
        <v>29316.77</v>
      </c>
      <c r="R344" s="40">
        <f t="shared" si="22"/>
        <v>29316.77</v>
      </c>
      <c r="S344" s="27">
        <f t="shared" si="22"/>
        <v>352051.24</v>
      </c>
    </row>
    <row r="345" ht="13.5" customHeight="1">
      <c r="C345" s="12"/>
    </row>
    <row r="346" spans="1:3" ht="13.5" customHeight="1">
      <c r="A346" s="16"/>
      <c r="B346" s="9" t="s">
        <v>105</v>
      </c>
      <c r="C346" s="30" t="s">
        <v>115</v>
      </c>
    </row>
    <row r="347" spans="3:19" ht="13.5" customHeight="1">
      <c r="C347" s="4" t="str">
        <f>C341</f>
        <v>Debt Reserve</v>
      </c>
      <c r="S347"/>
    </row>
    <row r="348" spans="3:19" ht="13.5" customHeight="1">
      <c r="C348" s="4" t="str">
        <f>C342</f>
        <v>Treasury Fee</v>
      </c>
      <c r="S348"/>
    </row>
    <row r="349" spans="3:19" ht="13.5" customHeight="1" thickBot="1">
      <c r="C349" s="4" t="str">
        <f>C343</f>
        <v>Intercept</v>
      </c>
      <c r="S349"/>
    </row>
    <row r="350" spans="3:19" ht="13.5" customHeight="1" thickBot="1">
      <c r="C350" s="6" t="s">
        <v>116</v>
      </c>
      <c r="S350"/>
    </row>
    <row r="351" ht="13.5" customHeight="1">
      <c r="C351" s="12"/>
    </row>
    <row r="352" spans="1:3" ht="13.5" customHeight="1">
      <c r="A352" s="16"/>
      <c r="B352" s="9" t="s">
        <v>105</v>
      </c>
      <c r="C352" s="30" t="s">
        <v>117</v>
      </c>
    </row>
    <row r="353" spans="3:19" ht="13.5" customHeight="1">
      <c r="C353" s="4" t="str">
        <f>C347</f>
        <v>Debt Reserve</v>
      </c>
      <c r="S353"/>
    </row>
    <row r="354" spans="3:19" ht="13.5" customHeight="1">
      <c r="C354" s="4" t="str">
        <f>C348</f>
        <v>Treasury Fee</v>
      </c>
      <c r="S354"/>
    </row>
    <row r="355" spans="3:19" ht="13.5" customHeight="1" thickBot="1">
      <c r="C355" s="4" t="str">
        <f>C349</f>
        <v>Intercept</v>
      </c>
      <c r="S355"/>
    </row>
    <row r="356" spans="3:19" ht="13.5" customHeight="1" thickBot="1">
      <c r="C356" s="6" t="s">
        <v>118</v>
      </c>
      <c r="S356"/>
    </row>
    <row r="357" ht="13.5" customHeight="1">
      <c r="C357" s="12"/>
    </row>
    <row r="358" spans="1:3" ht="13.5" customHeight="1">
      <c r="A358" s="16"/>
      <c r="B358" s="9" t="s">
        <v>105</v>
      </c>
      <c r="C358" s="30" t="s">
        <v>119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120</v>
      </c>
    </row>
    <row r="363" ht="13.5" customHeight="1">
      <c r="C363" s="12"/>
    </row>
    <row r="364" spans="1:3" ht="13.5" customHeight="1">
      <c r="A364" s="16"/>
      <c r="B364" s="9" t="s">
        <v>105</v>
      </c>
      <c r="C364" s="30" t="s">
        <v>121</v>
      </c>
    </row>
    <row r="365" spans="1:17" ht="13.5" customHeight="1">
      <c r="A365" s="20"/>
      <c r="B365" s="20"/>
      <c r="C365" s="4" t="str">
        <f>C359</f>
        <v>Debt Reserve</v>
      </c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122</v>
      </c>
    </row>
    <row r="369" ht="13.5" customHeight="1">
      <c r="C369" s="12"/>
    </row>
    <row r="370" spans="1:3" ht="13.5" customHeight="1">
      <c r="A370" s="16"/>
      <c r="B370" s="9" t="s">
        <v>105</v>
      </c>
      <c r="C370" s="30" t="s">
        <v>123</v>
      </c>
    </row>
    <row r="371" spans="1:17" ht="13.5" customHeight="1">
      <c r="A371" s="20"/>
      <c r="B371" s="20"/>
      <c r="C371" s="4" t="str">
        <f>C365</f>
        <v>Debt Reserve</v>
      </c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96</v>
      </c>
    </row>
    <row r="375" ht="13.5" customHeight="1">
      <c r="C375" s="12"/>
    </row>
    <row r="376" spans="1:3" ht="13.5" customHeight="1">
      <c r="A376" s="16">
        <f>A340+1</f>
        <v>12</v>
      </c>
      <c r="B376" s="17"/>
      <c r="C376" s="5" t="s">
        <v>126</v>
      </c>
    </row>
    <row r="377" spans="1:19" ht="13.5" customHeight="1">
      <c r="A377" s="20"/>
      <c r="B377" s="20"/>
      <c r="C377" s="4" t="str">
        <f>C371</f>
        <v>Debt Reserve</v>
      </c>
      <c r="G377" s="26">
        <v>578.75</v>
      </c>
      <c r="H377" s="26">
        <v>578.75</v>
      </c>
      <c r="I377" s="26">
        <v>578.75</v>
      </c>
      <c r="J377" s="26">
        <v>565.42</v>
      </c>
      <c r="K377" s="26">
        <v>565.42</v>
      </c>
      <c r="L377" s="26">
        <v>565.42</v>
      </c>
      <c r="M377" s="26">
        <v>565.42</v>
      </c>
      <c r="N377" s="26">
        <v>565.42</v>
      </c>
      <c r="O377" s="26">
        <v>565.42</v>
      </c>
      <c r="P377" s="26">
        <v>565.42</v>
      </c>
      <c r="Q377" s="26">
        <v>565.42</v>
      </c>
      <c r="R377" s="39">
        <v>565.42</v>
      </c>
      <c r="S377" s="26">
        <f>SUM(G377:R377)</f>
        <v>6825.030000000001</v>
      </c>
    </row>
    <row r="378" spans="3:19" ht="13.5" customHeight="1">
      <c r="C378" s="4" t="str">
        <f>C372</f>
        <v>Treasury Fee</v>
      </c>
      <c r="G378" s="48">
        <v>250</v>
      </c>
      <c r="S378" s="26">
        <f>SUM(G378:R378)</f>
        <v>250</v>
      </c>
    </row>
    <row r="379" spans="3:19" ht="13.5" customHeight="1" thickBot="1">
      <c r="C379" s="4" t="str">
        <f>C373</f>
        <v>Intercept</v>
      </c>
      <c r="G379" s="26">
        <f>13750+27516.67</f>
        <v>41266.67</v>
      </c>
      <c r="H379" s="26">
        <f aca="true" t="shared" si="23" ref="H379:R379">13750+27516.67</f>
        <v>41266.67</v>
      </c>
      <c r="I379" s="26">
        <f t="shared" si="23"/>
        <v>41266.67</v>
      </c>
      <c r="J379" s="26">
        <f t="shared" si="23"/>
        <v>41266.67</v>
      </c>
      <c r="K379" s="26">
        <f t="shared" si="23"/>
        <v>41266.67</v>
      </c>
      <c r="L379" s="26">
        <f t="shared" si="23"/>
        <v>41266.67</v>
      </c>
      <c r="M379" s="26">
        <f t="shared" si="23"/>
        <v>41266.67</v>
      </c>
      <c r="N379" s="26">
        <f t="shared" si="23"/>
        <v>41266.67</v>
      </c>
      <c r="O379" s="26">
        <f t="shared" si="23"/>
        <v>41266.67</v>
      </c>
      <c r="P379" s="26">
        <f t="shared" si="23"/>
        <v>41266.67</v>
      </c>
      <c r="Q379" s="26">
        <f t="shared" si="23"/>
        <v>41266.67</v>
      </c>
      <c r="R379" s="39">
        <f t="shared" si="23"/>
        <v>41266.67</v>
      </c>
      <c r="S379" s="26">
        <f>SUM(G379:R379)</f>
        <v>495200.03999999986</v>
      </c>
    </row>
    <row r="380" spans="3:19" ht="13.5" customHeight="1" thickBot="1">
      <c r="C380" s="6" t="s">
        <v>127</v>
      </c>
      <c r="G380" s="27">
        <f aca="true" t="shared" si="24" ref="G380:S380">SUM(G377:G379)</f>
        <v>42095.42</v>
      </c>
      <c r="H380" s="27">
        <f t="shared" si="24"/>
        <v>41845.42</v>
      </c>
      <c r="I380" s="27">
        <f t="shared" si="24"/>
        <v>41845.42</v>
      </c>
      <c r="J380" s="27">
        <f t="shared" si="24"/>
        <v>41832.09</v>
      </c>
      <c r="K380" s="27">
        <f t="shared" si="24"/>
        <v>41832.09</v>
      </c>
      <c r="L380" s="27">
        <f t="shared" si="24"/>
        <v>41832.09</v>
      </c>
      <c r="M380" s="27">
        <f t="shared" si="24"/>
        <v>41832.09</v>
      </c>
      <c r="N380" s="27">
        <f t="shared" si="24"/>
        <v>41832.09</v>
      </c>
      <c r="O380" s="27">
        <f t="shared" si="24"/>
        <v>41832.09</v>
      </c>
      <c r="P380" s="27">
        <f t="shared" si="24"/>
        <v>41832.09</v>
      </c>
      <c r="Q380" s="27">
        <f t="shared" si="24"/>
        <v>41832.09</v>
      </c>
      <c r="R380" s="40">
        <f t="shared" si="24"/>
        <v>41832.09</v>
      </c>
      <c r="S380" s="27">
        <f t="shared" si="24"/>
        <v>502275.0699999999</v>
      </c>
    </row>
    <row r="381" ht="13.5" customHeight="1">
      <c r="C381" s="12"/>
    </row>
    <row r="382" spans="1:3" ht="13.5" customHeight="1">
      <c r="A382" s="16">
        <f>+A376+1</f>
        <v>13</v>
      </c>
      <c r="B382" s="33" t="s">
        <v>103</v>
      </c>
      <c r="C382" s="32" t="s">
        <v>128</v>
      </c>
    </row>
    <row r="383" spans="1:19" ht="13.5" customHeight="1">
      <c r="A383" s="20"/>
      <c r="B383" s="20"/>
      <c r="C383" s="4" t="str">
        <f>C377</f>
        <v>Debt Reserve</v>
      </c>
      <c r="G383" s="26">
        <v>966.25</v>
      </c>
      <c r="H383" s="26">
        <v>966.25</v>
      </c>
      <c r="I383" s="26">
        <v>966.25</v>
      </c>
      <c r="J383" s="26">
        <v>966.25</v>
      </c>
      <c r="K383" s="26">
        <v>966.25</v>
      </c>
      <c r="L383" s="26">
        <v>966.25</v>
      </c>
      <c r="M383" s="26">
        <v>944.58</v>
      </c>
      <c r="N383" s="26">
        <v>944.58</v>
      </c>
      <c r="O383" s="26">
        <v>944.58</v>
      </c>
      <c r="P383" s="26">
        <v>944.58</v>
      </c>
      <c r="Q383" s="26">
        <v>944.58</v>
      </c>
      <c r="R383" s="39">
        <v>944.58</v>
      </c>
      <c r="S383" s="26">
        <f>SUM(G383:R383)</f>
        <v>11464.98</v>
      </c>
    </row>
    <row r="384" spans="3:19" ht="13.5" customHeight="1">
      <c r="C384" s="4" t="str">
        <f>C378</f>
        <v>Treasury Fee</v>
      </c>
      <c r="G384" s="48">
        <v>250</v>
      </c>
      <c r="S384" s="26">
        <f>SUM(G384:R384)</f>
        <v>250</v>
      </c>
    </row>
    <row r="385" spans="3:19" ht="13.5" customHeight="1" thickBot="1">
      <c r="C385" s="4" t="str">
        <f>C379</f>
        <v>Intercept</v>
      </c>
      <c r="G385" s="26">
        <f>21666.67+48625</f>
        <v>70291.67</v>
      </c>
      <c r="H385" s="26">
        <f>21666.67+48625</f>
        <v>70291.67</v>
      </c>
      <c r="I385" s="26">
        <f>21666.67+48625</f>
        <v>70291.67</v>
      </c>
      <c r="J385" s="26">
        <f>21666.67+48625</f>
        <v>70291.67</v>
      </c>
      <c r="K385" s="26">
        <f>21666.67+48625</f>
        <v>70291.67</v>
      </c>
      <c r="L385" s="26">
        <f>22500+47677.08</f>
        <v>70177.08</v>
      </c>
      <c r="M385" s="26">
        <f aca="true" t="shared" si="25" ref="M385:R385">22500+47677.08</f>
        <v>70177.08</v>
      </c>
      <c r="N385" s="26">
        <f t="shared" si="25"/>
        <v>70177.08</v>
      </c>
      <c r="O385" s="26">
        <f t="shared" si="25"/>
        <v>70177.08</v>
      </c>
      <c r="P385" s="26">
        <f t="shared" si="25"/>
        <v>70177.08</v>
      </c>
      <c r="Q385" s="26">
        <f t="shared" si="25"/>
        <v>70177.08</v>
      </c>
      <c r="R385" s="39">
        <f t="shared" si="25"/>
        <v>70177.08</v>
      </c>
      <c r="S385" s="26">
        <f>SUM(G385:R385)</f>
        <v>842697.9099999998</v>
      </c>
    </row>
    <row r="386" spans="3:19" ht="13.5" customHeight="1" thickBot="1">
      <c r="C386" s="6" t="s">
        <v>129</v>
      </c>
      <c r="G386" s="27">
        <f aca="true" t="shared" si="26" ref="G386:S386">SUM(G383:G385)</f>
        <v>71507.92</v>
      </c>
      <c r="H386" s="27">
        <f t="shared" si="26"/>
        <v>71257.92</v>
      </c>
      <c r="I386" s="27">
        <f t="shared" si="26"/>
        <v>71257.92</v>
      </c>
      <c r="J386" s="27">
        <f t="shared" si="26"/>
        <v>71257.92</v>
      </c>
      <c r="K386" s="27">
        <f t="shared" si="26"/>
        <v>71257.92</v>
      </c>
      <c r="L386" s="27">
        <f t="shared" si="26"/>
        <v>71143.33</v>
      </c>
      <c r="M386" s="27">
        <f t="shared" si="26"/>
        <v>71121.66</v>
      </c>
      <c r="N386" s="27">
        <f t="shared" si="26"/>
        <v>71121.66</v>
      </c>
      <c r="O386" s="27">
        <f t="shared" si="26"/>
        <v>71121.66</v>
      </c>
      <c r="P386" s="27">
        <f t="shared" si="26"/>
        <v>71121.66</v>
      </c>
      <c r="Q386" s="27">
        <f t="shared" si="26"/>
        <v>71121.66</v>
      </c>
      <c r="R386" s="40">
        <f t="shared" si="26"/>
        <v>71121.66</v>
      </c>
      <c r="S386" s="27">
        <f t="shared" si="26"/>
        <v>854412.8899999998</v>
      </c>
    </row>
    <row r="387" ht="13.5" customHeight="1">
      <c r="C387" s="12"/>
    </row>
    <row r="388" spans="1:3" ht="13.5" customHeight="1">
      <c r="A388" s="16">
        <f>+A382+1</f>
        <v>14</v>
      </c>
      <c r="B388" s="33" t="s">
        <v>103</v>
      </c>
      <c r="C388" s="32" t="s">
        <v>130</v>
      </c>
    </row>
    <row r="389" spans="1:19" ht="13.5" customHeight="1">
      <c r="A389" s="20"/>
      <c r="B389" s="20"/>
      <c r="C389" s="4" t="str">
        <f>C383</f>
        <v>Debt Reserve</v>
      </c>
      <c r="G389" s="26">
        <v>901.25</v>
      </c>
      <c r="H389" s="26">
        <v>901.25</v>
      </c>
      <c r="I389" s="26">
        <v>901.25</v>
      </c>
      <c r="J389" s="26">
        <v>901.25</v>
      </c>
      <c r="K389" s="26">
        <v>901.25</v>
      </c>
      <c r="L389" s="26">
        <v>901.25</v>
      </c>
      <c r="M389" s="26">
        <v>901.25</v>
      </c>
      <c r="N389" s="26">
        <v>901.25</v>
      </c>
      <c r="O389" s="26">
        <v>881.25</v>
      </c>
      <c r="P389" s="26">
        <v>881.25</v>
      </c>
      <c r="Q389" s="26">
        <v>881.25</v>
      </c>
      <c r="R389" s="39">
        <v>881.25</v>
      </c>
      <c r="S389" s="26">
        <f>SUM(G389:R389)</f>
        <v>10735</v>
      </c>
    </row>
    <row r="390" spans="3:19" ht="13.5" customHeight="1">
      <c r="C390" s="4" t="str">
        <f>C384</f>
        <v>Treasury Fee</v>
      </c>
      <c r="G390" s="48">
        <v>250</v>
      </c>
      <c r="S390" s="26">
        <f>SUM(G390:R390)</f>
        <v>250</v>
      </c>
    </row>
    <row r="391" spans="3:19" ht="13.5" customHeight="1" thickBot="1">
      <c r="C391" s="4" t="str">
        <f>C385</f>
        <v>Intercept</v>
      </c>
      <c r="G391" s="26">
        <f aca="true" t="shared" si="27" ref="G391:N391">20000+47586.46</f>
        <v>67586.45999999999</v>
      </c>
      <c r="H391" s="26">
        <f t="shared" si="27"/>
        <v>67586.45999999999</v>
      </c>
      <c r="I391" s="26">
        <f t="shared" si="27"/>
        <v>67586.45999999999</v>
      </c>
      <c r="J391" s="26">
        <f t="shared" si="27"/>
        <v>67586.45999999999</v>
      </c>
      <c r="K391" s="26">
        <f t="shared" si="27"/>
        <v>67586.45999999999</v>
      </c>
      <c r="L391" s="26">
        <f t="shared" si="27"/>
        <v>67586.45999999999</v>
      </c>
      <c r="M391" s="26">
        <f t="shared" si="27"/>
        <v>67586.45999999999</v>
      </c>
      <c r="N391" s="26">
        <f t="shared" si="27"/>
        <v>67586.45999999999</v>
      </c>
      <c r="O391" s="26">
        <f>20833.33+46686.46</f>
        <v>67519.79000000001</v>
      </c>
      <c r="P391" s="26">
        <f>20833.33+46686.46</f>
        <v>67519.79000000001</v>
      </c>
      <c r="Q391" s="26">
        <f>20833.33+46686.46</f>
        <v>67519.79000000001</v>
      </c>
      <c r="R391" s="39">
        <f>20833.33+46686.46</f>
        <v>67519.79000000001</v>
      </c>
      <c r="S391" s="26">
        <f>SUM(G391:R391)</f>
        <v>810770.84</v>
      </c>
    </row>
    <row r="392" spans="3:19" ht="13.5" customHeight="1" thickBot="1">
      <c r="C392" s="6" t="s">
        <v>131</v>
      </c>
      <c r="G392" s="27">
        <f aca="true" t="shared" si="28" ref="G392:S392">SUM(G389:G391)</f>
        <v>68737.70999999999</v>
      </c>
      <c r="H392" s="27">
        <f t="shared" si="28"/>
        <v>68487.70999999999</v>
      </c>
      <c r="I392" s="27">
        <f t="shared" si="28"/>
        <v>68487.70999999999</v>
      </c>
      <c r="J392" s="27">
        <f t="shared" si="28"/>
        <v>68487.70999999999</v>
      </c>
      <c r="K392" s="27">
        <f t="shared" si="28"/>
        <v>68487.70999999999</v>
      </c>
      <c r="L392" s="27">
        <f t="shared" si="28"/>
        <v>68487.70999999999</v>
      </c>
      <c r="M392" s="27">
        <f t="shared" si="28"/>
        <v>68487.70999999999</v>
      </c>
      <c r="N392" s="27">
        <f t="shared" si="28"/>
        <v>68487.70999999999</v>
      </c>
      <c r="O392" s="27">
        <f t="shared" si="28"/>
        <v>68401.04000000001</v>
      </c>
      <c r="P392" s="27">
        <f t="shared" si="28"/>
        <v>68401.04000000001</v>
      </c>
      <c r="Q392" s="27">
        <f t="shared" si="28"/>
        <v>68401.04000000001</v>
      </c>
      <c r="R392" s="40">
        <f t="shared" si="28"/>
        <v>68401.04000000001</v>
      </c>
      <c r="S392" s="27">
        <f t="shared" si="28"/>
        <v>821755.84</v>
      </c>
    </row>
    <row r="393" ht="13.5" customHeight="1">
      <c r="C393" s="12"/>
    </row>
    <row r="394" spans="1:3" ht="13.5" customHeight="1">
      <c r="A394" s="16">
        <f>+A388+1</f>
        <v>15</v>
      </c>
      <c r="B394" s="33" t="s">
        <v>103</v>
      </c>
      <c r="C394" s="32" t="s">
        <v>132</v>
      </c>
    </row>
    <row r="395" spans="1:19" ht="13.5" customHeight="1">
      <c r="A395" s="20"/>
      <c r="B395" s="20"/>
      <c r="C395" s="4" t="str">
        <f>C389</f>
        <v>Debt Reserve</v>
      </c>
      <c r="G395" s="26">
        <v>541.67</v>
      </c>
      <c r="H395" s="26">
        <v>541.67</v>
      </c>
      <c r="I395" s="26">
        <v>541.67</v>
      </c>
      <c r="J395" s="26">
        <v>541.67</v>
      </c>
      <c r="K395" s="26">
        <v>541.67</v>
      </c>
      <c r="L395" s="26">
        <v>541.67</v>
      </c>
      <c r="M395" s="26">
        <v>541.67</v>
      </c>
      <c r="N395" s="26">
        <v>541.67</v>
      </c>
      <c r="O395" s="26">
        <v>541.67</v>
      </c>
      <c r="P395" s="26">
        <v>541.67</v>
      </c>
      <c r="Q395" s="26">
        <v>541.67</v>
      </c>
      <c r="R395" s="39">
        <v>529.17</v>
      </c>
      <c r="S395" s="26">
        <f>SUM(G395:R395)</f>
        <v>6487.54</v>
      </c>
    </row>
    <row r="396" spans="3:19" ht="13.5" customHeight="1">
      <c r="C396" s="4" t="str">
        <f>C390</f>
        <v>Treasury Fee</v>
      </c>
      <c r="G396" s="48">
        <v>250</v>
      </c>
      <c r="S396" s="26">
        <f>SUM(G396:R396)</f>
        <v>250</v>
      </c>
    </row>
    <row r="397" spans="3:19" ht="13.5" customHeight="1" thickBot="1">
      <c r="C397" s="4" t="str">
        <f>C391</f>
        <v>Intercept</v>
      </c>
      <c r="G397" s="26">
        <f>12500+29492.71</f>
        <v>41992.71</v>
      </c>
      <c r="H397" s="26">
        <f aca="true" t="shared" si="29" ref="H397:R397">12500+29492.71</f>
        <v>41992.71</v>
      </c>
      <c r="I397" s="26">
        <f t="shared" si="29"/>
        <v>41992.71</v>
      </c>
      <c r="J397" s="26">
        <f t="shared" si="29"/>
        <v>41992.71</v>
      </c>
      <c r="K397" s="26">
        <f t="shared" si="29"/>
        <v>41992.71</v>
      </c>
      <c r="L397" s="26">
        <f t="shared" si="29"/>
        <v>41992.71</v>
      </c>
      <c r="M397" s="26">
        <f t="shared" si="29"/>
        <v>41992.71</v>
      </c>
      <c r="N397" s="26">
        <f t="shared" si="29"/>
        <v>41992.71</v>
      </c>
      <c r="O397" s="26">
        <f t="shared" si="29"/>
        <v>41992.71</v>
      </c>
      <c r="P397" s="26">
        <f t="shared" si="29"/>
        <v>41992.71</v>
      </c>
      <c r="Q397" s="26">
        <f t="shared" si="29"/>
        <v>41992.71</v>
      </c>
      <c r="R397" s="39">
        <f t="shared" si="29"/>
        <v>41992.71</v>
      </c>
      <c r="S397" s="26">
        <f>SUM(G397:R397)</f>
        <v>503912.5200000001</v>
      </c>
    </row>
    <row r="398" spans="3:19" ht="13.5" customHeight="1" thickBot="1">
      <c r="C398" s="6" t="s">
        <v>133</v>
      </c>
      <c r="G398" s="27">
        <f aca="true" t="shared" si="30" ref="G398:S398">SUM(G395:G397)</f>
        <v>42784.38</v>
      </c>
      <c r="H398" s="27">
        <f t="shared" si="30"/>
        <v>42534.38</v>
      </c>
      <c r="I398" s="27">
        <f t="shared" si="30"/>
        <v>42534.38</v>
      </c>
      <c r="J398" s="27">
        <f t="shared" si="30"/>
        <v>42534.38</v>
      </c>
      <c r="K398" s="27">
        <f t="shared" si="30"/>
        <v>42534.38</v>
      </c>
      <c r="L398" s="27">
        <f t="shared" si="30"/>
        <v>42534.38</v>
      </c>
      <c r="M398" s="27">
        <f t="shared" si="30"/>
        <v>42534.38</v>
      </c>
      <c r="N398" s="27">
        <f t="shared" si="30"/>
        <v>42534.38</v>
      </c>
      <c r="O398" s="27">
        <f t="shared" si="30"/>
        <v>42534.38</v>
      </c>
      <c r="P398" s="27">
        <f t="shared" si="30"/>
        <v>42534.38</v>
      </c>
      <c r="Q398" s="27">
        <f t="shared" si="30"/>
        <v>42534.38</v>
      </c>
      <c r="R398" s="40">
        <f t="shared" si="30"/>
        <v>42521.88</v>
      </c>
      <c r="S398" s="27">
        <f t="shared" si="30"/>
        <v>510650.06000000006</v>
      </c>
    </row>
    <row r="399" ht="13.5" customHeight="1">
      <c r="C399" s="12"/>
    </row>
    <row r="400" spans="1:3" ht="13.5" customHeight="1">
      <c r="A400" s="16">
        <f>+A394+1</f>
        <v>16</v>
      </c>
      <c r="B400" s="21"/>
      <c r="C400" s="5" t="s">
        <v>135</v>
      </c>
    </row>
    <row r="401" spans="1:19" ht="13.5" customHeight="1">
      <c r="A401" s="20"/>
      <c r="B401" s="20"/>
      <c r="C401" s="4" t="str">
        <f>C395</f>
        <v>Debt Reserve</v>
      </c>
      <c r="G401" s="26">
        <v>487.5</v>
      </c>
      <c r="H401" s="26">
        <v>487.5</v>
      </c>
      <c r="I401" s="26">
        <v>487.5</v>
      </c>
      <c r="J401" s="26">
        <v>487.5</v>
      </c>
      <c r="K401" s="26">
        <v>487.5</v>
      </c>
      <c r="L401" s="26">
        <v>487.5</v>
      </c>
      <c r="M401" s="26">
        <v>487.5</v>
      </c>
      <c r="N401" s="26">
        <v>487.5</v>
      </c>
      <c r="O401" s="26">
        <v>487.5</v>
      </c>
      <c r="P401" s="26">
        <v>487.5</v>
      </c>
      <c r="Q401" s="26">
        <v>487.5</v>
      </c>
      <c r="R401" s="39">
        <v>487.5</v>
      </c>
      <c r="S401" s="26">
        <f>SUM(G401:R401)</f>
        <v>5850</v>
      </c>
    </row>
    <row r="402" spans="3:19" ht="13.5" customHeight="1">
      <c r="C402" s="4" t="str">
        <f>C396</f>
        <v>Treasury Fee</v>
      </c>
      <c r="G402" s="48">
        <v>250</v>
      </c>
      <c r="S402" s="26">
        <f>SUM(G402:R402)</f>
        <v>250</v>
      </c>
    </row>
    <row r="403" spans="3:19" ht="13.5" customHeight="1" thickBot="1">
      <c r="C403" s="4" t="str">
        <f>C397</f>
        <v>Intercept</v>
      </c>
      <c r="G403" s="48">
        <f aca="true" t="shared" si="31" ref="G403:Q403">10416.67+27692.19</f>
        <v>38108.86</v>
      </c>
      <c r="H403" s="48">
        <f t="shared" si="31"/>
        <v>38108.86</v>
      </c>
      <c r="I403" s="48">
        <f t="shared" si="31"/>
        <v>38108.86</v>
      </c>
      <c r="J403" s="48">
        <f t="shared" si="31"/>
        <v>38108.86</v>
      </c>
      <c r="K403" s="48">
        <f t="shared" si="31"/>
        <v>38108.86</v>
      </c>
      <c r="L403" s="48">
        <f t="shared" si="31"/>
        <v>38108.86</v>
      </c>
      <c r="M403" s="48">
        <f t="shared" si="31"/>
        <v>38108.86</v>
      </c>
      <c r="N403" s="48">
        <f t="shared" si="31"/>
        <v>38108.86</v>
      </c>
      <c r="O403" s="48">
        <f t="shared" si="31"/>
        <v>38108.86</v>
      </c>
      <c r="P403" s="48">
        <f t="shared" si="31"/>
        <v>38108.86</v>
      </c>
      <c r="Q403" s="48">
        <f t="shared" si="31"/>
        <v>38108.86</v>
      </c>
      <c r="R403" s="49">
        <f>10833.33+27275.52</f>
        <v>38108.85</v>
      </c>
      <c r="S403" s="26">
        <f>SUM(G403:R403)</f>
        <v>457306.3099999999</v>
      </c>
    </row>
    <row r="404" spans="3:19" ht="13.5" customHeight="1" thickBot="1">
      <c r="C404" s="6" t="s">
        <v>136</v>
      </c>
      <c r="G404" s="27">
        <f aca="true" t="shared" si="32" ref="G404:S404">SUM(G401:G403)</f>
        <v>38846.36</v>
      </c>
      <c r="H404" s="27">
        <f t="shared" si="32"/>
        <v>38596.36</v>
      </c>
      <c r="I404" s="27">
        <f t="shared" si="32"/>
        <v>38596.36</v>
      </c>
      <c r="J404" s="27">
        <f t="shared" si="32"/>
        <v>38596.36</v>
      </c>
      <c r="K404" s="27">
        <f t="shared" si="32"/>
        <v>38596.36</v>
      </c>
      <c r="L404" s="27">
        <f t="shared" si="32"/>
        <v>38596.36</v>
      </c>
      <c r="M404" s="27">
        <f t="shared" si="32"/>
        <v>38596.36</v>
      </c>
      <c r="N404" s="27">
        <f t="shared" si="32"/>
        <v>38596.36</v>
      </c>
      <c r="O404" s="27">
        <f t="shared" si="32"/>
        <v>38596.36</v>
      </c>
      <c r="P404" s="27">
        <f t="shared" si="32"/>
        <v>38596.36</v>
      </c>
      <c r="Q404" s="27">
        <f t="shared" si="32"/>
        <v>38596.36</v>
      </c>
      <c r="R404" s="40">
        <f t="shared" si="32"/>
        <v>38596.35</v>
      </c>
      <c r="S404" s="27">
        <f t="shared" si="32"/>
        <v>463406.3099999999</v>
      </c>
    </row>
    <row r="405" ht="13.5" customHeight="1">
      <c r="C405" s="12"/>
    </row>
    <row r="406" spans="1:3" ht="13.5" customHeight="1">
      <c r="A406" s="16"/>
      <c r="B406" s="9" t="s">
        <v>105</v>
      </c>
      <c r="C406" s="30" t="s">
        <v>139</v>
      </c>
    </row>
    <row r="407" spans="1:19" ht="13.5" customHeight="1">
      <c r="A407" s="20"/>
      <c r="B407" s="20"/>
      <c r="C407" s="4" t="str">
        <f>C401</f>
        <v>Debt Reserve</v>
      </c>
      <c r="S407"/>
    </row>
    <row r="408" spans="3:19" ht="13.5" customHeight="1">
      <c r="C408" s="4" t="str">
        <f>C402</f>
        <v>Treasury Fee</v>
      </c>
      <c r="S408"/>
    </row>
    <row r="409" spans="3:19" ht="13.5" customHeight="1" thickBot="1">
      <c r="C409" s="4" t="str">
        <f>C403</f>
        <v>Intercept</v>
      </c>
      <c r="S409"/>
    </row>
    <row r="410" spans="3:19" ht="13.5" customHeight="1" thickBot="1">
      <c r="C410" s="6" t="s">
        <v>138</v>
      </c>
      <c r="S410"/>
    </row>
    <row r="411" ht="13.5" customHeight="1">
      <c r="C411" s="12"/>
    </row>
    <row r="412" spans="1:3" ht="13.5" customHeight="1">
      <c r="A412" s="16">
        <f>+A400+1</f>
        <v>17</v>
      </c>
      <c r="B412" s="21"/>
      <c r="C412" s="5" t="s">
        <v>140</v>
      </c>
    </row>
    <row r="413" spans="1:19" ht="13.5" customHeight="1">
      <c r="A413" s="20"/>
      <c r="B413" s="20"/>
      <c r="C413" s="4" t="str">
        <f>C407</f>
        <v>Debt Reserve</v>
      </c>
      <c r="G413" s="26">
        <v>369.58</v>
      </c>
      <c r="H413" s="26">
        <v>369.58</v>
      </c>
      <c r="I413" s="26">
        <v>369.58</v>
      </c>
      <c r="J413" s="26">
        <v>369.58</v>
      </c>
      <c r="K413" s="26">
        <v>369.58</v>
      </c>
      <c r="L413" s="26">
        <v>369.58</v>
      </c>
      <c r="M413" s="26">
        <v>369.58</v>
      </c>
      <c r="N413" s="26">
        <v>369.58</v>
      </c>
      <c r="O413" s="26">
        <v>369.58</v>
      </c>
      <c r="P413" s="26">
        <v>369.58</v>
      </c>
      <c r="Q413" s="26">
        <v>369.58</v>
      </c>
      <c r="R413" s="39">
        <v>369.58</v>
      </c>
      <c r="S413" s="26">
        <f>SUM(G413:R413)</f>
        <v>4434.96</v>
      </c>
    </row>
    <row r="414" spans="3:19" ht="13.5" customHeight="1">
      <c r="C414" s="4" t="str">
        <f>C408</f>
        <v>Treasury Fee</v>
      </c>
      <c r="G414" s="48">
        <v>250</v>
      </c>
      <c r="S414" s="26">
        <f>SUM(G414:R414)</f>
        <v>250</v>
      </c>
    </row>
    <row r="415" spans="3:19" ht="13.5" customHeight="1" thickBot="1">
      <c r="C415" s="4" t="str">
        <f>C409</f>
        <v>Intercept</v>
      </c>
      <c r="G415" s="48">
        <f>12083.33+52867.71</f>
        <v>64951.04</v>
      </c>
      <c r="H415" s="48">
        <f>12083.33+52867.71</f>
        <v>64951.04</v>
      </c>
      <c r="I415" s="48">
        <f>12083.33+52867.71</f>
        <v>64951.04</v>
      </c>
      <c r="J415" s="48">
        <f>12916.67+52127.61</f>
        <v>65044.28</v>
      </c>
      <c r="K415" s="48">
        <f aca="true" t="shared" si="33" ref="K415:R415">12916.67+52127.61</f>
        <v>65044.28</v>
      </c>
      <c r="L415" s="48">
        <f t="shared" si="33"/>
        <v>65044.28</v>
      </c>
      <c r="M415" s="48">
        <f t="shared" si="33"/>
        <v>65044.28</v>
      </c>
      <c r="N415" s="48">
        <f t="shared" si="33"/>
        <v>65044.28</v>
      </c>
      <c r="O415" s="48">
        <f t="shared" si="33"/>
        <v>65044.28</v>
      </c>
      <c r="P415" s="48">
        <f t="shared" si="33"/>
        <v>65044.28</v>
      </c>
      <c r="Q415" s="48">
        <f t="shared" si="33"/>
        <v>65044.28</v>
      </c>
      <c r="R415" s="49">
        <f t="shared" si="33"/>
        <v>65044.28</v>
      </c>
      <c r="S415" s="26">
        <f>SUM(G415:R415)</f>
        <v>780251.6400000001</v>
      </c>
    </row>
    <row r="416" spans="3:19" ht="13.5" customHeight="1" thickBot="1">
      <c r="C416" s="6" t="s">
        <v>141</v>
      </c>
      <c r="G416" s="27">
        <f aca="true" t="shared" si="34" ref="G416:S416">SUM(G413:G415)</f>
        <v>65570.62</v>
      </c>
      <c r="H416" s="27">
        <f t="shared" si="34"/>
        <v>65320.62</v>
      </c>
      <c r="I416" s="27">
        <f t="shared" si="34"/>
        <v>65320.62</v>
      </c>
      <c r="J416" s="27">
        <f t="shared" si="34"/>
        <v>65413.86</v>
      </c>
      <c r="K416" s="27">
        <f t="shared" si="34"/>
        <v>65413.86</v>
      </c>
      <c r="L416" s="27">
        <f t="shared" si="34"/>
        <v>65413.86</v>
      </c>
      <c r="M416" s="27">
        <f t="shared" si="34"/>
        <v>65413.86</v>
      </c>
      <c r="N416" s="27">
        <f t="shared" si="34"/>
        <v>65413.86</v>
      </c>
      <c r="O416" s="27">
        <f t="shared" si="34"/>
        <v>65413.86</v>
      </c>
      <c r="P416" s="27">
        <f t="shared" si="34"/>
        <v>65413.86</v>
      </c>
      <c r="Q416" s="27">
        <f t="shared" si="34"/>
        <v>65413.86</v>
      </c>
      <c r="R416" s="40">
        <f t="shared" si="34"/>
        <v>65413.86</v>
      </c>
      <c r="S416" s="27">
        <f t="shared" si="34"/>
        <v>784936.6000000001</v>
      </c>
    </row>
    <row r="417" ht="13.5" customHeight="1">
      <c r="C417" s="12"/>
    </row>
    <row r="418" spans="1:3" ht="13.5" customHeight="1">
      <c r="A418" s="16">
        <f>+A412+1</f>
        <v>18</v>
      </c>
      <c r="B418" s="33" t="s">
        <v>103</v>
      </c>
      <c r="C418" s="32" t="s">
        <v>142</v>
      </c>
    </row>
    <row r="419" spans="1:19" ht="13.5" customHeight="1">
      <c r="A419" s="20"/>
      <c r="B419" s="20"/>
      <c r="C419" s="4" t="str">
        <f>C413</f>
        <v>Debt Reserve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39">
        <v>0</v>
      </c>
      <c r="S419" s="26">
        <f>SUM(G419:R419)</f>
        <v>0</v>
      </c>
    </row>
    <row r="420" spans="3:19" ht="13.5" customHeight="1">
      <c r="C420" s="4" t="str">
        <f>C414</f>
        <v>Treasury Fee</v>
      </c>
      <c r="G420" s="48">
        <v>250</v>
      </c>
      <c r="S420" s="26">
        <f>SUM(G420:R420)</f>
        <v>250</v>
      </c>
    </row>
    <row r="421" spans="3:19" ht="13.5" customHeight="1" thickBot="1">
      <c r="C421" s="4" t="str">
        <f>C415</f>
        <v>Intercept</v>
      </c>
      <c r="G421" s="26">
        <f>10000+55533.33</f>
        <v>65533.33</v>
      </c>
      <c r="H421" s="26">
        <f>10000+55533.33</f>
        <v>65533.33</v>
      </c>
      <c r="I421" s="26">
        <f>10000+55533.33</f>
        <v>65533.33</v>
      </c>
      <c r="J421" s="26">
        <f>10000+55533.33</f>
        <v>65533.33</v>
      </c>
      <c r="K421" s="26">
        <f>10000+55533.33</f>
        <v>65533.33</v>
      </c>
      <c r="L421" s="26">
        <f aca="true" t="shared" si="35" ref="L421:Q421">10000+59500</f>
        <v>69500</v>
      </c>
      <c r="M421" s="26">
        <f t="shared" si="35"/>
        <v>69500</v>
      </c>
      <c r="N421" s="26">
        <f t="shared" si="35"/>
        <v>69500</v>
      </c>
      <c r="O421" s="26">
        <f t="shared" si="35"/>
        <v>69500</v>
      </c>
      <c r="P421" s="26">
        <f t="shared" si="35"/>
        <v>69500</v>
      </c>
      <c r="Q421" s="26">
        <f t="shared" si="35"/>
        <v>69500</v>
      </c>
      <c r="R421" s="39">
        <f>10416.67+58750</f>
        <v>69166.67</v>
      </c>
      <c r="S421" s="26">
        <f>SUM(G421:R421)</f>
        <v>813833.3200000001</v>
      </c>
    </row>
    <row r="422" spans="3:19" ht="13.5" customHeight="1" thickBot="1">
      <c r="C422" s="6" t="s">
        <v>143</v>
      </c>
      <c r="G422" s="27">
        <f aca="true" t="shared" si="36" ref="G422:S422">SUM(G419:G421)</f>
        <v>65783.33</v>
      </c>
      <c r="H422" s="27">
        <f t="shared" si="36"/>
        <v>65533.33</v>
      </c>
      <c r="I422" s="27">
        <f t="shared" si="36"/>
        <v>65533.33</v>
      </c>
      <c r="J422" s="27">
        <f t="shared" si="36"/>
        <v>65533.33</v>
      </c>
      <c r="K422" s="27">
        <f t="shared" si="36"/>
        <v>65533.33</v>
      </c>
      <c r="L422" s="27">
        <f t="shared" si="36"/>
        <v>69500</v>
      </c>
      <c r="M422" s="27">
        <f t="shared" si="36"/>
        <v>69500</v>
      </c>
      <c r="N422" s="27">
        <f t="shared" si="36"/>
        <v>69500</v>
      </c>
      <c r="O422" s="27">
        <f t="shared" si="36"/>
        <v>69500</v>
      </c>
      <c r="P422" s="27">
        <f t="shared" si="36"/>
        <v>69500</v>
      </c>
      <c r="Q422" s="27">
        <f t="shared" si="36"/>
        <v>69500</v>
      </c>
      <c r="R422" s="40">
        <f t="shared" si="36"/>
        <v>69166.67</v>
      </c>
      <c r="S422" s="27">
        <f t="shared" si="36"/>
        <v>814083.3200000001</v>
      </c>
    </row>
    <row r="423" ht="13.5" customHeight="1">
      <c r="C423" s="12"/>
    </row>
    <row r="424" spans="1:3" ht="13.5" customHeight="1">
      <c r="A424" s="16">
        <f>+A418+1</f>
        <v>19</v>
      </c>
      <c r="B424" s="21"/>
      <c r="C424" s="5" t="s">
        <v>144</v>
      </c>
    </row>
    <row r="425" spans="1:19" ht="13.5" customHeight="1">
      <c r="A425" s="20"/>
      <c r="B425" s="20"/>
      <c r="C425" s="4" t="str">
        <f>C419</f>
        <v>Debt Reserve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39">
        <v>0</v>
      </c>
      <c r="S425" s="26">
        <f>SUM(G425:R425)</f>
        <v>0</v>
      </c>
    </row>
    <row r="426" spans="3:19" ht="13.5" customHeight="1">
      <c r="C426" s="4" t="str">
        <f>C420</f>
        <v>Treasury Fee</v>
      </c>
      <c r="G426" s="48">
        <v>250</v>
      </c>
      <c r="S426" s="26">
        <f>SUM(G426:R426)</f>
        <v>250</v>
      </c>
    </row>
    <row r="427" spans="3:19" ht="13.5" customHeight="1" thickBot="1">
      <c r="C427" s="4" t="str">
        <f>C421</f>
        <v>Intercept</v>
      </c>
      <c r="G427" s="26">
        <f>10416.67+47321.36</f>
        <v>57738.03</v>
      </c>
      <c r="H427" s="26">
        <f>10416.67+47321.36</f>
        <v>57738.03</v>
      </c>
      <c r="I427" s="26">
        <f>10416.67+47321.36</f>
        <v>57738.03</v>
      </c>
      <c r="J427" s="26">
        <f>10416.67+47321.36</f>
        <v>57738.03</v>
      </c>
      <c r="K427" s="26">
        <f>10416.67+47321.36</f>
        <v>57738.03</v>
      </c>
      <c r="L427" s="26">
        <f>10833.33+46670.31</f>
        <v>57503.64</v>
      </c>
      <c r="M427" s="26">
        <f aca="true" t="shared" si="37" ref="M427:R427">10833.33+46670.31</f>
        <v>57503.64</v>
      </c>
      <c r="N427" s="26">
        <f t="shared" si="37"/>
        <v>57503.64</v>
      </c>
      <c r="O427" s="26">
        <f t="shared" si="37"/>
        <v>57503.64</v>
      </c>
      <c r="P427" s="26">
        <f t="shared" si="37"/>
        <v>57503.64</v>
      </c>
      <c r="Q427" s="26">
        <f t="shared" si="37"/>
        <v>57503.64</v>
      </c>
      <c r="R427" s="39">
        <f t="shared" si="37"/>
        <v>57503.64</v>
      </c>
      <c r="S427" s="26">
        <f>SUM(G427:R427)</f>
        <v>691215.6300000001</v>
      </c>
    </row>
    <row r="428" spans="3:19" ht="13.5" customHeight="1" thickBot="1">
      <c r="C428" s="6" t="s">
        <v>145</v>
      </c>
      <c r="G428" s="27">
        <f aca="true" t="shared" si="38" ref="G428:S428">SUM(G425:G427)</f>
        <v>57988.03</v>
      </c>
      <c r="H428" s="27">
        <f t="shared" si="38"/>
        <v>57738.03</v>
      </c>
      <c r="I428" s="27">
        <f t="shared" si="38"/>
        <v>57738.03</v>
      </c>
      <c r="J428" s="27">
        <f t="shared" si="38"/>
        <v>57738.03</v>
      </c>
      <c r="K428" s="27">
        <f t="shared" si="38"/>
        <v>57738.03</v>
      </c>
      <c r="L428" s="27">
        <f t="shared" si="38"/>
        <v>57503.64</v>
      </c>
      <c r="M428" s="27">
        <f t="shared" si="38"/>
        <v>57503.64</v>
      </c>
      <c r="N428" s="27">
        <f t="shared" si="38"/>
        <v>57503.64</v>
      </c>
      <c r="O428" s="27">
        <f t="shared" si="38"/>
        <v>57503.64</v>
      </c>
      <c r="P428" s="27">
        <f t="shared" si="38"/>
        <v>57503.64</v>
      </c>
      <c r="Q428" s="27">
        <f t="shared" si="38"/>
        <v>57503.64</v>
      </c>
      <c r="R428" s="40">
        <f t="shared" si="38"/>
        <v>57503.64</v>
      </c>
      <c r="S428" s="27">
        <f t="shared" si="38"/>
        <v>691465.6300000001</v>
      </c>
    </row>
    <row r="429" ht="13.5" customHeight="1">
      <c r="C429" s="12"/>
    </row>
    <row r="430" spans="1:3" ht="13.5" customHeight="1">
      <c r="A430" s="16">
        <f>+A424+1</f>
        <v>20</v>
      </c>
      <c r="B430" s="21"/>
      <c r="C430" s="5" t="s">
        <v>146</v>
      </c>
    </row>
    <row r="431" spans="1:19" ht="13.5" customHeight="1">
      <c r="A431" s="20"/>
      <c r="B431" s="20"/>
      <c r="C431" s="4" t="str">
        <f>C425</f>
        <v>Debt Reserve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39">
        <v>0</v>
      </c>
      <c r="S431" s="26">
        <f>SUM(G431:R431)</f>
        <v>0</v>
      </c>
    </row>
    <row r="432" spans="3:19" ht="13.5" customHeight="1">
      <c r="C432" s="4" t="str">
        <f>C426</f>
        <v>Treasury Fee</v>
      </c>
      <c r="G432" s="48">
        <v>250</v>
      </c>
      <c r="S432" s="26">
        <f>SUM(G432:R432)</f>
        <v>250</v>
      </c>
    </row>
    <row r="433" spans="3:19" ht="13.5" customHeight="1" thickBot="1">
      <c r="C433" s="4" t="str">
        <f>C427</f>
        <v>Intercept</v>
      </c>
      <c r="G433" s="26">
        <f>9583.33+49468.75</f>
        <v>59052.08</v>
      </c>
      <c r="H433" s="26">
        <f>9583.33+49468.75</f>
        <v>59052.08</v>
      </c>
      <c r="I433" s="26">
        <f>9583.33+49468.75</f>
        <v>59052.08</v>
      </c>
      <c r="J433" s="26">
        <f>9583.33+49468.75</f>
        <v>59052.08</v>
      </c>
      <c r="K433" s="26">
        <f>9583.33+49468.75</f>
        <v>59052.08</v>
      </c>
      <c r="L433" s="26">
        <f>10416.67+48750</f>
        <v>59166.67</v>
      </c>
      <c r="M433" s="26">
        <f aca="true" t="shared" si="39" ref="M433:R433">10416.67+48750</f>
        <v>59166.67</v>
      </c>
      <c r="N433" s="26">
        <f t="shared" si="39"/>
        <v>59166.67</v>
      </c>
      <c r="O433" s="26">
        <f t="shared" si="39"/>
        <v>59166.67</v>
      </c>
      <c r="P433" s="26">
        <f t="shared" si="39"/>
        <v>59166.67</v>
      </c>
      <c r="Q433" s="26">
        <f t="shared" si="39"/>
        <v>59166.67</v>
      </c>
      <c r="R433" s="39">
        <f t="shared" si="39"/>
        <v>59166.67</v>
      </c>
      <c r="S433" s="26">
        <f>SUM(G433:R433)</f>
        <v>709427.0900000001</v>
      </c>
    </row>
    <row r="434" spans="3:19" ht="13.5" customHeight="1" thickBot="1">
      <c r="C434" s="6" t="s">
        <v>147</v>
      </c>
      <c r="G434" s="27">
        <f aca="true" t="shared" si="40" ref="G434:S434">SUM(G431:G433)</f>
        <v>59302.08</v>
      </c>
      <c r="H434" s="27">
        <f t="shared" si="40"/>
        <v>59052.08</v>
      </c>
      <c r="I434" s="27">
        <f t="shared" si="40"/>
        <v>59052.08</v>
      </c>
      <c r="J434" s="27">
        <f t="shared" si="40"/>
        <v>59052.08</v>
      </c>
      <c r="K434" s="27">
        <f t="shared" si="40"/>
        <v>59052.08</v>
      </c>
      <c r="L434" s="27">
        <f t="shared" si="40"/>
        <v>59166.67</v>
      </c>
      <c r="M434" s="27">
        <f t="shared" si="40"/>
        <v>59166.67</v>
      </c>
      <c r="N434" s="27">
        <f t="shared" si="40"/>
        <v>59166.67</v>
      </c>
      <c r="O434" s="27">
        <f t="shared" si="40"/>
        <v>59166.67</v>
      </c>
      <c r="P434" s="27">
        <f t="shared" si="40"/>
        <v>59166.67</v>
      </c>
      <c r="Q434" s="27">
        <f t="shared" si="40"/>
        <v>59166.67</v>
      </c>
      <c r="R434" s="40">
        <f t="shared" si="40"/>
        <v>59166.67</v>
      </c>
      <c r="S434" s="27">
        <f t="shared" si="40"/>
        <v>709677.0900000001</v>
      </c>
    </row>
    <row r="435" ht="13.5" customHeight="1">
      <c r="C435" s="12"/>
    </row>
    <row r="436" spans="1:3" ht="13.5" customHeight="1">
      <c r="A436" s="16">
        <f>+A430+1</f>
        <v>21</v>
      </c>
      <c r="B436" s="21"/>
      <c r="C436" s="5" t="s">
        <v>148</v>
      </c>
    </row>
    <row r="437" spans="1:19" ht="13.5" customHeight="1">
      <c r="A437" s="20"/>
      <c r="B437" s="20"/>
      <c r="C437" s="4" t="str">
        <f>C431</f>
        <v>Debt Reserve</v>
      </c>
      <c r="G437" s="26">
        <v>394.58</v>
      </c>
      <c r="H437" s="26">
        <v>394.58</v>
      </c>
      <c r="I437" s="26">
        <v>394.58</v>
      </c>
      <c r="J437" s="26">
        <v>394.58</v>
      </c>
      <c r="K437" s="26">
        <v>387.5</v>
      </c>
      <c r="L437" s="26">
        <v>387.5</v>
      </c>
      <c r="M437" s="26">
        <v>387.5</v>
      </c>
      <c r="N437" s="26">
        <v>387.5</v>
      </c>
      <c r="O437" s="26">
        <v>387.5</v>
      </c>
      <c r="P437" s="26">
        <v>387.5</v>
      </c>
      <c r="Q437" s="26">
        <v>387.5</v>
      </c>
      <c r="R437" s="39">
        <v>387.5</v>
      </c>
      <c r="S437" s="26">
        <f>SUM(G437:R437)</f>
        <v>4678.32</v>
      </c>
    </row>
    <row r="438" spans="3:19" ht="13.5" customHeight="1">
      <c r="C438" s="4" t="str">
        <f>C432</f>
        <v>Treasury Fee</v>
      </c>
      <c r="G438" s="48">
        <v>250</v>
      </c>
      <c r="S438" s="26">
        <f>SUM(G438:R438)</f>
        <v>250</v>
      </c>
    </row>
    <row r="439" spans="3:19" ht="13.5" customHeight="1" thickBot="1">
      <c r="C439" s="4" t="str">
        <f>C433</f>
        <v>Intercept</v>
      </c>
      <c r="G439" s="48">
        <f>10416.66+26350.63</f>
        <v>36767.29</v>
      </c>
      <c r="H439" s="48">
        <f>10416.66+26350.63</f>
        <v>36767.29</v>
      </c>
      <c r="I439" s="48">
        <f>10416.66+26350.63</f>
        <v>36767.29</v>
      </c>
      <c r="J439" s="48">
        <f>10416.74+26350.6</f>
        <v>36767.34</v>
      </c>
      <c r="K439" s="48">
        <f>11250+25627.08</f>
        <v>36877.08</v>
      </c>
      <c r="L439" s="48">
        <f aca="true" t="shared" si="41" ref="L439:R439">11250+25627.08</f>
        <v>36877.08</v>
      </c>
      <c r="M439" s="48">
        <f t="shared" si="41"/>
        <v>36877.08</v>
      </c>
      <c r="N439" s="48">
        <f t="shared" si="41"/>
        <v>36877.08</v>
      </c>
      <c r="O439" s="48">
        <f t="shared" si="41"/>
        <v>36877.08</v>
      </c>
      <c r="P439" s="48">
        <f>11250+25627.1</f>
        <v>36877.1</v>
      </c>
      <c r="Q439" s="48">
        <f t="shared" si="41"/>
        <v>36877.08</v>
      </c>
      <c r="R439" s="49">
        <f t="shared" si="41"/>
        <v>36877.08</v>
      </c>
      <c r="S439" s="26">
        <f>SUM(G439:R439)</f>
        <v>442085.87000000005</v>
      </c>
    </row>
    <row r="440" spans="3:19" ht="13.5" customHeight="1" thickBot="1">
      <c r="C440" s="6" t="s">
        <v>109</v>
      </c>
      <c r="G440" s="27">
        <f aca="true" t="shared" si="42" ref="G440:S440">SUM(G437:G439)</f>
        <v>37411.87</v>
      </c>
      <c r="H440" s="27">
        <f t="shared" si="42"/>
        <v>37161.87</v>
      </c>
      <c r="I440" s="27">
        <f t="shared" si="42"/>
        <v>37161.87</v>
      </c>
      <c r="J440" s="27">
        <f t="shared" si="42"/>
        <v>37161.92</v>
      </c>
      <c r="K440" s="27">
        <f t="shared" si="42"/>
        <v>37264.58</v>
      </c>
      <c r="L440" s="27">
        <f t="shared" si="42"/>
        <v>37264.58</v>
      </c>
      <c r="M440" s="27">
        <f t="shared" si="42"/>
        <v>37264.58</v>
      </c>
      <c r="N440" s="27">
        <f t="shared" si="42"/>
        <v>37264.58</v>
      </c>
      <c r="O440" s="27">
        <f t="shared" si="42"/>
        <v>37264.58</v>
      </c>
      <c r="P440" s="27">
        <f t="shared" si="42"/>
        <v>37264.6</v>
      </c>
      <c r="Q440" s="27">
        <f t="shared" si="42"/>
        <v>37264.58</v>
      </c>
      <c r="R440" s="40">
        <f t="shared" si="42"/>
        <v>37264.58</v>
      </c>
      <c r="S440" s="27">
        <f t="shared" si="42"/>
        <v>447014.19000000006</v>
      </c>
    </row>
    <row r="441" ht="13.5" customHeight="1">
      <c r="C441" s="12"/>
    </row>
    <row r="442" spans="1:3" ht="13.5" customHeight="1">
      <c r="A442" s="16">
        <f>+A436+1</f>
        <v>22</v>
      </c>
      <c r="B442" s="21"/>
      <c r="C442" s="5" t="s">
        <v>149</v>
      </c>
    </row>
    <row r="443" spans="1:19" ht="13.5" customHeight="1">
      <c r="A443" s="20"/>
      <c r="B443" s="20"/>
      <c r="C443" s="4" t="str">
        <f>C437</f>
        <v>Debt Reserve</v>
      </c>
      <c r="G443" s="26">
        <v>209.58</v>
      </c>
      <c r="H443" s="26">
        <v>209.58</v>
      </c>
      <c r="I443" s="26">
        <v>209.58</v>
      </c>
      <c r="J443" s="26">
        <v>209.58</v>
      </c>
      <c r="K443" s="26">
        <v>209.58</v>
      </c>
      <c r="L443" s="26">
        <v>209.58</v>
      </c>
      <c r="M443" s="26">
        <v>209.58</v>
      </c>
      <c r="N443" s="26">
        <v>209.58</v>
      </c>
      <c r="O443" s="26">
        <v>209.58</v>
      </c>
      <c r="P443" s="26">
        <v>209.58</v>
      </c>
      <c r="Q443" s="26">
        <v>209.58</v>
      </c>
      <c r="R443" s="39">
        <v>209.58</v>
      </c>
      <c r="S443" s="26">
        <f>SUM(G443:R443)</f>
        <v>2514.9599999999996</v>
      </c>
    </row>
    <row r="444" spans="3:19" ht="13.5" customHeight="1">
      <c r="C444" s="4" t="str">
        <f>C438</f>
        <v>Treasury Fee</v>
      </c>
      <c r="G444" s="48">
        <v>250</v>
      </c>
      <c r="S444" s="26">
        <f>SUM(G444:R444)</f>
        <v>250</v>
      </c>
    </row>
    <row r="445" spans="3:19" ht="13.5" customHeight="1" thickBot="1">
      <c r="C445" s="4" t="str">
        <f>C439</f>
        <v>Intercept</v>
      </c>
      <c r="G445" s="26">
        <f aca="true" t="shared" si="43" ref="G445:N445">4583.33+25932.81</f>
        <v>30516.14</v>
      </c>
      <c r="H445" s="26">
        <f t="shared" si="43"/>
        <v>30516.14</v>
      </c>
      <c r="I445" s="26">
        <f t="shared" si="43"/>
        <v>30516.14</v>
      </c>
      <c r="J445" s="26">
        <f t="shared" si="43"/>
        <v>30516.14</v>
      </c>
      <c r="K445" s="26">
        <f t="shared" si="43"/>
        <v>30516.14</v>
      </c>
      <c r="L445" s="26">
        <f t="shared" si="43"/>
        <v>30516.14</v>
      </c>
      <c r="M445" s="26">
        <f t="shared" si="43"/>
        <v>30516.14</v>
      </c>
      <c r="N445" s="26">
        <f t="shared" si="43"/>
        <v>30516.14</v>
      </c>
      <c r="O445" s="26">
        <f>5000+25589.06</f>
        <v>30589.06</v>
      </c>
      <c r="P445" s="26">
        <f>5000+25589.06</f>
        <v>30589.06</v>
      </c>
      <c r="Q445" s="26">
        <f>5000+25589.06</f>
        <v>30589.06</v>
      </c>
      <c r="R445" s="39">
        <f>5000+25589.06</f>
        <v>30589.06</v>
      </c>
      <c r="S445" s="26">
        <f>SUM(G445:R445)</f>
        <v>366485.36000000004</v>
      </c>
    </row>
    <row r="446" spans="3:19" ht="13.5" customHeight="1" thickBot="1">
      <c r="C446" s="6" t="s">
        <v>120</v>
      </c>
      <c r="G446" s="27">
        <f aca="true" t="shared" si="44" ref="G446:S446">SUM(G443:G445)</f>
        <v>30975.72</v>
      </c>
      <c r="H446" s="27">
        <f t="shared" si="44"/>
        <v>30725.72</v>
      </c>
      <c r="I446" s="27">
        <f t="shared" si="44"/>
        <v>30725.72</v>
      </c>
      <c r="J446" s="27">
        <f t="shared" si="44"/>
        <v>30725.72</v>
      </c>
      <c r="K446" s="27">
        <f t="shared" si="44"/>
        <v>30725.72</v>
      </c>
      <c r="L446" s="27">
        <f t="shared" si="44"/>
        <v>30725.72</v>
      </c>
      <c r="M446" s="27">
        <f t="shared" si="44"/>
        <v>30725.72</v>
      </c>
      <c r="N446" s="27">
        <f t="shared" si="44"/>
        <v>30725.72</v>
      </c>
      <c r="O446" s="27">
        <f t="shared" si="44"/>
        <v>30798.640000000003</v>
      </c>
      <c r="P446" s="27">
        <f t="shared" si="44"/>
        <v>30798.640000000003</v>
      </c>
      <c r="Q446" s="27">
        <f t="shared" si="44"/>
        <v>30798.640000000003</v>
      </c>
      <c r="R446" s="40">
        <f t="shared" si="44"/>
        <v>30798.640000000003</v>
      </c>
      <c r="S446" s="27">
        <f t="shared" si="44"/>
        <v>369250.32000000007</v>
      </c>
    </row>
    <row r="447" ht="13.5" customHeight="1">
      <c r="C447" s="12"/>
    </row>
    <row r="448" spans="1:3" ht="13.5" customHeight="1">
      <c r="A448" s="16"/>
      <c r="B448" s="42" t="s">
        <v>105</v>
      </c>
      <c r="C448" s="30" t="s">
        <v>150</v>
      </c>
    </row>
    <row r="449" spans="1:17" ht="13.5" customHeight="1">
      <c r="A449" s="20"/>
      <c r="B449" s="20"/>
      <c r="C449" s="4" t="str">
        <f>C443</f>
        <v>Debt Reserve</v>
      </c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151</v>
      </c>
    </row>
    <row r="453" ht="13.5" customHeight="1">
      <c r="C453" s="12"/>
    </row>
    <row r="454" spans="1:3" ht="13.5" customHeight="1">
      <c r="A454" s="16"/>
      <c r="B454" s="42" t="s">
        <v>105</v>
      </c>
      <c r="C454" s="30" t="s">
        <v>152</v>
      </c>
    </row>
    <row r="455" spans="1:19" ht="13.5" customHeight="1">
      <c r="A455" s="20"/>
      <c r="B455" s="20"/>
      <c r="C455" s="4" t="str">
        <f>C449</f>
        <v>Debt Reserve</v>
      </c>
      <c r="S455"/>
    </row>
    <row r="456" spans="3:19" ht="13.5" customHeight="1">
      <c r="C456" s="4" t="str">
        <f>C450</f>
        <v>Treasury Fee</v>
      </c>
      <c r="S456"/>
    </row>
    <row r="457" spans="3:19" ht="13.5" customHeight="1" thickBot="1">
      <c r="C457" s="4" t="str">
        <f>C451</f>
        <v>Intercept</v>
      </c>
      <c r="S457"/>
    </row>
    <row r="458" spans="3:19" ht="13.5" customHeight="1" thickBot="1">
      <c r="C458" s="6" t="s">
        <v>75</v>
      </c>
      <c r="S458"/>
    </row>
    <row r="459" ht="13.5" customHeight="1">
      <c r="C459" s="12"/>
    </row>
    <row r="460" spans="1:3" ht="13.5" customHeight="1">
      <c r="A460" s="16">
        <f>+A442+1</f>
        <v>23</v>
      </c>
      <c r="B460" s="21"/>
      <c r="C460" s="5" t="s">
        <v>153</v>
      </c>
    </row>
    <row r="461" spans="1:19" ht="13.5" customHeight="1">
      <c r="A461" s="20"/>
      <c r="B461" s="20"/>
      <c r="C461" s="4" t="str">
        <f>C455</f>
        <v>Debt Reserve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39">
        <v>0</v>
      </c>
      <c r="S461" s="26">
        <f>SUM(G461:R461)</f>
        <v>0</v>
      </c>
    </row>
    <row r="462" spans="3:19" ht="13.5" customHeight="1">
      <c r="C462" s="4" t="str">
        <f>C456</f>
        <v>Treasury Fee</v>
      </c>
      <c r="G462" s="48">
        <v>250</v>
      </c>
      <c r="S462" s="26">
        <f>SUM(G462:R462)</f>
        <v>250</v>
      </c>
    </row>
    <row r="463" spans="3:19" ht="13.5" customHeight="1" thickBot="1">
      <c r="C463" s="4" t="str">
        <f>C457</f>
        <v>Intercept</v>
      </c>
      <c r="G463" s="26">
        <f aca="true" t="shared" si="45" ref="G463:N463">12500+10540.63</f>
        <v>23040.629999999997</v>
      </c>
      <c r="H463" s="26">
        <f t="shared" si="45"/>
        <v>23040.629999999997</v>
      </c>
      <c r="I463" s="26">
        <f t="shared" si="45"/>
        <v>23040.629999999997</v>
      </c>
      <c r="J463" s="26">
        <f t="shared" si="45"/>
        <v>23040.629999999997</v>
      </c>
      <c r="K463" s="26">
        <f t="shared" si="45"/>
        <v>23040.629999999997</v>
      </c>
      <c r="L463" s="26">
        <f t="shared" si="45"/>
        <v>23040.629999999997</v>
      </c>
      <c r="M463" s="26">
        <f t="shared" si="45"/>
        <v>23040.629999999997</v>
      </c>
      <c r="N463" s="26">
        <f t="shared" si="45"/>
        <v>23040.629999999997</v>
      </c>
      <c r="O463" s="26">
        <f>12916.67+10040.63</f>
        <v>22957.3</v>
      </c>
      <c r="P463" s="26">
        <f>12916.67+10040.63</f>
        <v>22957.3</v>
      </c>
      <c r="Q463" s="26">
        <f>12916.67+10040.63</f>
        <v>22957.3</v>
      </c>
      <c r="R463" s="39">
        <f>12916.67+10040.63</f>
        <v>22957.3</v>
      </c>
      <c r="S463" s="26">
        <f>SUM(G463:R463)</f>
        <v>276154.24</v>
      </c>
    </row>
    <row r="464" spans="3:19" ht="13.5" customHeight="1" thickBot="1">
      <c r="C464" s="6" t="s">
        <v>154</v>
      </c>
      <c r="G464" s="27">
        <f aca="true" t="shared" si="46" ref="G464:S464">SUM(G461:G463)</f>
        <v>23290.629999999997</v>
      </c>
      <c r="H464" s="27">
        <f t="shared" si="46"/>
        <v>23040.629999999997</v>
      </c>
      <c r="I464" s="27">
        <f t="shared" si="46"/>
        <v>23040.629999999997</v>
      </c>
      <c r="J464" s="27">
        <f t="shared" si="46"/>
        <v>23040.629999999997</v>
      </c>
      <c r="K464" s="27">
        <f t="shared" si="46"/>
        <v>23040.629999999997</v>
      </c>
      <c r="L464" s="27">
        <f t="shared" si="46"/>
        <v>23040.629999999997</v>
      </c>
      <c r="M464" s="27">
        <f t="shared" si="46"/>
        <v>23040.629999999997</v>
      </c>
      <c r="N464" s="27">
        <f t="shared" si="46"/>
        <v>23040.629999999997</v>
      </c>
      <c r="O464" s="27">
        <f t="shared" si="46"/>
        <v>22957.3</v>
      </c>
      <c r="P464" s="27">
        <f t="shared" si="46"/>
        <v>22957.3</v>
      </c>
      <c r="Q464" s="27">
        <f t="shared" si="46"/>
        <v>22957.3</v>
      </c>
      <c r="R464" s="40">
        <f t="shared" si="46"/>
        <v>22957.3</v>
      </c>
      <c r="S464" s="27">
        <f t="shared" si="46"/>
        <v>276404.24</v>
      </c>
    </row>
    <row r="465" ht="13.5" customHeight="1">
      <c r="C465" s="12"/>
    </row>
    <row r="466" spans="1:3" ht="13.5" customHeight="1">
      <c r="A466" s="16"/>
      <c r="B466" s="42" t="s">
        <v>105</v>
      </c>
      <c r="C466" s="30" t="s">
        <v>155</v>
      </c>
    </row>
    <row r="467" spans="1:17" ht="13.5" customHeight="1">
      <c r="A467" s="20"/>
      <c r="B467" s="20"/>
      <c r="C467" s="4" t="str">
        <f>C461</f>
        <v>Debt Reserve</v>
      </c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156</v>
      </c>
    </row>
    <row r="471" ht="13.5" customHeight="1">
      <c r="C471" s="12"/>
    </row>
    <row r="472" spans="1:3" ht="13.5" customHeight="1">
      <c r="A472" s="16"/>
      <c r="B472" s="42" t="s">
        <v>105</v>
      </c>
      <c r="C472" s="30" t="s">
        <v>180</v>
      </c>
    </row>
    <row r="473" spans="1:17" ht="13.5" customHeight="1">
      <c r="A473" s="20"/>
      <c r="B473" s="20"/>
      <c r="C473" s="4" t="str">
        <f>C467</f>
        <v>Debt Reserve</v>
      </c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159</v>
      </c>
    </row>
    <row r="477" ht="13.5" customHeight="1">
      <c r="C477" s="12"/>
    </row>
    <row r="478" spans="1:3" ht="13.5" customHeight="1">
      <c r="A478" s="16"/>
      <c r="B478" s="42" t="s">
        <v>105</v>
      </c>
      <c r="C478" s="30" t="s">
        <v>160</v>
      </c>
    </row>
    <row r="479" spans="1:17" ht="13.5" customHeight="1">
      <c r="A479" s="20"/>
      <c r="B479" s="20"/>
      <c r="C479" s="4" t="str">
        <f>C473</f>
        <v>Debt Reserve</v>
      </c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161</v>
      </c>
    </row>
    <row r="483" ht="13.5" customHeight="1">
      <c r="C483" s="12"/>
    </row>
    <row r="484" spans="1:3" ht="13.5" customHeight="1">
      <c r="A484" s="16"/>
      <c r="B484" s="42" t="s">
        <v>105</v>
      </c>
      <c r="C484" s="30" t="s">
        <v>162</v>
      </c>
    </row>
    <row r="485" spans="1:19" ht="13.5" customHeight="1">
      <c r="A485" s="20"/>
      <c r="B485" s="20"/>
      <c r="C485" s="4" t="str">
        <f>C479</f>
        <v>Debt Reserve</v>
      </c>
      <c r="S485"/>
    </row>
    <row r="486" spans="3:19" ht="13.5" customHeight="1">
      <c r="C486" s="4" t="str">
        <f>C480</f>
        <v>Treasury Fee</v>
      </c>
      <c r="S486"/>
    </row>
    <row r="487" spans="3:19" ht="13.5" customHeight="1" thickBot="1">
      <c r="C487" s="4" t="str">
        <f>C481</f>
        <v>Intercept</v>
      </c>
      <c r="S487"/>
    </row>
    <row r="488" spans="3:19" ht="13.5" customHeight="1" thickBot="1">
      <c r="C488" s="6" t="s">
        <v>163</v>
      </c>
      <c r="S488"/>
    </row>
    <row r="489" ht="13.5" customHeight="1">
      <c r="C489" s="12"/>
    </row>
    <row r="490" spans="1:3" ht="13.5" customHeight="1">
      <c r="A490" s="16">
        <f>+A460+1</f>
        <v>24</v>
      </c>
      <c r="B490" s="21"/>
      <c r="C490" s="5" t="s">
        <v>164</v>
      </c>
    </row>
    <row r="491" spans="1:19" ht="13.5" customHeight="1">
      <c r="A491" s="20"/>
      <c r="B491" s="20"/>
      <c r="C491" s="4" t="str">
        <f>C485</f>
        <v>Debt Reserve</v>
      </c>
      <c r="G491" s="26">
        <v>688.33</v>
      </c>
      <c r="H491" s="26">
        <v>688.33</v>
      </c>
      <c r="I491" s="26">
        <v>688.33</v>
      </c>
      <c r="J491" s="26">
        <v>688.33</v>
      </c>
      <c r="K491" s="26">
        <v>688.33</v>
      </c>
      <c r="L491" s="26">
        <v>688.33</v>
      </c>
      <c r="M491" s="26">
        <v>688.33</v>
      </c>
      <c r="N491" s="26">
        <v>688.33</v>
      </c>
      <c r="O491" s="26">
        <v>688.33</v>
      </c>
      <c r="P491" s="26">
        <v>688.33</v>
      </c>
      <c r="Q491" s="26">
        <v>688.33</v>
      </c>
      <c r="R491" s="39">
        <v>688.33</v>
      </c>
      <c r="S491" s="26">
        <f>SUM(G491:R491)</f>
        <v>8259.960000000001</v>
      </c>
    </row>
    <row r="492" spans="3:19" ht="13.5" customHeight="1">
      <c r="C492" s="4" t="str">
        <f>C486</f>
        <v>Treasury Fee</v>
      </c>
      <c r="G492" s="48">
        <v>250</v>
      </c>
      <c r="S492" s="26">
        <f>SUM(G492:R492)</f>
        <v>250</v>
      </c>
    </row>
    <row r="493" spans="3:19" ht="13.5" customHeight="1" thickBot="1">
      <c r="C493" s="4" t="str">
        <f>C487</f>
        <v>Intercept</v>
      </c>
      <c r="G493" s="26">
        <f>22500+30820.83</f>
        <v>53320.83</v>
      </c>
      <c r="H493" s="26">
        <f>22500+30820.83</f>
        <v>53320.83</v>
      </c>
      <c r="I493" s="26">
        <f>22500+30820.83</f>
        <v>53320.83</v>
      </c>
      <c r="J493" s="26">
        <f>22500+30820.83</f>
        <v>53320.83</v>
      </c>
      <c r="K493" s="26">
        <f>22500+30820.83</f>
        <v>53320.83</v>
      </c>
      <c r="L493" s="26">
        <f>22500+30820.85</f>
        <v>53320.85</v>
      </c>
      <c r="M493" s="26">
        <f>23333.33+30455.21</f>
        <v>53788.54</v>
      </c>
      <c r="N493" s="26">
        <f>23333.33+30455.21</f>
        <v>53788.54</v>
      </c>
      <c r="O493" s="26">
        <f>23333.33+30455.21</f>
        <v>53788.54</v>
      </c>
      <c r="P493" s="26">
        <f>23333.33+30455.21</f>
        <v>53788.54</v>
      </c>
      <c r="Q493" s="26">
        <f>23333.33+30455.21</f>
        <v>53788.54</v>
      </c>
      <c r="R493" s="39">
        <f>23333.35+30455.2</f>
        <v>53788.55</v>
      </c>
      <c r="S493" s="26">
        <f>SUM(G493:R493)</f>
        <v>642656.25</v>
      </c>
    </row>
    <row r="494" spans="3:19" ht="13.5" customHeight="1" thickBot="1">
      <c r="C494" s="6" t="s">
        <v>165</v>
      </c>
      <c r="G494" s="27">
        <f aca="true" t="shared" si="47" ref="G494:S494">SUM(G491:G493)</f>
        <v>54259.16</v>
      </c>
      <c r="H494" s="27">
        <f t="shared" si="47"/>
        <v>54009.16</v>
      </c>
      <c r="I494" s="27">
        <f t="shared" si="47"/>
        <v>54009.16</v>
      </c>
      <c r="J494" s="27">
        <f t="shared" si="47"/>
        <v>54009.16</v>
      </c>
      <c r="K494" s="27">
        <f t="shared" si="47"/>
        <v>54009.16</v>
      </c>
      <c r="L494" s="27">
        <f t="shared" si="47"/>
        <v>54009.18</v>
      </c>
      <c r="M494" s="27">
        <f t="shared" si="47"/>
        <v>54476.87</v>
      </c>
      <c r="N494" s="27">
        <f t="shared" si="47"/>
        <v>54476.87</v>
      </c>
      <c r="O494" s="27">
        <f t="shared" si="47"/>
        <v>54476.87</v>
      </c>
      <c r="P494" s="27">
        <f t="shared" si="47"/>
        <v>54476.87</v>
      </c>
      <c r="Q494" s="27">
        <f t="shared" si="47"/>
        <v>54476.87</v>
      </c>
      <c r="R494" s="40">
        <f t="shared" si="47"/>
        <v>54476.880000000005</v>
      </c>
      <c r="S494" s="27">
        <f t="shared" si="47"/>
        <v>651166.21</v>
      </c>
    </row>
    <row r="495" ht="13.5" customHeight="1">
      <c r="C495" s="12"/>
    </row>
    <row r="496" spans="1:3" ht="13.5" customHeight="1">
      <c r="A496" s="16">
        <f>+A490+1</f>
        <v>25</v>
      </c>
      <c r="B496" s="21"/>
      <c r="C496" s="5" t="s">
        <v>166</v>
      </c>
    </row>
    <row r="497" spans="1:19" ht="13.5" customHeight="1">
      <c r="A497" s="20"/>
      <c r="B497" s="20"/>
      <c r="C497" s="4" t="str">
        <f>C491</f>
        <v>Debt Reserve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39">
        <v>0</v>
      </c>
      <c r="S497" s="26">
        <f>SUM(G497:R497)</f>
        <v>0</v>
      </c>
    </row>
    <row r="498" spans="3:19" ht="13.5" customHeight="1">
      <c r="C498" s="4" t="str">
        <f>C492</f>
        <v>Treasury Fee</v>
      </c>
      <c r="G498" s="48">
        <v>250</v>
      </c>
      <c r="S498" s="26">
        <f>SUM(G498:R498)</f>
        <v>250</v>
      </c>
    </row>
    <row r="499" spans="3:19" ht="13.5" customHeight="1" thickBot="1">
      <c r="C499" s="4" t="str">
        <f>C493</f>
        <v>Intercept</v>
      </c>
      <c r="G499" s="26">
        <f>8333.33+40775</f>
        <v>49108.33</v>
      </c>
      <c r="H499" s="26">
        <f>8333.33+40775</f>
        <v>49108.33</v>
      </c>
      <c r="I499" s="26">
        <f>8333.37+40775</f>
        <v>49108.37</v>
      </c>
      <c r="J499" s="26">
        <f>8750+40191.67</f>
        <v>48941.67</v>
      </c>
      <c r="K499" s="26">
        <f aca="true" t="shared" si="48" ref="K499:R499">8750+40191.67</f>
        <v>48941.67</v>
      </c>
      <c r="L499" s="26">
        <f t="shared" si="48"/>
        <v>48941.67</v>
      </c>
      <c r="M499" s="26">
        <f t="shared" si="48"/>
        <v>48941.67</v>
      </c>
      <c r="N499" s="26">
        <f t="shared" si="48"/>
        <v>48941.67</v>
      </c>
      <c r="O499" s="26">
        <f>8750+40191.65</f>
        <v>48941.65</v>
      </c>
      <c r="P499" s="26">
        <f t="shared" si="48"/>
        <v>48941.67</v>
      </c>
      <c r="Q499" s="26">
        <f t="shared" si="48"/>
        <v>48941.67</v>
      </c>
      <c r="R499" s="39">
        <f t="shared" si="48"/>
        <v>48941.67</v>
      </c>
      <c r="S499" s="26">
        <f>SUM(G499:R499)</f>
        <v>587800.04</v>
      </c>
    </row>
    <row r="500" spans="3:19" ht="13.5" customHeight="1" thickBot="1">
      <c r="C500" s="6" t="s">
        <v>167</v>
      </c>
      <c r="G500" s="27">
        <f aca="true" t="shared" si="49" ref="G500:S500">SUM(G497:G499)</f>
        <v>49358.33</v>
      </c>
      <c r="H500" s="27">
        <f t="shared" si="49"/>
        <v>49108.33</v>
      </c>
      <c r="I500" s="27">
        <f t="shared" si="49"/>
        <v>49108.37</v>
      </c>
      <c r="J500" s="27">
        <f t="shared" si="49"/>
        <v>48941.67</v>
      </c>
      <c r="K500" s="27">
        <f t="shared" si="49"/>
        <v>48941.67</v>
      </c>
      <c r="L500" s="27">
        <f t="shared" si="49"/>
        <v>48941.67</v>
      </c>
      <c r="M500" s="27">
        <f t="shared" si="49"/>
        <v>48941.67</v>
      </c>
      <c r="N500" s="27">
        <f t="shared" si="49"/>
        <v>48941.67</v>
      </c>
      <c r="O500" s="27">
        <f t="shared" si="49"/>
        <v>48941.65</v>
      </c>
      <c r="P500" s="27">
        <f t="shared" si="49"/>
        <v>48941.67</v>
      </c>
      <c r="Q500" s="27">
        <f t="shared" si="49"/>
        <v>48941.67</v>
      </c>
      <c r="R500" s="40">
        <f t="shared" si="49"/>
        <v>48941.67</v>
      </c>
      <c r="S500" s="27">
        <f t="shared" si="49"/>
        <v>588050.04</v>
      </c>
    </row>
    <row r="501" ht="13.5" customHeight="1">
      <c r="C501" s="12"/>
    </row>
    <row r="502" spans="1:3" ht="13.5" customHeight="1">
      <c r="A502" s="16"/>
      <c r="B502" s="42" t="s">
        <v>105</v>
      </c>
      <c r="C502" s="30" t="s">
        <v>168</v>
      </c>
    </row>
    <row r="503" spans="1:3" ht="13.5" customHeight="1">
      <c r="A503" s="20"/>
      <c r="B503" s="20"/>
      <c r="C503" s="4" t="str">
        <f>C497</f>
        <v>Debt Reserve</v>
      </c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169</v>
      </c>
    </row>
    <row r="507" ht="13.5" customHeight="1">
      <c r="C507" s="12"/>
    </row>
    <row r="508" spans="1:3" ht="13.5" customHeight="1">
      <c r="A508" s="16"/>
      <c r="B508" s="42" t="s">
        <v>105</v>
      </c>
      <c r="C508" s="30" t="s">
        <v>170</v>
      </c>
    </row>
    <row r="509" spans="1:19" ht="13.5" customHeight="1">
      <c r="A509" s="20"/>
      <c r="B509" s="20"/>
      <c r="C509" s="4" t="str">
        <f>C503</f>
        <v>Debt Reserve</v>
      </c>
      <c r="S509"/>
    </row>
    <row r="510" spans="3:19" ht="13.5" customHeight="1">
      <c r="C510" s="4" t="str">
        <f>C504</f>
        <v>Treasury Fee</v>
      </c>
      <c r="S510"/>
    </row>
    <row r="511" spans="3:19" ht="13.5" customHeight="1" thickBot="1">
      <c r="C511" s="4" t="str">
        <f>C505</f>
        <v>Intercept</v>
      </c>
      <c r="S511"/>
    </row>
    <row r="512" spans="3:19" ht="13.5" customHeight="1" thickBot="1">
      <c r="C512" s="6" t="s">
        <v>116</v>
      </c>
      <c r="S512"/>
    </row>
    <row r="513" ht="13.5" customHeight="1">
      <c r="C513" s="12"/>
    </row>
    <row r="514" spans="1:3" ht="13.5" customHeight="1">
      <c r="A514" s="16">
        <f>A496+1</f>
        <v>26</v>
      </c>
      <c r="B514" s="21"/>
      <c r="C514" s="5" t="s">
        <v>171</v>
      </c>
    </row>
    <row r="515" spans="1:19" ht="13.5" customHeight="1">
      <c r="A515" s="20"/>
      <c r="B515" s="20"/>
      <c r="C515" s="4" t="str">
        <f>C509</f>
        <v>Debt Reserve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39">
        <v>0</v>
      </c>
      <c r="S515" s="26">
        <f>SUM(G515:R515)</f>
        <v>0</v>
      </c>
    </row>
    <row r="516" spans="3:19" ht="13.5" customHeight="1">
      <c r="C516" s="4" t="str">
        <f>C510</f>
        <v>Treasury Fee</v>
      </c>
      <c r="G516" s="48">
        <v>250</v>
      </c>
      <c r="S516" s="26">
        <f>SUM(G516:R516)</f>
        <v>250</v>
      </c>
    </row>
    <row r="517" spans="3:19" ht="13.5" customHeight="1" thickBot="1">
      <c r="C517" s="4" t="str">
        <f>C511</f>
        <v>Intercept</v>
      </c>
      <c r="G517" s="48">
        <f>10416.67+29187.5</f>
        <v>39604.17</v>
      </c>
      <c r="H517" s="48">
        <f>10416.67+29187.5</f>
        <v>39604.17</v>
      </c>
      <c r="I517" s="48">
        <f>10416.67+29187.5</f>
        <v>39604.17</v>
      </c>
      <c r="J517" s="48">
        <f>10416.63+29187.5</f>
        <v>39604.13</v>
      </c>
      <c r="K517" s="48">
        <f>11250+28666.67</f>
        <v>39916.67</v>
      </c>
      <c r="L517" s="48">
        <f aca="true" t="shared" si="50" ref="L517:R517">11250+28666.67</f>
        <v>39916.67</v>
      </c>
      <c r="M517" s="48">
        <f t="shared" si="50"/>
        <v>39916.67</v>
      </c>
      <c r="N517" s="48">
        <f t="shared" si="50"/>
        <v>39916.67</v>
      </c>
      <c r="O517" s="48">
        <f t="shared" si="50"/>
        <v>39916.67</v>
      </c>
      <c r="P517" s="48">
        <f>11250+28666.65</f>
        <v>39916.65</v>
      </c>
      <c r="Q517" s="48">
        <f t="shared" si="50"/>
        <v>39916.67</v>
      </c>
      <c r="R517" s="49">
        <f t="shared" si="50"/>
        <v>39916.67</v>
      </c>
      <c r="S517" s="26">
        <f>SUM(G517:R517)</f>
        <v>477749.9799999999</v>
      </c>
    </row>
    <row r="518" spans="3:19" ht="13.5" customHeight="1" thickBot="1">
      <c r="C518" s="6" t="s">
        <v>172</v>
      </c>
      <c r="G518" s="27">
        <f aca="true" t="shared" si="51" ref="G518:S518">SUM(G515:G517)</f>
        <v>39854.17</v>
      </c>
      <c r="H518" s="27">
        <f t="shared" si="51"/>
        <v>39604.17</v>
      </c>
      <c r="I518" s="27">
        <f t="shared" si="51"/>
        <v>39604.17</v>
      </c>
      <c r="J518" s="27">
        <f t="shared" si="51"/>
        <v>39604.13</v>
      </c>
      <c r="K518" s="27">
        <f t="shared" si="51"/>
        <v>39916.67</v>
      </c>
      <c r="L518" s="27">
        <f t="shared" si="51"/>
        <v>39916.67</v>
      </c>
      <c r="M518" s="27">
        <f t="shared" si="51"/>
        <v>39916.67</v>
      </c>
      <c r="N518" s="27">
        <f t="shared" si="51"/>
        <v>39916.67</v>
      </c>
      <c r="O518" s="27">
        <f t="shared" si="51"/>
        <v>39916.67</v>
      </c>
      <c r="P518" s="27">
        <f t="shared" si="51"/>
        <v>39916.65</v>
      </c>
      <c r="Q518" s="27">
        <f t="shared" si="51"/>
        <v>39916.67</v>
      </c>
      <c r="R518" s="40">
        <f t="shared" si="51"/>
        <v>39916.67</v>
      </c>
      <c r="S518" s="27">
        <f t="shared" si="51"/>
        <v>477999.9799999999</v>
      </c>
    </row>
    <row r="519" ht="13.5" customHeight="1">
      <c r="C519" s="12"/>
    </row>
    <row r="520" spans="1:3" ht="13.5" customHeight="1">
      <c r="A520" s="16">
        <f>+A514+1</f>
        <v>27</v>
      </c>
      <c r="B520" s="33" t="s">
        <v>103</v>
      </c>
      <c r="C520" s="32" t="s">
        <v>173</v>
      </c>
    </row>
    <row r="521" spans="1:19" ht="13.5" customHeight="1">
      <c r="A521" s="20"/>
      <c r="B521" s="20"/>
      <c r="C521" s="4" t="str">
        <f>C515</f>
        <v>Debt Reserve</v>
      </c>
      <c r="G521" s="26">
        <v>1347.08</v>
      </c>
      <c r="H521" s="26">
        <v>1347.08</v>
      </c>
      <c r="I521" s="26">
        <v>1347.08</v>
      </c>
      <c r="J521" s="26">
        <v>1347.08</v>
      </c>
      <c r="K521" s="26">
        <v>1347.08</v>
      </c>
      <c r="L521" s="26">
        <v>1347.08</v>
      </c>
      <c r="M521" s="26">
        <v>1347.08</v>
      </c>
      <c r="N521" s="26">
        <v>1347.08</v>
      </c>
      <c r="O521" s="26">
        <v>1303.75</v>
      </c>
      <c r="P521" s="26">
        <v>1303.75</v>
      </c>
      <c r="Q521" s="26">
        <v>1303.75</v>
      </c>
      <c r="R521" s="39">
        <v>1303.75</v>
      </c>
      <c r="S521" s="26">
        <f>SUM(G521:R521)</f>
        <v>15991.64</v>
      </c>
    </row>
    <row r="522" spans="3:19" ht="13.5" customHeight="1">
      <c r="C522" s="4" t="str">
        <f>C516</f>
        <v>Treasury Fee</v>
      </c>
      <c r="G522" s="48">
        <v>250</v>
      </c>
      <c r="S522" s="26">
        <f>SUM(G522:R522)</f>
        <v>250</v>
      </c>
    </row>
    <row r="523" spans="3:19" ht="13.5" customHeight="1" thickBot="1">
      <c r="C523" s="4" t="str">
        <f>C517</f>
        <v>Intercept</v>
      </c>
      <c r="G523" s="26">
        <f aca="true" t="shared" si="52" ref="G523:Q523">56666.67+58619.79</f>
        <v>115286.45999999999</v>
      </c>
      <c r="H523" s="26">
        <f t="shared" si="52"/>
        <v>115286.45999999999</v>
      </c>
      <c r="I523" s="26">
        <f t="shared" si="52"/>
        <v>115286.45999999999</v>
      </c>
      <c r="J523" s="26">
        <f t="shared" si="52"/>
        <v>115286.45999999999</v>
      </c>
      <c r="K523" s="26">
        <f t="shared" si="52"/>
        <v>115286.45999999999</v>
      </c>
      <c r="L523" s="26">
        <f t="shared" si="52"/>
        <v>115286.45999999999</v>
      </c>
      <c r="M523" s="26">
        <f t="shared" si="52"/>
        <v>115286.45999999999</v>
      </c>
      <c r="N523" s="26">
        <f t="shared" si="52"/>
        <v>115286.45999999999</v>
      </c>
      <c r="O523" s="26">
        <f t="shared" si="52"/>
        <v>115286.45999999999</v>
      </c>
      <c r="P523" s="26">
        <f t="shared" si="52"/>
        <v>115286.45999999999</v>
      </c>
      <c r="Q523" s="26">
        <f t="shared" si="52"/>
        <v>115286.45999999999</v>
      </c>
      <c r="R523" s="39">
        <f>59166.67+56353.13</f>
        <v>115519.79999999999</v>
      </c>
      <c r="S523" s="26">
        <f>SUM(G523:R523)</f>
        <v>1383670.8599999999</v>
      </c>
    </row>
    <row r="524" spans="3:19" ht="13.5" customHeight="1" thickBot="1">
      <c r="C524" s="6" t="s">
        <v>129</v>
      </c>
      <c r="G524" s="27">
        <f aca="true" t="shared" si="53" ref="G524:S524">SUM(G521:G523)</f>
        <v>116883.54</v>
      </c>
      <c r="H524" s="27">
        <f t="shared" si="53"/>
        <v>116633.54</v>
      </c>
      <c r="I524" s="27">
        <f t="shared" si="53"/>
        <v>116633.54</v>
      </c>
      <c r="J524" s="27">
        <f t="shared" si="53"/>
        <v>116633.54</v>
      </c>
      <c r="K524" s="27">
        <f t="shared" si="53"/>
        <v>116633.54</v>
      </c>
      <c r="L524" s="27">
        <f t="shared" si="53"/>
        <v>116633.54</v>
      </c>
      <c r="M524" s="27">
        <f t="shared" si="53"/>
        <v>116633.54</v>
      </c>
      <c r="N524" s="27">
        <f t="shared" si="53"/>
        <v>116633.54</v>
      </c>
      <c r="O524" s="27">
        <f t="shared" si="53"/>
        <v>116590.20999999999</v>
      </c>
      <c r="P524" s="27">
        <f t="shared" si="53"/>
        <v>116590.20999999999</v>
      </c>
      <c r="Q524" s="27">
        <f t="shared" si="53"/>
        <v>116590.20999999999</v>
      </c>
      <c r="R524" s="40">
        <f t="shared" si="53"/>
        <v>116823.54999999999</v>
      </c>
      <c r="S524" s="27">
        <f t="shared" si="53"/>
        <v>1399912.4999999998</v>
      </c>
    </row>
    <row r="525" ht="13.5" customHeight="1">
      <c r="C525" s="12"/>
    </row>
    <row r="526" spans="1:3" ht="13.5" customHeight="1">
      <c r="A526" s="16">
        <f>+A520+1</f>
        <v>28</v>
      </c>
      <c r="B526" s="21"/>
      <c r="C526" s="5" t="s">
        <v>174</v>
      </c>
    </row>
    <row r="527" spans="1:19" ht="13.5" customHeight="1">
      <c r="A527" s="20"/>
      <c r="B527" s="20"/>
      <c r="C527" s="4" t="str">
        <f>C521</f>
        <v>Debt Reserve</v>
      </c>
      <c r="G527" s="26">
        <v>593.33</v>
      </c>
      <c r="H527" s="26">
        <v>593.33</v>
      </c>
      <c r="I527" s="26">
        <v>593.33</v>
      </c>
      <c r="J527" s="26">
        <v>593.33</v>
      </c>
      <c r="K527" s="26">
        <v>593.33</v>
      </c>
      <c r="L527" s="26">
        <v>593.33</v>
      </c>
      <c r="M527" s="26">
        <v>593.33</v>
      </c>
      <c r="N527" s="26">
        <v>593.33</v>
      </c>
      <c r="O527" s="26">
        <v>593.37</v>
      </c>
      <c r="P527" s="26">
        <v>580.83</v>
      </c>
      <c r="Q527" s="26">
        <v>580.83</v>
      </c>
      <c r="R527" s="39">
        <v>580.83</v>
      </c>
      <c r="S527" s="26">
        <f>SUM(G527:R527)</f>
        <v>7082.5</v>
      </c>
    </row>
    <row r="528" spans="3:19" ht="13.5" customHeight="1">
      <c r="C528" s="4" t="str">
        <f>C522</f>
        <v>Treasury Fee</v>
      </c>
      <c r="G528" s="48">
        <v>250</v>
      </c>
      <c r="S528" s="26">
        <f>SUM(G528:R528)</f>
        <v>250</v>
      </c>
    </row>
    <row r="529" spans="3:19" ht="13.5" customHeight="1" thickBot="1">
      <c r="C529" s="4" t="str">
        <f>C523</f>
        <v>Intercept</v>
      </c>
      <c r="G529" s="26">
        <f aca="true" t="shared" si="54" ref="G529:M529">12500+26228.33</f>
        <v>38728.33</v>
      </c>
      <c r="H529" s="26">
        <f>12500+26228.35</f>
        <v>38728.35</v>
      </c>
      <c r="I529" s="26">
        <f t="shared" si="54"/>
        <v>38728.33</v>
      </c>
      <c r="J529" s="26">
        <f t="shared" si="54"/>
        <v>38728.33</v>
      </c>
      <c r="K529" s="26">
        <f t="shared" si="54"/>
        <v>38728.33</v>
      </c>
      <c r="L529" s="26">
        <f t="shared" si="54"/>
        <v>38728.33</v>
      </c>
      <c r="M529" s="26">
        <f t="shared" si="54"/>
        <v>38728.33</v>
      </c>
      <c r="N529" s="26">
        <f>12500+26228.35</f>
        <v>38728.35</v>
      </c>
      <c r="O529" s="26">
        <f>13333.33+25659.58</f>
        <v>38992.91</v>
      </c>
      <c r="P529" s="26">
        <f>13333.33+25659.58</f>
        <v>38992.91</v>
      </c>
      <c r="Q529" s="26">
        <f>13333.33+25659.58</f>
        <v>38992.91</v>
      </c>
      <c r="R529" s="39">
        <f>13333.33+25659.58</f>
        <v>38992.91</v>
      </c>
      <c r="S529" s="26">
        <f>SUM(G529:R529)</f>
        <v>465798.32000000007</v>
      </c>
    </row>
    <row r="530" spans="3:19" ht="13.5" customHeight="1" thickBot="1">
      <c r="C530" s="6" t="s">
        <v>175</v>
      </c>
      <c r="G530" s="27">
        <f aca="true" t="shared" si="55" ref="G530:S530">SUM(G527:G529)</f>
        <v>39571.66</v>
      </c>
      <c r="H530" s="27">
        <f t="shared" si="55"/>
        <v>39321.68</v>
      </c>
      <c r="I530" s="27">
        <f t="shared" si="55"/>
        <v>39321.66</v>
      </c>
      <c r="J530" s="27">
        <f t="shared" si="55"/>
        <v>39321.66</v>
      </c>
      <c r="K530" s="27">
        <f t="shared" si="55"/>
        <v>39321.66</v>
      </c>
      <c r="L530" s="27">
        <f t="shared" si="55"/>
        <v>39321.66</v>
      </c>
      <c r="M530" s="27">
        <f t="shared" si="55"/>
        <v>39321.66</v>
      </c>
      <c r="N530" s="27">
        <f t="shared" si="55"/>
        <v>39321.68</v>
      </c>
      <c r="O530" s="27">
        <f t="shared" si="55"/>
        <v>39586.280000000006</v>
      </c>
      <c r="P530" s="27">
        <f t="shared" si="55"/>
        <v>39573.740000000005</v>
      </c>
      <c r="Q530" s="27">
        <f t="shared" si="55"/>
        <v>39573.740000000005</v>
      </c>
      <c r="R530" s="40">
        <f t="shared" si="55"/>
        <v>39573.740000000005</v>
      </c>
      <c r="S530" s="27">
        <f t="shared" si="55"/>
        <v>473130.82000000007</v>
      </c>
    </row>
    <row r="531" ht="13.5" customHeight="1">
      <c r="C531" s="12"/>
    </row>
    <row r="532" spans="1:3" ht="13.5" customHeight="1">
      <c r="A532" s="16">
        <f>+A526+1</f>
        <v>29</v>
      </c>
      <c r="B532" s="21"/>
      <c r="C532" s="5" t="s">
        <v>176</v>
      </c>
    </row>
    <row r="533" spans="1:19" ht="13.5" customHeight="1">
      <c r="A533" s="20"/>
      <c r="B533" s="20"/>
      <c r="C533" s="4" t="str">
        <f>C527</f>
        <v>Debt Reserve</v>
      </c>
      <c r="G533" s="26">
        <v>452.16</v>
      </c>
      <c r="H533" s="26">
        <v>452.16</v>
      </c>
      <c r="I533" s="26">
        <v>452.15</v>
      </c>
      <c r="J533" s="26">
        <v>452.15</v>
      </c>
      <c r="K533" s="26">
        <v>452.15</v>
      </c>
      <c r="L533" s="26">
        <v>452.15</v>
      </c>
      <c r="M533" s="26">
        <v>452.15</v>
      </c>
      <c r="N533" s="26">
        <v>431.92</v>
      </c>
      <c r="O533" s="26">
        <v>431.92</v>
      </c>
      <c r="P533" s="26">
        <v>431.92</v>
      </c>
      <c r="Q533" s="26">
        <v>431.92</v>
      </c>
      <c r="R533" s="39">
        <v>431.92</v>
      </c>
      <c r="S533" s="26">
        <f>SUM(G533:R533)</f>
        <v>5324.67</v>
      </c>
    </row>
    <row r="534" spans="3:19" ht="13.5" customHeight="1">
      <c r="C534" s="4" t="str">
        <f>C528</f>
        <v>Treasury Fee</v>
      </c>
      <c r="G534" s="48">
        <v>250</v>
      </c>
      <c r="S534" s="26">
        <f>SUM(G534:R534)</f>
        <v>250</v>
      </c>
    </row>
    <row r="535" spans="3:19" ht="13.5" customHeight="1" thickBot="1">
      <c r="C535" s="4" t="str">
        <f>C529</f>
        <v>Intercept</v>
      </c>
      <c r="G535" s="48">
        <f>20238.97+14514.21</f>
        <v>34753.18</v>
      </c>
      <c r="H535" s="48">
        <f>20238.96+14514.22</f>
        <v>34753.18</v>
      </c>
      <c r="I535" s="48">
        <f>20238.96+14514.21</f>
        <v>34753.17</v>
      </c>
      <c r="J535" s="48">
        <f>20238.96+14514.21</f>
        <v>34753.17</v>
      </c>
      <c r="K535" s="48">
        <f>20238.96+14514.21</f>
        <v>34753.17</v>
      </c>
      <c r="L535" s="48">
        <f>20238.96+14514.21</f>
        <v>34753.17</v>
      </c>
      <c r="M535" s="48">
        <f>20238.96+14514.21</f>
        <v>34753.17</v>
      </c>
      <c r="N535" s="48">
        <f>20908.88+13864.54</f>
        <v>34773.42</v>
      </c>
      <c r="O535" s="48">
        <f>20908.88+13864.54</f>
        <v>34773.42</v>
      </c>
      <c r="P535" s="48">
        <f>20908.88+13864.54</f>
        <v>34773.42</v>
      </c>
      <c r="Q535" s="48">
        <f>20908.88+13864.54</f>
        <v>34773.42</v>
      </c>
      <c r="R535" s="49">
        <f>20908.88+13864.54</f>
        <v>34773.42</v>
      </c>
      <c r="S535" s="26">
        <f>SUM(G535:R535)</f>
        <v>417139.3099999999</v>
      </c>
    </row>
    <row r="536" spans="3:19" ht="13.5" customHeight="1" thickBot="1">
      <c r="C536" s="6" t="s">
        <v>177</v>
      </c>
      <c r="G536" s="27">
        <f aca="true" t="shared" si="56" ref="G536:S536">SUM(G533:G535)</f>
        <v>35455.340000000004</v>
      </c>
      <c r="H536" s="27">
        <f t="shared" si="56"/>
        <v>35205.340000000004</v>
      </c>
      <c r="I536" s="27">
        <f t="shared" si="56"/>
        <v>35205.32</v>
      </c>
      <c r="J536" s="27">
        <f t="shared" si="56"/>
        <v>35205.32</v>
      </c>
      <c r="K536" s="27">
        <f t="shared" si="56"/>
        <v>35205.32</v>
      </c>
      <c r="L536" s="27">
        <f t="shared" si="56"/>
        <v>35205.32</v>
      </c>
      <c r="M536" s="27">
        <f t="shared" si="56"/>
        <v>35205.32</v>
      </c>
      <c r="N536" s="27">
        <f t="shared" si="56"/>
        <v>35205.34</v>
      </c>
      <c r="O536" s="27">
        <f t="shared" si="56"/>
        <v>35205.34</v>
      </c>
      <c r="P536" s="27">
        <f t="shared" si="56"/>
        <v>35205.34</v>
      </c>
      <c r="Q536" s="27">
        <f t="shared" si="56"/>
        <v>35205.34</v>
      </c>
      <c r="R536" s="40">
        <f t="shared" si="56"/>
        <v>35205.34</v>
      </c>
      <c r="S536" s="27">
        <f t="shared" si="56"/>
        <v>422713.97999999986</v>
      </c>
    </row>
    <row r="537" ht="13.5" customHeight="1">
      <c r="C537" s="12"/>
    </row>
    <row r="538" spans="1:3" ht="13.5" customHeight="1">
      <c r="A538" s="16"/>
      <c r="B538" s="42" t="s">
        <v>105</v>
      </c>
      <c r="C538" s="30" t="s">
        <v>178</v>
      </c>
    </row>
    <row r="539" spans="1:19" ht="13.5" customHeight="1">
      <c r="A539" s="20"/>
      <c r="B539" s="20"/>
      <c r="C539" s="4" t="str">
        <f>C533</f>
        <v>Debt Reserve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S539" s="26">
        <f>SUM(G539:R539)</f>
        <v>0</v>
      </c>
    </row>
    <row r="540" spans="3:19" ht="13.5" customHeight="1">
      <c r="C540" s="4" t="str">
        <f>C534</f>
        <v>Treasury Fee</v>
      </c>
      <c r="G540" s="48">
        <v>250</v>
      </c>
      <c r="S540" s="26">
        <f>SUM(G540:R540)</f>
        <v>250</v>
      </c>
    </row>
    <row r="541" spans="3:19" ht="13.5" customHeight="1" thickBot="1">
      <c r="C541" s="4" t="str">
        <f>C535</f>
        <v>Intercept</v>
      </c>
      <c r="G541" s="26">
        <v>42791.67</v>
      </c>
      <c r="H541" s="26">
        <v>42791.67</v>
      </c>
      <c r="I541" s="26">
        <v>42791.67</v>
      </c>
      <c r="J541" s="26">
        <v>42791.67</v>
      </c>
      <c r="K541" s="26">
        <v>42791.67</v>
      </c>
      <c r="L541" s="26">
        <v>42791.67</v>
      </c>
      <c r="M541" s="26">
        <v>42791.67</v>
      </c>
      <c r="N541" s="26">
        <v>42791.67</v>
      </c>
      <c r="O541" s="26">
        <v>42791.67</v>
      </c>
      <c r="S541" s="26">
        <f>SUM(G541:R541)</f>
        <v>385125.0299999999</v>
      </c>
    </row>
    <row r="542" spans="3:19" ht="13.5" customHeight="1" thickBot="1">
      <c r="C542" s="6" t="s">
        <v>124</v>
      </c>
      <c r="G542" s="27">
        <f aca="true" t="shared" si="57" ref="G542:S542">SUM(G539:G541)</f>
        <v>43041.67</v>
      </c>
      <c r="H542" s="27">
        <f t="shared" si="57"/>
        <v>42791.67</v>
      </c>
      <c r="I542" s="27">
        <f t="shared" si="57"/>
        <v>42791.67</v>
      </c>
      <c r="J542" s="27">
        <f t="shared" si="57"/>
        <v>42791.67</v>
      </c>
      <c r="K542" s="27">
        <f t="shared" si="57"/>
        <v>42791.67</v>
      </c>
      <c r="L542" s="27">
        <f t="shared" si="57"/>
        <v>42791.67</v>
      </c>
      <c r="M542" s="27">
        <f t="shared" si="57"/>
        <v>42791.67</v>
      </c>
      <c r="N542" s="27">
        <f t="shared" si="57"/>
        <v>42791.67</v>
      </c>
      <c r="O542" s="27">
        <f t="shared" si="57"/>
        <v>42791.67</v>
      </c>
      <c r="P542" s="27">
        <f t="shared" si="57"/>
        <v>0</v>
      </c>
      <c r="Q542" s="27">
        <f t="shared" si="57"/>
        <v>0</v>
      </c>
      <c r="R542" s="40">
        <f t="shared" si="57"/>
        <v>0</v>
      </c>
      <c r="S542" s="27">
        <f t="shared" si="57"/>
        <v>385375.0299999999</v>
      </c>
    </row>
    <row r="543" ht="13.5" customHeight="1">
      <c r="C543" s="12"/>
    </row>
    <row r="544" spans="1:3" ht="13.5" customHeight="1">
      <c r="A544" s="16"/>
      <c r="B544" s="42" t="s">
        <v>105</v>
      </c>
      <c r="C544" s="30" t="s">
        <v>181</v>
      </c>
    </row>
    <row r="545" spans="1:17" ht="13.5" customHeight="1">
      <c r="A545" s="20"/>
      <c r="B545" s="20"/>
      <c r="C545" s="4" t="str">
        <f>C539</f>
        <v>Debt Reserve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159</v>
      </c>
    </row>
    <row r="549" ht="13.5" customHeight="1">
      <c r="C549" s="12"/>
    </row>
    <row r="550" spans="1:3" ht="13.5" customHeight="1">
      <c r="A550" s="16">
        <f>+A532+1</f>
        <v>30</v>
      </c>
      <c r="B550" s="45" t="s">
        <v>103</v>
      </c>
      <c r="C550" s="36" t="s">
        <v>179</v>
      </c>
    </row>
    <row r="551" spans="1:19" ht="13.5" customHeight="1">
      <c r="A551" s="20"/>
      <c r="B551" s="20"/>
      <c r="C551" s="4" t="str">
        <f>C545</f>
        <v>Debt Reserve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39">
        <v>0</v>
      </c>
      <c r="S551" s="26">
        <f>SUM(G551:R551)</f>
        <v>0</v>
      </c>
    </row>
    <row r="552" spans="3:19" ht="13.5" customHeight="1">
      <c r="C552" s="4" t="str">
        <f>C546</f>
        <v>Treasury Fee</v>
      </c>
      <c r="G552" s="48">
        <v>250</v>
      </c>
      <c r="S552" s="26">
        <f>SUM(G552:R552)</f>
        <v>250</v>
      </c>
    </row>
    <row r="553" spans="3:19" ht="13.5" customHeight="1" thickBot="1">
      <c r="C553" s="4" t="str">
        <f>C547</f>
        <v>Intercept</v>
      </c>
      <c r="G553" s="26">
        <f>5416.67+98159.79</f>
        <v>103576.45999999999</v>
      </c>
      <c r="H553" s="26">
        <f aca="true" t="shared" si="58" ref="H553:R553">5416.67+98159.79</f>
        <v>103576.45999999999</v>
      </c>
      <c r="I553" s="26">
        <f t="shared" si="58"/>
        <v>103576.45999999999</v>
      </c>
      <c r="J553" s="26">
        <f t="shared" si="58"/>
        <v>103576.45999999999</v>
      </c>
      <c r="K553" s="26">
        <f t="shared" si="58"/>
        <v>103576.45999999999</v>
      </c>
      <c r="L553" s="26">
        <f t="shared" si="58"/>
        <v>103576.45999999999</v>
      </c>
      <c r="M553" s="26">
        <f t="shared" si="58"/>
        <v>103576.45999999999</v>
      </c>
      <c r="N553" s="26">
        <f t="shared" si="58"/>
        <v>103576.45999999999</v>
      </c>
      <c r="O553" s="26">
        <f t="shared" si="58"/>
        <v>103576.45999999999</v>
      </c>
      <c r="P553" s="26">
        <f t="shared" si="58"/>
        <v>103576.45999999999</v>
      </c>
      <c r="Q553" s="26">
        <f t="shared" si="58"/>
        <v>103576.45999999999</v>
      </c>
      <c r="R553" s="39">
        <f t="shared" si="58"/>
        <v>103576.45999999999</v>
      </c>
      <c r="S553" s="26">
        <f>SUM(G553:R553)</f>
        <v>1242917.5199999998</v>
      </c>
    </row>
    <row r="554" spans="3:19" ht="13.5" customHeight="1" thickBot="1">
      <c r="C554" s="6" t="s">
        <v>102</v>
      </c>
      <c r="G554" s="27">
        <f aca="true" t="shared" si="59" ref="G554:S554">SUM(G551:G553)</f>
        <v>103826.45999999999</v>
      </c>
      <c r="H554" s="27">
        <f t="shared" si="59"/>
        <v>103576.45999999999</v>
      </c>
      <c r="I554" s="27">
        <f t="shared" si="59"/>
        <v>103576.45999999999</v>
      </c>
      <c r="J554" s="27">
        <f t="shared" si="59"/>
        <v>103576.45999999999</v>
      </c>
      <c r="K554" s="27">
        <f t="shared" si="59"/>
        <v>103576.45999999999</v>
      </c>
      <c r="L554" s="27">
        <f t="shared" si="59"/>
        <v>103576.45999999999</v>
      </c>
      <c r="M554" s="27">
        <f t="shared" si="59"/>
        <v>103576.45999999999</v>
      </c>
      <c r="N554" s="27">
        <f t="shared" si="59"/>
        <v>103576.45999999999</v>
      </c>
      <c r="O554" s="27">
        <f t="shared" si="59"/>
        <v>103576.45999999999</v>
      </c>
      <c r="P554" s="27">
        <f t="shared" si="59"/>
        <v>103576.45999999999</v>
      </c>
      <c r="Q554" s="27">
        <f t="shared" si="59"/>
        <v>103576.45999999999</v>
      </c>
      <c r="R554" s="40">
        <f t="shared" si="59"/>
        <v>103576.45999999999</v>
      </c>
      <c r="S554" s="27">
        <f t="shared" si="59"/>
        <v>1243167.5199999998</v>
      </c>
    </row>
    <row r="555" ht="13.5" customHeight="1">
      <c r="C555" s="12"/>
    </row>
    <row r="556" spans="1:3" ht="13.5" customHeight="1">
      <c r="A556" s="16"/>
      <c r="B556" s="42" t="s">
        <v>105</v>
      </c>
      <c r="C556" s="30" t="s">
        <v>182</v>
      </c>
    </row>
    <row r="557" spans="1:19" ht="13.5" customHeight="1">
      <c r="A557" s="20"/>
      <c r="B557" s="20"/>
      <c r="C557" s="4" t="str">
        <f>C551</f>
        <v>Debt Reserve</v>
      </c>
      <c r="S557"/>
    </row>
    <row r="558" spans="3:19" ht="13.5" customHeight="1">
      <c r="C558" s="4" t="str">
        <f>C552</f>
        <v>Treasury Fee</v>
      </c>
      <c r="S558"/>
    </row>
    <row r="559" spans="3:19" ht="13.5" customHeight="1" thickBot="1">
      <c r="C559" s="4" t="str">
        <f>C553</f>
        <v>Intercept</v>
      </c>
      <c r="S559"/>
    </row>
    <row r="560" spans="3:19" ht="13.5" customHeight="1" thickBot="1">
      <c r="C560" s="6" t="s">
        <v>183</v>
      </c>
      <c r="S560"/>
    </row>
    <row r="561" ht="13.5" customHeight="1">
      <c r="C561" s="12"/>
    </row>
    <row r="562" spans="1:3" ht="13.5" customHeight="1">
      <c r="A562" s="16"/>
      <c r="B562" s="42" t="s">
        <v>105</v>
      </c>
      <c r="C562" s="30" t="s">
        <v>184</v>
      </c>
    </row>
    <row r="563" spans="1:19" ht="13.5" customHeight="1">
      <c r="A563" s="20"/>
      <c r="B563" s="20"/>
      <c r="C563" s="4" t="str">
        <f>C557</f>
        <v>Debt Reserve</v>
      </c>
      <c r="G563" s="26">
        <v>0</v>
      </c>
      <c r="H563" s="26">
        <v>0</v>
      </c>
      <c r="I563" s="26">
        <v>0</v>
      </c>
      <c r="J563" s="26"/>
      <c r="K563" s="26"/>
      <c r="L563" s="26"/>
      <c r="M563" s="26"/>
      <c r="N563" s="26"/>
      <c r="O563" s="26"/>
      <c r="P563" s="26"/>
      <c r="Q563" s="26"/>
      <c r="R563" s="39"/>
      <c r="S563" s="26">
        <f>SUM(G563:R563)</f>
        <v>0</v>
      </c>
    </row>
    <row r="564" spans="3:19" ht="13.5" customHeight="1">
      <c r="C564" s="4" t="str">
        <f>C558</f>
        <v>Treasury Fee</v>
      </c>
      <c r="G564" s="48">
        <v>250</v>
      </c>
      <c r="S564" s="26">
        <f>SUM(G564:R564)</f>
        <v>250</v>
      </c>
    </row>
    <row r="565" spans="3:19" ht="13.5" customHeight="1" thickBot="1">
      <c r="C565" s="4" t="str">
        <f>C559</f>
        <v>Intercept</v>
      </c>
      <c r="G565" s="26">
        <f>18750+180651.04</f>
        <v>199401.04</v>
      </c>
      <c r="H565" s="26">
        <f>18750+180651.04</f>
        <v>199401.04</v>
      </c>
      <c r="I565" s="26">
        <f>19583.33+179455.73</f>
        <v>199039.06</v>
      </c>
      <c r="J565" s="26"/>
      <c r="K565" s="26"/>
      <c r="L565" s="26"/>
      <c r="M565" s="26"/>
      <c r="N565" s="26"/>
      <c r="O565" s="26"/>
      <c r="P565" s="26"/>
      <c r="Q565" s="26"/>
      <c r="R565" s="39"/>
      <c r="S565" s="26">
        <f>SUM(G565:R565)</f>
        <v>597841.14</v>
      </c>
    </row>
    <row r="566" spans="3:19" ht="13.5" customHeight="1" thickBot="1">
      <c r="C566" s="6" t="s">
        <v>185</v>
      </c>
      <c r="G566" s="27">
        <f aca="true" t="shared" si="60" ref="G566:S566">SUM(G563:G565)</f>
        <v>199651.04</v>
      </c>
      <c r="H566" s="27">
        <f t="shared" si="60"/>
        <v>199401.04</v>
      </c>
      <c r="I566" s="27">
        <f t="shared" si="60"/>
        <v>199039.06</v>
      </c>
      <c r="J566" s="27">
        <f t="shared" si="60"/>
        <v>0</v>
      </c>
      <c r="K566" s="27">
        <f t="shared" si="60"/>
        <v>0</v>
      </c>
      <c r="L566" s="27">
        <f t="shared" si="60"/>
        <v>0</v>
      </c>
      <c r="M566" s="27">
        <f t="shared" si="60"/>
        <v>0</v>
      </c>
      <c r="N566" s="27">
        <f t="shared" si="60"/>
        <v>0</v>
      </c>
      <c r="O566" s="27">
        <f t="shared" si="60"/>
        <v>0</v>
      </c>
      <c r="P566" s="27">
        <f t="shared" si="60"/>
        <v>0</v>
      </c>
      <c r="Q566" s="27">
        <f t="shared" si="60"/>
        <v>0</v>
      </c>
      <c r="R566" s="40">
        <f t="shared" si="60"/>
        <v>0</v>
      </c>
      <c r="S566" s="27">
        <f t="shared" si="60"/>
        <v>598091.14</v>
      </c>
    </row>
    <row r="567" ht="13.5" customHeight="1">
      <c r="C567" s="12"/>
    </row>
    <row r="568" spans="1:3" ht="13.5" customHeight="1">
      <c r="A568" s="16"/>
      <c r="B568" s="42" t="s">
        <v>105</v>
      </c>
      <c r="C568" s="30" t="s">
        <v>186</v>
      </c>
    </row>
    <row r="569" spans="1:19" ht="13.5" customHeight="1">
      <c r="A569" s="20"/>
      <c r="B569" s="20"/>
      <c r="C569" s="4" t="str">
        <f>C563</f>
        <v>Debt Reserve</v>
      </c>
      <c r="S569"/>
    </row>
    <row r="570" spans="3:19" ht="13.5" customHeight="1">
      <c r="C570" s="4" t="str">
        <f>C564</f>
        <v>Treasury Fee</v>
      </c>
      <c r="S570"/>
    </row>
    <row r="571" spans="3:19" ht="13.5" customHeight="1" thickBot="1">
      <c r="C571" s="4" t="str">
        <f>C565</f>
        <v>Intercept</v>
      </c>
      <c r="S571"/>
    </row>
    <row r="572" spans="3:19" ht="13.5" customHeight="1" thickBot="1">
      <c r="C572" s="6" t="s">
        <v>187</v>
      </c>
      <c r="S572"/>
    </row>
    <row r="573" ht="13.5" customHeight="1">
      <c r="C573" s="12"/>
    </row>
    <row r="574" spans="1:3" ht="13.5" customHeight="1">
      <c r="A574" s="16">
        <f>+A550+1</f>
        <v>31</v>
      </c>
      <c r="B574" s="21"/>
      <c r="C574" s="5" t="s">
        <v>188</v>
      </c>
    </row>
    <row r="575" spans="1:19" ht="13.5" customHeight="1">
      <c r="A575" s="20"/>
      <c r="B575" s="20"/>
      <c r="C575" s="4" t="str">
        <f>C569</f>
        <v>Debt Reserve</v>
      </c>
      <c r="G575" s="26">
        <v>1197.08</v>
      </c>
      <c r="H575" s="26">
        <v>1197.08</v>
      </c>
      <c r="I575" s="26">
        <v>1197.08</v>
      </c>
      <c r="J575" s="26">
        <v>1197.08</v>
      </c>
      <c r="K575" s="26">
        <v>1197.08</v>
      </c>
      <c r="L575" s="26">
        <v>1197.08</v>
      </c>
      <c r="M575" s="26">
        <v>1197.08</v>
      </c>
      <c r="N575" s="26">
        <v>1197.08</v>
      </c>
      <c r="O575" s="26">
        <v>1172.5</v>
      </c>
      <c r="P575" s="26">
        <v>1172.5</v>
      </c>
      <c r="Q575" s="26">
        <v>1172.5</v>
      </c>
      <c r="R575" s="39">
        <v>1172.5</v>
      </c>
      <c r="S575" s="26">
        <f>SUM(G575:R575)</f>
        <v>14266.64</v>
      </c>
    </row>
    <row r="576" spans="3:19" ht="13.5" customHeight="1">
      <c r="C576" s="4" t="str">
        <f>C570</f>
        <v>Treasury Fee</v>
      </c>
      <c r="G576" s="48">
        <v>250</v>
      </c>
      <c r="S576" s="26">
        <f>SUM(G576:R576)</f>
        <v>250</v>
      </c>
    </row>
    <row r="577" spans="3:19" ht="13.5" customHeight="1" thickBot="1">
      <c r="C577" s="4" t="str">
        <f>C571</f>
        <v>Intercept</v>
      </c>
      <c r="G577" s="26">
        <f>26666.67+62834.9</f>
        <v>89501.57</v>
      </c>
      <c r="H577" s="26">
        <f>26666.67+62834.9</f>
        <v>89501.57</v>
      </c>
      <c r="I577" s="26">
        <f>26666.67+62834.9</f>
        <v>89501.57</v>
      </c>
      <c r="J577" s="26">
        <f>26666.67+62834.9</f>
        <v>89501.57</v>
      </c>
      <c r="K577" s="26">
        <f>26666.67+62834.9</f>
        <v>89501.57</v>
      </c>
      <c r="L577" s="26">
        <f>26666.63+62834.88</f>
        <v>89501.51</v>
      </c>
      <c r="M577" s="26">
        <f aca="true" t="shared" si="61" ref="M577:R577">27500+61980.21</f>
        <v>89480.20999999999</v>
      </c>
      <c r="N577" s="26">
        <f t="shared" si="61"/>
        <v>89480.20999999999</v>
      </c>
      <c r="O577" s="26">
        <f t="shared" si="61"/>
        <v>89480.20999999999</v>
      </c>
      <c r="P577" s="26">
        <f t="shared" si="61"/>
        <v>89480.20999999999</v>
      </c>
      <c r="Q577" s="26">
        <f t="shared" si="61"/>
        <v>89480.20999999999</v>
      </c>
      <c r="R577" s="39">
        <f t="shared" si="61"/>
        <v>89480.20999999999</v>
      </c>
      <c r="S577" s="26">
        <f>SUM(G577:R577)</f>
        <v>1073890.6199999999</v>
      </c>
    </row>
    <row r="578" spans="3:19" ht="13.5" customHeight="1" thickBot="1">
      <c r="C578" s="6" t="s">
        <v>189</v>
      </c>
      <c r="G578" s="27">
        <f aca="true" t="shared" si="62" ref="G578:S578">SUM(G575:G577)</f>
        <v>90948.65000000001</v>
      </c>
      <c r="H578" s="27">
        <f t="shared" si="62"/>
        <v>90698.65000000001</v>
      </c>
      <c r="I578" s="27">
        <f t="shared" si="62"/>
        <v>90698.65000000001</v>
      </c>
      <c r="J578" s="27">
        <f t="shared" si="62"/>
        <v>90698.65000000001</v>
      </c>
      <c r="K578" s="27">
        <f t="shared" si="62"/>
        <v>90698.65000000001</v>
      </c>
      <c r="L578" s="27">
        <f t="shared" si="62"/>
        <v>90698.59</v>
      </c>
      <c r="M578" s="27">
        <f t="shared" si="62"/>
        <v>90677.29</v>
      </c>
      <c r="N578" s="27">
        <f t="shared" si="62"/>
        <v>90677.29</v>
      </c>
      <c r="O578" s="27">
        <f t="shared" si="62"/>
        <v>90652.70999999999</v>
      </c>
      <c r="P578" s="27">
        <f t="shared" si="62"/>
        <v>90652.70999999999</v>
      </c>
      <c r="Q578" s="27">
        <f t="shared" si="62"/>
        <v>90652.70999999999</v>
      </c>
      <c r="R578" s="40">
        <f t="shared" si="62"/>
        <v>90652.70999999999</v>
      </c>
      <c r="S578" s="27">
        <f t="shared" si="62"/>
        <v>1088407.2599999998</v>
      </c>
    </row>
    <row r="579" ht="13.5" customHeight="1">
      <c r="C579" s="12"/>
    </row>
    <row r="580" spans="1:3" ht="13.5" customHeight="1">
      <c r="A580" s="16">
        <f>+A574+1</f>
        <v>32</v>
      </c>
      <c r="B580" s="21"/>
      <c r="C580" s="5" t="s">
        <v>190</v>
      </c>
    </row>
    <row r="581" spans="1:19" ht="13.5" customHeight="1">
      <c r="A581" s="20"/>
      <c r="B581" s="20"/>
      <c r="C581" s="4" t="str">
        <f>C575</f>
        <v>Debt Reserve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39">
        <v>0</v>
      </c>
      <c r="S581" s="26">
        <f>SUM(G581:R581)</f>
        <v>0</v>
      </c>
    </row>
    <row r="582" spans="3:19" ht="13.5" customHeight="1">
      <c r="C582" s="4" t="str">
        <f>C576</f>
        <v>Treasury Fee</v>
      </c>
      <c r="G582" s="48">
        <v>250</v>
      </c>
      <c r="S582" s="26">
        <f>SUM(G582:R582)</f>
        <v>250</v>
      </c>
    </row>
    <row r="583" spans="3:19" ht="13.5" customHeight="1" thickBot="1">
      <c r="C583" s="4" t="str">
        <f>C577</f>
        <v>Intercept</v>
      </c>
      <c r="G583" s="48">
        <f>18899.78+20424.72</f>
        <v>39324.5</v>
      </c>
      <c r="H583" s="48">
        <f>19277.79+20046.73</f>
        <v>39324.520000000004</v>
      </c>
      <c r="I583" s="48">
        <f>19277.79+20046.73</f>
        <v>39324.520000000004</v>
      </c>
      <c r="J583" s="48">
        <f>19277.79+20046.73</f>
        <v>39324.520000000004</v>
      </c>
      <c r="K583" s="48">
        <f>19277.79+20046.73</f>
        <v>39324.520000000004</v>
      </c>
      <c r="L583" s="48">
        <f>19277.79+20046.73</f>
        <v>39324.520000000004</v>
      </c>
      <c r="M583" s="48">
        <f>19277.81+20046.75</f>
        <v>39324.56</v>
      </c>
      <c r="N583" s="48">
        <f>19663.35+19661.18</f>
        <v>39324.53</v>
      </c>
      <c r="O583" s="48">
        <f>19663.35+19661.18</f>
        <v>39324.53</v>
      </c>
      <c r="P583" s="48">
        <f>19663.35+19661.18</f>
        <v>39324.53</v>
      </c>
      <c r="Q583" s="48">
        <f>19663.35+19661.18</f>
        <v>39324.53</v>
      </c>
      <c r="R583" s="49">
        <f>19663.35+19661.18</f>
        <v>39324.53</v>
      </c>
      <c r="S583" s="26">
        <f>SUM(G583:R583)</f>
        <v>471894.3100000002</v>
      </c>
    </row>
    <row r="584" spans="3:19" ht="13.5" customHeight="1" thickBot="1">
      <c r="C584" s="6" t="s">
        <v>191</v>
      </c>
      <c r="G584" s="27">
        <f aca="true" t="shared" si="63" ref="G584:S584">SUM(G581:G583)</f>
        <v>39574.5</v>
      </c>
      <c r="H584" s="27">
        <f t="shared" si="63"/>
        <v>39324.520000000004</v>
      </c>
      <c r="I584" s="27">
        <f t="shared" si="63"/>
        <v>39324.520000000004</v>
      </c>
      <c r="J584" s="27">
        <f t="shared" si="63"/>
        <v>39324.520000000004</v>
      </c>
      <c r="K584" s="27">
        <f t="shared" si="63"/>
        <v>39324.520000000004</v>
      </c>
      <c r="L584" s="27">
        <f t="shared" si="63"/>
        <v>39324.520000000004</v>
      </c>
      <c r="M584" s="27">
        <f t="shared" si="63"/>
        <v>39324.56</v>
      </c>
      <c r="N584" s="27">
        <f t="shared" si="63"/>
        <v>39324.53</v>
      </c>
      <c r="O584" s="27">
        <f t="shared" si="63"/>
        <v>39324.53</v>
      </c>
      <c r="P584" s="27">
        <f t="shared" si="63"/>
        <v>39324.53</v>
      </c>
      <c r="Q584" s="27">
        <f t="shared" si="63"/>
        <v>39324.53</v>
      </c>
      <c r="R584" s="40">
        <f t="shared" si="63"/>
        <v>39324.53</v>
      </c>
      <c r="S584" s="27">
        <f t="shared" si="63"/>
        <v>472144.3100000002</v>
      </c>
    </row>
    <row r="585" ht="13.5" customHeight="1">
      <c r="C585" s="12"/>
    </row>
    <row r="586" spans="1:3" ht="13.5" customHeight="1">
      <c r="A586" s="16">
        <f>+A580+1</f>
        <v>33</v>
      </c>
      <c r="B586" s="21"/>
      <c r="C586" s="5" t="s">
        <v>192</v>
      </c>
    </row>
    <row r="587" spans="1:19" ht="13.5" customHeight="1">
      <c r="A587" s="20"/>
      <c r="B587" s="20"/>
      <c r="C587" s="4" t="str">
        <f>C581</f>
        <v>Debt Reserve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39">
        <v>0</v>
      </c>
      <c r="S587" s="26">
        <f>SUM(G587:R587)</f>
        <v>0</v>
      </c>
    </row>
    <row r="588" spans="3:19" ht="13.5" customHeight="1">
      <c r="C588" s="4" t="str">
        <f>C582</f>
        <v>Treasury Fee</v>
      </c>
      <c r="G588" s="48">
        <v>250</v>
      </c>
      <c r="S588" s="26">
        <f>SUM(G588:R588)</f>
        <v>250</v>
      </c>
    </row>
    <row r="589" spans="3:19" ht="13.5" customHeight="1" thickBot="1">
      <c r="C589" s="4" t="str">
        <f>C583</f>
        <v>Intercept</v>
      </c>
      <c r="G589" s="48">
        <f>4583.33+16957.5</f>
        <v>21540.83</v>
      </c>
      <c r="H589" s="48">
        <f>4583.33+16957.5</f>
        <v>21540.83</v>
      </c>
      <c r="I589" s="48">
        <f>4583.33+16957.5</f>
        <v>21540.83</v>
      </c>
      <c r="J589" s="48">
        <f>4583.37+16957.5</f>
        <v>21540.87</v>
      </c>
      <c r="K589" s="48">
        <f>5000+16696.25</f>
        <v>21696.25</v>
      </c>
      <c r="L589" s="48">
        <f>5000+16696.25</f>
        <v>21696.25</v>
      </c>
      <c r="M589" s="48">
        <f>4500+18890.69</f>
        <v>23390.69</v>
      </c>
      <c r="N589" s="48">
        <f>4500+18890.69</f>
        <v>23390.69</v>
      </c>
      <c r="O589" s="48">
        <f>4500+18890.69</f>
        <v>23390.69</v>
      </c>
      <c r="P589" s="48">
        <f>4500+18890.67</f>
        <v>23390.67</v>
      </c>
      <c r="Q589" s="48">
        <f>4500+15671.04</f>
        <v>20171.04</v>
      </c>
      <c r="R589" s="49">
        <f>4500+15671.04</f>
        <v>20171.04</v>
      </c>
      <c r="S589" s="26">
        <f>SUM(G589:R589)</f>
        <v>263460.68</v>
      </c>
    </row>
    <row r="590" spans="3:19" ht="13.5" customHeight="1" thickBot="1">
      <c r="C590" s="6" t="s">
        <v>193</v>
      </c>
      <c r="G590" s="27">
        <f aca="true" t="shared" si="64" ref="G590:S590">SUM(G587:G589)</f>
        <v>21790.83</v>
      </c>
      <c r="H590" s="27">
        <f t="shared" si="64"/>
        <v>21540.83</v>
      </c>
      <c r="I590" s="27">
        <f t="shared" si="64"/>
        <v>21540.83</v>
      </c>
      <c r="J590" s="27">
        <f t="shared" si="64"/>
        <v>21540.87</v>
      </c>
      <c r="K590" s="27">
        <f t="shared" si="64"/>
        <v>21696.25</v>
      </c>
      <c r="L590" s="27">
        <f t="shared" si="64"/>
        <v>21696.25</v>
      </c>
      <c r="M590" s="27">
        <f t="shared" si="64"/>
        <v>23390.69</v>
      </c>
      <c r="N590" s="27">
        <f t="shared" si="64"/>
        <v>23390.69</v>
      </c>
      <c r="O590" s="27">
        <f t="shared" si="64"/>
        <v>23390.69</v>
      </c>
      <c r="P590" s="27">
        <f t="shared" si="64"/>
        <v>23390.67</v>
      </c>
      <c r="Q590" s="27">
        <f t="shared" si="64"/>
        <v>20171.04</v>
      </c>
      <c r="R590" s="40">
        <f t="shared" si="64"/>
        <v>20171.04</v>
      </c>
      <c r="S590" s="27">
        <f t="shared" si="64"/>
        <v>263710.68</v>
      </c>
    </row>
    <row r="591" ht="13.5" customHeight="1">
      <c r="C591" s="12"/>
    </row>
    <row r="592" spans="1:3" ht="13.5" customHeight="1">
      <c r="A592" s="16">
        <f>+A586+1</f>
        <v>34</v>
      </c>
      <c r="B592" s="21"/>
      <c r="C592" s="5" t="s">
        <v>194</v>
      </c>
    </row>
    <row r="593" spans="1:19" ht="13.5" customHeight="1">
      <c r="A593" s="20"/>
      <c r="B593" s="20"/>
      <c r="C593" s="4" t="str">
        <f>C587</f>
        <v>Debt Reserve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39">
        <v>0</v>
      </c>
      <c r="S593" s="26">
        <f>SUM(G593:R593)</f>
        <v>0</v>
      </c>
    </row>
    <row r="594" spans="3:19" ht="13.5" customHeight="1">
      <c r="C594" s="4" t="str">
        <f>C588</f>
        <v>Treasury Fee</v>
      </c>
      <c r="G594" s="48">
        <v>250</v>
      </c>
      <c r="S594" s="26">
        <f>SUM(G594:R594)</f>
        <v>250</v>
      </c>
    </row>
    <row r="595" spans="3:19" ht="13.5" customHeight="1" thickBot="1">
      <c r="C595" s="4" t="str">
        <f>C589</f>
        <v>Intercept</v>
      </c>
      <c r="G595" s="48">
        <f aca="true" t="shared" si="65" ref="G595:P595">32916.67+124968.23</f>
        <v>157884.9</v>
      </c>
      <c r="H595" s="48">
        <f t="shared" si="65"/>
        <v>157884.9</v>
      </c>
      <c r="I595" s="48">
        <f t="shared" si="65"/>
        <v>157884.9</v>
      </c>
      <c r="J595" s="48">
        <f t="shared" si="65"/>
        <v>157884.9</v>
      </c>
      <c r="K595" s="48">
        <f t="shared" si="65"/>
        <v>157884.9</v>
      </c>
      <c r="L595" s="48">
        <f t="shared" si="65"/>
        <v>157884.9</v>
      </c>
      <c r="M595" s="48">
        <f t="shared" si="65"/>
        <v>157884.9</v>
      </c>
      <c r="N595" s="48">
        <f t="shared" si="65"/>
        <v>157884.9</v>
      </c>
      <c r="O595" s="48">
        <f t="shared" si="65"/>
        <v>157884.9</v>
      </c>
      <c r="P595" s="48">
        <f t="shared" si="65"/>
        <v>157884.9</v>
      </c>
      <c r="Q595" s="48">
        <f>33750+123610.42</f>
        <v>157360.41999999998</v>
      </c>
      <c r="R595" s="49">
        <f>33750+123610.42</f>
        <v>157360.41999999998</v>
      </c>
      <c r="S595" s="26">
        <f>SUM(G595:R595)</f>
        <v>1893569.8399999996</v>
      </c>
    </row>
    <row r="596" spans="3:19" ht="13.5" customHeight="1" thickBot="1">
      <c r="C596" s="6" t="s">
        <v>161</v>
      </c>
      <c r="G596" s="27">
        <f aca="true" t="shared" si="66" ref="G596:S596">SUM(G593:G595)</f>
        <v>158134.9</v>
      </c>
      <c r="H596" s="27">
        <f t="shared" si="66"/>
        <v>157884.9</v>
      </c>
      <c r="I596" s="27">
        <f t="shared" si="66"/>
        <v>157884.9</v>
      </c>
      <c r="J596" s="27">
        <f t="shared" si="66"/>
        <v>157884.9</v>
      </c>
      <c r="K596" s="27">
        <f t="shared" si="66"/>
        <v>157884.9</v>
      </c>
      <c r="L596" s="27">
        <f t="shared" si="66"/>
        <v>157884.9</v>
      </c>
      <c r="M596" s="27">
        <f t="shared" si="66"/>
        <v>157884.9</v>
      </c>
      <c r="N596" s="27">
        <f t="shared" si="66"/>
        <v>157884.9</v>
      </c>
      <c r="O596" s="27">
        <f t="shared" si="66"/>
        <v>157884.9</v>
      </c>
      <c r="P596" s="27">
        <f t="shared" si="66"/>
        <v>157884.9</v>
      </c>
      <c r="Q596" s="27">
        <f t="shared" si="66"/>
        <v>157360.41999999998</v>
      </c>
      <c r="R596" s="40">
        <f t="shared" si="66"/>
        <v>157360.41999999998</v>
      </c>
      <c r="S596" s="27">
        <f t="shared" si="66"/>
        <v>1893819.8399999996</v>
      </c>
    </row>
    <row r="597" ht="13.5" customHeight="1">
      <c r="C597" s="12"/>
    </row>
    <row r="598" spans="1:3" ht="13.5" customHeight="1">
      <c r="A598" s="16">
        <f>+A592+1</f>
        <v>35</v>
      </c>
      <c r="B598" s="21"/>
      <c r="C598" s="5" t="s">
        <v>195</v>
      </c>
    </row>
    <row r="599" spans="1:19" ht="13.5" customHeight="1">
      <c r="A599" s="20"/>
      <c r="B599" s="20"/>
      <c r="C599" s="4" t="str">
        <f>C593</f>
        <v>Debt Reserve</v>
      </c>
      <c r="G599" s="26">
        <v>1393.33</v>
      </c>
      <c r="H599" s="26">
        <v>1340</v>
      </c>
      <c r="I599" s="26">
        <v>1340</v>
      </c>
      <c r="J599" s="26">
        <v>1340</v>
      </c>
      <c r="K599" s="26">
        <v>1340</v>
      </c>
      <c r="L599" s="26">
        <v>1340</v>
      </c>
      <c r="M599" s="26">
        <v>1340</v>
      </c>
      <c r="N599" s="26">
        <v>1340</v>
      </c>
      <c r="O599" s="26">
        <v>1340</v>
      </c>
      <c r="P599" s="26">
        <v>1340</v>
      </c>
      <c r="Q599" s="26">
        <v>1340</v>
      </c>
      <c r="R599" s="39">
        <v>1340</v>
      </c>
      <c r="S599" s="26">
        <f>SUM(G599:R599)</f>
        <v>16133.33</v>
      </c>
    </row>
    <row r="600" spans="3:19" ht="13.5" customHeight="1">
      <c r="C600" s="4" t="str">
        <f>C594</f>
        <v>Treasury Fee</v>
      </c>
      <c r="G600" s="48">
        <v>250</v>
      </c>
      <c r="S600" s="26">
        <f>SUM(G600:R600)</f>
        <v>250</v>
      </c>
    </row>
    <row r="601" spans="3:19" ht="13.5" customHeight="1" thickBot="1">
      <c r="C601" s="4" t="str">
        <f>C595</f>
        <v>Intercept</v>
      </c>
      <c r="G601" s="26">
        <f>53333.33+64929.17</f>
        <v>118262.5</v>
      </c>
      <c r="H601" s="26">
        <f>54583.33+63329.17</f>
        <v>117912.5</v>
      </c>
      <c r="I601" s="26">
        <f>54583.33+63329.17</f>
        <v>117912.5</v>
      </c>
      <c r="J601" s="26">
        <f>54583.33+63329.17</f>
        <v>117912.5</v>
      </c>
      <c r="K601" s="26">
        <f>54583.33+63620.83</f>
        <v>118204.16</v>
      </c>
      <c r="L601" s="26">
        <f aca="true" t="shared" si="67" ref="L601:R601">54583.33+63620.83</f>
        <v>118204.16</v>
      </c>
      <c r="M601" s="26">
        <f t="shared" si="67"/>
        <v>118204.16</v>
      </c>
      <c r="N601" s="26">
        <f t="shared" si="67"/>
        <v>118204.16</v>
      </c>
      <c r="O601" s="26">
        <f t="shared" si="67"/>
        <v>118204.16</v>
      </c>
      <c r="P601" s="26">
        <f t="shared" si="67"/>
        <v>118204.16</v>
      </c>
      <c r="Q601" s="26">
        <f t="shared" si="67"/>
        <v>118204.16</v>
      </c>
      <c r="R601" s="39">
        <f t="shared" si="67"/>
        <v>118204.16</v>
      </c>
      <c r="S601" s="26">
        <f>SUM(G601:R601)</f>
        <v>1417633.2799999998</v>
      </c>
    </row>
    <row r="602" spans="3:19" ht="13.5" customHeight="1" thickBot="1">
      <c r="C602" s="6" t="s">
        <v>22</v>
      </c>
      <c r="G602" s="27">
        <f aca="true" t="shared" si="68" ref="G602:S602">SUM(G599:G601)</f>
        <v>119905.83</v>
      </c>
      <c r="H602" s="27">
        <f t="shared" si="68"/>
        <v>119252.5</v>
      </c>
      <c r="I602" s="27">
        <f t="shared" si="68"/>
        <v>119252.5</v>
      </c>
      <c r="J602" s="27">
        <f t="shared" si="68"/>
        <v>119252.5</v>
      </c>
      <c r="K602" s="27">
        <f t="shared" si="68"/>
        <v>119544.16</v>
      </c>
      <c r="L602" s="27">
        <f t="shared" si="68"/>
        <v>119544.16</v>
      </c>
      <c r="M602" s="27">
        <f t="shared" si="68"/>
        <v>119544.16</v>
      </c>
      <c r="N602" s="27">
        <f t="shared" si="68"/>
        <v>119544.16</v>
      </c>
      <c r="O602" s="27">
        <f t="shared" si="68"/>
        <v>119544.16</v>
      </c>
      <c r="P602" s="27">
        <f t="shared" si="68"/>
        <v>119544.16</v>
      </c>
      <c r="Q602" s="27">
        <f t="shared" si="68"/>
        <v>119544.16</v>
      </c>
      <c r="R602" s="40">
        <f t="shared" si="68"/>
        <v>119544.16</v>
      </c>
      <c r="S602" s="27">
        <f t="shared" si="68"/>
        <v>1434016.6099999999</v>
      </c>
    </row>
    <row r="603" ht="13.5" customHeight="1">
      <c r="C603" s="12"/>
    </row>
    <row r="604" spans="1:3" ht="13.5" customHeight="1">
      <c r="A604" s="16">
        <f>+A598+1</f>
        <v>36</v>
      </c>
      <c r="B604" s="21"/>
      <c r="C604" s="5" t="s">
        <v>200</v>
      </c>
    </row>
    <row r="605" spans="1:19" ht="13.5" customHeight="1">
      <c r="A605" s="20"/>
      <c r="B605" s="20"/>
      <c r="C605" s="4" t="str">
        <f>C599</f>
        <v>Debt Reserve</v>
      </c>
      <c r="G605" s="26">
        <v>1765.42</v>
      </c>
      <c r="H605" s="26">
        <v>1765.42</v>
      </c>
      <c r="I605" s="26">
        <v>1765.42</v>
      </c>
      <c r="J605" s="26">
        <v>1765.42</v>
      </c>
      <c r="K605" s="26">
        <v>1730.83</v>
      </c>
      <c r="L605" s="26">
        <v>1730.83</v>
      </c>
      <c r="M605" s="26">
        <v>1730.83</v>
      </c>
      <c r="N605" s="26">
        <v>1730.83</v>
      </c>
      <c r="O605" s="26">
        <v>1730.83</v>
      </c>
      <c r="P605" s="26">
        <v>1730.83</v>
      </c>
      <c r="Q605" s="26">
        <v>1730.83</v>
      </c>
      <c r="R605" s="39">
        <v>1730.83</v>
      </c>
      <c r="S605" s="26">
        <f>SUM(G605:R605)</f>
        <v>20908.32</v>
      </c>
    </row>
    <row r="606" spans="3:19" ht="13.5" customHeight="1">
      <c r="C606" s="4" t="str">
        <f>C600</f>
        <v>Treasury Fee</v>
      </c>
      <c r="G606" s="48">
        <v>250</v>
      </c>
      <c r="S606" s="26">
        <f>SUM(G606:R606)</f>
        <v>250</v>
      </c>
    </row>
    <row r="607" spans="3:19" ht="13.5" customHeight="1" thickBot="1">
      <c r="C607" s="4" t="str">
        <f>C601</f>
        <v>Intercept</v>
      </c>
      <c r="G607" s="48">
        <f>34583.33+74094.79</f>
        <v>108678.12</v>
      </c>
      <c r="H607" s="48">
        <f>34583.33+74094.79</f>
        <v>108678.12</v>
      </c>
      <c r="I607" s="48">
        <f>34583.33+74094.79</f>
        <v>108678.12</v>
      </c>
      <c r="J607" s="48">
        <f>34583.37+74094.8</f>
        <v>108678.17000000001</v>
      </c>
      <c r="K607" s="48">
        <f>35833.33+73057.29</f>
        <v>108890.62</v>
      </c>
      <c r="L607" s="48">
        <f aca="true" t="shared" si="69" ref="L607:R607">35833.33+73057.29</f>
        <v>108890.62</v>
      </c>
      <c r="M607" s="48">
        <f t="shared" si="69"/>
        <v>108890.62</v>
      </c>
      <c r="N607" s="48">
        <f t="shared" si="69"/>
        <v>108890.62</v>
      </c>
      <c r="O607" s="48">
        <f t="shared" si="69"/>
        <v>108890.62</v>
      </c>
      <c r="P607" s="48">
        <f>35833.33+73057.3</f>
        <v>108890.63</v>
      </c>
      <c r="Q607" s="48">
        <f t="shared" si="69"/>
        <v>108890.62</v>
      </c>
      <c r="R607" s="49">
        <f t="shared" si="69"/>
        <v>108890.62</v>
      </c>
      <c r="S607" s="26">
        <f>SUM(G607:R607)</f>
        <v>1305837.5</v>
      </c>
    </row>
    <row r="608" spans="3:19" ht="13.5" customHeight="1" thickBot="1">
      <c r="C608" s="6" t="s">
        <v>120</v>
      </c>
      <c r="G608" s="27">
        <f aca="true" t="shared" si="70" ref="G608:S608">SUM(G605:G607)</f>
        <v>110693.54</v>
      </c>
      <c r="H608" s="27">
        <f t="shared" si="70"/>
        <v>110443.54</v>
      </c>
      <c r="I608" s="27">
        <f t="shared" si="70"/>
        <v>110443.54</v>
      </c>
      <c r="J608" s="27">
        <f t="shared" si="70"/>
        <v>110443.59000000001</v>
      </c>
      <c r="K608" s="27">
        <f t="shared" si="70"/>
        <v>110621.45</v>
      </c>
      <c r="L608" s="27">
        <f t="shared" si="70"/>
        <v>110621.45</v>
      </c>
      <c r="M608" s="27">
        <f t="shared" si="70"/>
        <v>110621.45</v>
      </c>
      <c r="N608" s="27">
        <f t="shared" si="70"/>
        <v>110621.45</v>
      </c>
      <c r="O608" s="27">
        <f t="shared" si="70"/>
        <v>110621.45</v>
      </c>
      <c r="P608" s="27">
        <f t="shared" si="70"/>
        <v>110621.46</v>
      </c>
      <c r="Q608" s="27">
        <f t="shared" si="70"/>
        <v>110621.45</v>
      </c>
      <c r="R608" s="40">
        <f t="shared" si="70"/>
        <v>110621.45</v>
      </c>
      <c r="S608" s="27">
        <f t="shared" si="70"/>
        <v>1326995.82</v>
      </c>
    </row>
    <row r="609" ht="13.5" customHeight="1">
      <c r="C609" s="12"/>
    </row>
    <row r="610" spans="1:3" ht="13.5" customHeight="1">
      <c r="A610" s="16">
        <f>+A604+1</f>
        <v>37</v>
      </c>
      <c r="C610" s="5" t="s">
        <v>207</v>
      </c>
    </row>
    <row r="611" spans="3:19" ht="13.5" customHeight="1">
      <c r="C611" s="4" t="s">
        <v>3</v>
      </c>
      <c r="G611" s="26">
        <v>2892.92</v>
      </c>
      <c r="H611" s="26">
        <v>2892.92</v>
      </c>
      <c r="I611" s="26">
        <v>2892.92</v>
      </c>
      <c r="J611" s="26">
        <v>2892.92</v>
      </c>
      <c r="K611" s="26">
        <v>2892.92</v>
      </c>
      <c r="L611" s="26">
        <v>2892.92</v>
      </c>
      <c r="M611" s="26">
        <v>2815.83</v>
      </c>
      <c r="N611" s="26">
        <v>2815.83</v>
      </c>
      <c r="O611" s="26">
        <v>2815.83</v>
      </c>
      <c r="P611" s="26">
        <v>2815.83</v>
      </c>
      <c r="Q611" s="26">
        <v>2815.83</v>
      </c>
      <c r="R611" s="39">
        <v>2815.83</v>
      </c>
      <c r="S611" s="26">
        <f>SUM(G611:R611)</f>
        <v>34252.50000000001</v>
      </c>
    </row>
    <row r="612" spans="3:19" ht="13.5" customHeight="1">
      <c r="C612" s="4" t="s">
        <v>4</v>
      </c>
      <c r="G612" s="48">
        <v>250</v>
      </c>
      <c r="S612" s="26">
        <f>SUM(G612:R612)</f>
        <v>250</v>
      </c>
    </row>
    <row r="613" spans="3:19" ht="13.5" customHeight="1" thickBot="1">
      <c r="C613" s="4" t="s">
        <v>5</v>
      </c>
      <c r="G613" s="26">
        <f>77083.33+122831.25</f>
        <v>199914.58000000002</v>
      </c>
      <c r="H613" s="26">
        <f>77083.33+122831.25</f>
        <v>199914.58000000002</v>
      </c>
      <c r="I613" s="26">
        <f>77083.33+122831.25</f>
        <v>199914.58000000002</v>
      </c>
      <c r="J613" s="26">
        <f>77083.33+122831.25</f>
        <v>199914.58000000002</v>
      </c>
      <c r="K613" s="26">
        <f>77083.37+122831.25</f>
        <v>199914.62</v>
      </c>
      <c r="L613" s="26">
        <f>79583.33+120518.75</f>
        <v>200102.08000000002</v>
      </c>
      <c r="M613" s="26">
        <f aca="true" t="shared" si="71" ref="M613:R613">79583.33+120518.75</f>
        <v>200102.08000000002</v>
      </c>
      <c r="N613" s="26">
        <f t="shared" si="71"/>
        <v>200102.08000000002</v>
      </c>
      <c r="O613" s="26">
        <f t="shared" si="71"/>
        <v>200102.08000000002</v>
      </c>
      <c r="P613" s="26">
        <f t="shared" si="71"/>
        <v>200102.08000000002</v>
      </c>
      <c r="Q613" s="26">
        <f t="shared" si="71"/>
        <v>200102.08000000002</v>
      </c>
      <c r="R613" s="39">
        <f t="shared" si="71"/>
        <v>200102.08000000002</v>
      </c>
      <c r="S613" s="26">
        <f>SUM(G613:R613)</f>
        <v>2400287.5000000005</v>
      </c>
    </row>
    <row r="614" spans="3:19" ht="13.5" customHeight="1" thickBot="1">
      <c r="C614" s="6" t="s">
        <v>208</v>
      </c>
      <c r="G614" s="27">
        <f aca="true" t="shared" si="72" ref="G614:S614">SUM(G611:G613)</f>
        <v>203057.50000000003</v>
      </c>
      <c r="H614" s="27">
        <f t="shared" si="72"/>
        <v>202807.50000000003</v>
      </c>
      <c r="I614" s="27">
        <f t="shared" si="72"/>
        <v>202807.50000000003</v>
      </c>
      <c r="J614" s="27">
        <f t="shared" si="72"/>
        <v>202807.50000000003</v>
      </c>
      <c r="K614" s="27">
        <f t="shared" si="72"/>
        <v>202807.54</v>
      </c>
      <c r="L614" s="27">
        <f t="shared" si="72"/>
        <v>202995.00000000003</v>
      </c>
      <c r="M614" s="27">
        <f t="shared" si="72"/>
        <v>202917.91</v>
      </c>
      <c r="N614" s="27">
        <f t="shared" si="72"/>
        <v>202917.91</v>
      </c>
      <c r="O614" s="27">
        <f t="shared" si="72"/>
        <v>202917.91</v>
      </c>
      <c r="P614" s="27">
        <f t="shared" si="72"/>
        <v>202917.91</v>
      </c>
      <c r="Q614" s="27">
        <f t="shared" si="72"/>
        <v>202917.91</v>
      </c>
      <c r="R614" s="40">
        <f t="shared" si="72"/>
        <v>202917.91</v>
      </c>
      <c r="S614" s="27">
        <f t="shared" si="72"/>
        <v>2434790.0000000005</v>
      </c>
    </row>
    <row r="615" ht="13.5" customHeight="1">
      <c r="C615" s="12"/>
    </row>
    <row r="616" spans="1:3" ht="13.5" customHeight="1">
      <c r="A616" s="16">
        <f>+A610+1</f>
        <v>38</v>
      </c>
      <c r="C616" s="5" t="s">
        <v>201</v>
      </c>
    </row>
    <row r="617" spans="3:19" ht="13.5" customHeight="1">
      <c r="C617" s="4" t="s">
        <v>3</v>
      </c>
      <c r="G617" s="26">
        <v>469.17</v>
      </c>
      <c r="H617" s="26">
        <v>469.17</v>
      </c>
      <c r="I617" s="26">
        <v>469.17</v>
      </c>
      <c r="J617" s="26">
        <v>469.17</v>
      </c>
      <c r="K617" s="26">
        <v>459.58</v>
      </c>
      <c r="L617" s="26">
        <v>459.58</v>
      </c>
      <c r="M617" s="26">
        <v>459.58</v>
      </c>
      <c r="N617" s="26">
        <v>459.58</v>
      </c>
      <c r="O617" s="26">
        <v>459.58</v>
      </c>
      <c r="P617" s="26">
        <v>459.58</v>
      </c>
      <c r="Q617" s="26">
        <v>459.58</v>
      </c>
      <c r="R617" s="39">
        <v>459.58</v>
      </c>
      <c r="S617" s="26">
        <f>SUM(G617:R617)</f>
        <v>5553.32</v>
      </c>
    </row>
    <row r="618" spans="3:19" ht="13.5" customHeight="1">
      <c r="C618" s="4" t="s">
        <v>4</v>
      </c>
      <c r="G618" s="48">
        <v>250</v>
      </c>
      <c r="S618" s="26">
        <f>SUM(G618:R618)</f>
        <v>250</v>
      </c>
    </row>
    <row r="619" spans="3:19" ht="13.5" customHeight="1" thickBot="1">
      <c r="C619" s="4" t="s">
        <v>5</v>
      </c>
      <c r="G619" s="48">
        <f>9583.33+18914.58</f>
        <v>28497.910000000003</v>
      </c>
      <c r="H619" s="48">
        <f>10000+18627.08</f>
        <v>28627.08</v>
      </c>
      <c r="I619" s="48">
        <f aca="true" t="shared" si="73" ref="I619:R619">10000+18627.08</f>
        <v>28627.08</v>
      </c>
      <c r="J619" s="48">
        <f t="shared" si="73"/>
        <v>28627.08</v>
      </c>
      <c r="K619" s="48">
        <f t="shared" si="73"/>
        <v>28627.08</v>
      </c>
      <c r="L619" s="48">
        <f t="shared" si="73"/>
        <v>28627.08</v>
      </c>
      <c r="M619" s="48">
        <f t="shared" si="73"/>
        <v>28627.08</v>
      </c>
      <c r="N619" s="48">
        <f t="shared" si="73"/>
        <v>28627.08</v>
      </c>
      <c r="O619" s="48">
        <f t="shared" si="73"/>
        <v>28627.08</v>
      </c>
      <c r="P619" s="48">
        <f t="shared" si="73"/>
        <v>28627.08</v>
      </c>
      <c r="Q619" s="48">
        <f t="shared" si="73"/>
        <v>28627.08</v>
      </c>
      <c r="R619" s="49">
        <f t="shared" si="73"/>
        <v>28627.08</v>
      </c>
      <c r="S619" s="26">
        <f>SUM(G619:R619)</f>
        <v>343395.7900000001</v>
      </c>
    </row>
    <row r="620" spans="3:19" ht="13.5" customHeight="1" thickBot="1">
      <c r="C620" s="6" t="s">
        <v>202</v>
      </c>
      <c r="G620" s="27">
        <f aca="true" t="shared" si="74" ref="G620:S620">SUM(G617:G619)</f>
        <v>29217.08</v>
      </c>
      <c r="H620" s="27">
        <f t="shared" si="74"/>
        <v>29096.25</v>
      </c>
      <c r="I620" s="27">
        <f t="shared" si="74"/>
        <v>29096.25</v>
      </c>
      <c r="J620" s="27">
        <f t="shared" si="74"/>
        <v>29096.25</v>
      </c>
      <c r="K620" s="27">
        <f t="shared" si="74"/>
        <v>29086.660000000003</v>
      </c>
      <c r="L620" s="27">
        <f t="shared" si="74"/>
        <v>29086.660000000003</v>
      </c>
      <c r="M620" s="27">
        <f t="shared" si="74"/>
        <v>29086.660000000003</v>
      </c>
      <c r="N620" s="27">
        <f t="shared" si="74"/>
        <v>29086.660000000003</v>
      </c>
      <c r="O620" s="27">
        <f t="shared" si="74"/>
        <v>29086.660000000003</v>
      </c>
      <c r="P620" s="27">
        <f t="shared" si="74"/>
        <v>29086.660000000003</v>
      </c>
      <c r="Q620" s="27">
        <f t="shared" si="74"/>
        <v>29086.660000000003</v>
      </c>
      <c r="R620" s="40">
        <f t="shared" si="74"/>
        <v>29086.660000000003</v>
      </c>
      <c r="S620" s="27">
        <f t="shared" si="74"/>
        <v>349199.1100000001</v>
      </c>
    </row>
    <row r="621" ht="13.5" customHeight="1">
      <c r="C621" s="12"/>
    </row>
    <row r="622" spans="1:3" ht="13.5" customHeight="1">
      <c r="A622" s="16">
        <f>+A616+1</f>
        <v>39</v>
      </c>
      <c r="C622" s="5" t="s">
        <v>203</v>
      </c>
    </row>
    <row r="623" spans="3:19" ht="13.5" customHeight="1">
      <c r="C623" s="4" t="s">
        <v>3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39">
        <v>0</v>
      </c>
      <c r="S623" s="26">
        <f>SUM(G623:R623)</f>
        <v>0</v>
      </c>
    </row>
    <row r="624" spans="3:19" ht="13.5" customHeight="1">
      <c r="C624" s="4" t="s">
        <v>4</v>
      </c>
      <c r="G624" s="48">
        <v>250</v>
      </c>
      <c r="S624" s="26">
        <f>SUM(G624:R624)</f>
        <v>250</v>
      </c>
    </row>
    <row r="625" spans="3:19" ht="13.5" customHeight="1" thickBot="1">
      <c r="C625" s="4" t="s">
        <v>5</v>
      </c>
      <c r="G625" s="48">
        <f>37916.67+61514.84</f>
        <v>99431.51</v>
      </c>
      <c r="H625" s="48">
        <f>37916.67+61514.84</f>
        <v>99431.51</v>
      </c>
      <c r="I625" s="48">
        <f>37916.67+61514.84</f>
        <v>99431.51</v>
      </c>
      <c r="J625" s="48">
        <f>37916.63+61514.85</f>
        <v>99431.48</v>
      </c>
      <c r="K625" s="48">
        <f>39166.67+60093.35</f>
        <v>99260.01999999999</v>
      </c>
      <c r="L625" s="48">
        <f aca="true" t="shared" si="75" ref="L625:R625">39166.67+60093.35</f>
        <v>99260.01999999999</v>
      </c>
      <c r="M625" s="48">
        <f t="shared" si="75"/>
        <v>99260.01999999999</v>
      </c>
      <c r="N625" s="48">
        <f t="shared" si="75"/>
        <v>99260.01999999999</v>
      </c>
      <c r="O625" s="48">
        <f t="shared" si="75"/>
        <v>99260.01999999999</v>
      </c>
      <c r="P625" s="48">
        <f>39166.67+60093.33</f>
        <v>99260</v>
      </c>
      <c r="Q625" s="48">
        <f t="shared" si="75"/>
        <v>99260.01999999999</v>
      </c>
      <c r="R625" s="49">
        <f t="shared" si="75"/>
        <v>99260.01999999999</v>
      </c>
      <c r="S625" s="26">
        <f>SUM(G625:R625)</f>
        <v>1191806.15</v>
      </c>
    </row>
    <row r="626" spans="3:19" ht="13.5" customHeight="1" thickBot="1">
      <c r="C626" s="6" t="s">
        <v>156</v>
      </c>
      <c r="G626" s="27">
        <f aca="true" t="shared" si="76" ref="G626:S626">SUM(G623:G625)</f>
        <v>99681.51</v>
      </c>
      <c r="H626" s="27">
        <f t="shared" si="76"/>
        <v>99431.51</v>
      </c>
      <c r="I626" s="27">
        <f t="shared" si="76"/>
        <v>99431.51</v>
      </c>
      <c r="J626" s="27">
        <f t="shared" si="76"/>
        <v>99431.48</v>
      </c>
      <c r="K626" s="27">
        <f t="shared" si="76"/>
        <v>99260.01999999999</v>
      </c>
      <c r="L626" s="27">
        <f t="shared" si="76"/>
        <v>99260.01999999999</v>
      </c>
      <c r="M626" s="27">
        <f t="shared" si="76"/>
        <v>99260.01999999999</v>
      </c>
      <c r="N626" s="27">
        <f t="shared" si="76"/>
        <v>99260.01999999999</v>
      </c>
      <c r="O626" s="27">
        <f t="shared" si="76"/>
        <v>99260.01999999999</v>
      </c>
      <c r="P626" s="27">
        <f t="shared" si="76"/>
        <v>99260</v>
      </c>
      <c r="Q626" s="27">
        <f t="shared" si="76"/>
        <v>99260.01999999999</v>
      </c>
      <c r="R626" s="40">
        <f t="shared" si="76"/>
        <v>99260.01999999999</v>
      </c>
      <c r="S626" s="27">
        <f t="shared" si="76"/>
        <v>1192056.15</v>
      </c>
    </row>
    <row r="627" ht="13.5" customHeight="1">
      <c r="C627" s="12"/>
    </row>
    <row r="628" spans="1:3" ht="13.5" customHeight="1">
      <c r="A628" s="16">
        <f>+A622+1</f>
        <v>40</v>
      </c>
      <c r="C628" s="5" t="s">
        <v>204</v>
      </c>
    </row>
    <row r="629" spans="3:19" ht="13.5" customHeight="1">
      <c r="C629" s="4" t="s">
        <v>3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39">
        <v>0</v>
      </c>
      <c r="S629" s="26">
        <f>SUM(G629:R629)</f>
        <v>0</v>
      </c>
    </row>
    <row r="630" spans="3:19" ht="13.5" customHeight="1">
      <c r="C630" s="4" t="s">
        <v>4</v>
      </c>
      <c r="G630" s="48">
        <v>250</v>
      </c>
      <c r="S630" s="26">
        <f>SUM(G630:R630)</f>
        <v>250</v>
      </c>
    </row>
    <row r="631" spans="3:19" ht="13.5" customHeight="1" thickBot="1">
      <c r="C631" s="4" t="s">
        <v>5</v>
      </c>
      <c r="G631" s="26">
        <f>16250+57501.56</f>
        <v>73751.56</v>
      </c>
      <c r="H631" s="26">
        <f>16250+57501.56</f>
        <v>73751.56</v>
      </c>
      <c r="I631" s="26">
        <f>16250+57501.56</f>
        <v>73751.56</v>
      </c>
      <c r="J631" s="26">
        <f>16250+57501.56</f>
        <v>73751.56</v>
      </c>
      <c r="K631" s="26">
        <v>73934.89</v>
      </c>
      <c r="L631" s="26">
        <v>73934.89</v>
      </c>
      <c r="M631" s="26">
        <v>73934.89</v>
      </c>
      <c r="N631" s="26">
        <v>73934.89</v>
      </c>
      <c r="O631" s="26">
        <v>73934.89</v>
      </c>
      <c r="P631" s="26">
        <v>73934.89</v>
      </c>
      <c r="Q631" s="26">
        <v>73934.89</v>
      </c>
      <c r="R631" s="39">
        <v>73934.89</v>
      </c>
      <c r="S631" s="26">
        <f>SUM(G631:R631)</f>
        <v>886485.3600000001</v>
      </c>
    </row>
    <row r="632" spans="3:19" ht="13.5" customHeight="1" thickBot="1">
      <c r="C632" s="6" t="s">
        <v>159</v>
      </c>
      <c r="G632" s="27">
        <f aca="true" t="shared" si="77" ref="G632:S632">SUM(G629:G631)</f>
        <v>74001.56</v>
      </c>
      <c r="H632" s="27">
        <f t="shared" si="77"/>
        <v>73751.56</v>
      </c>
      <c r="I632" s="27">
        <f t="shared" si="77"/>
        <v>73751.56</v>
      </c>
      <c r="J632" s="27">
        <f t="shared" si="77"/>
        <v>73751.56</v>
      </c>
      <c r="K632" s="27">
        <f t="shared" si="77"/>
        <v>73934.89</v>
      </c>
      <c r="L632" s="27">
        <f t="shared" si="77"/>
        <v>73934.89</v>
      </c>
      <c r="M632" s="27">
        <f t="shared" si="77"/>
        <v>73934.89</v>
      </c>
      <c r="N632" s="27">
        <f t="shared" si="77"/>
        <v>73934.89</v>
      </c>
      <c r="O632" s="27">
        <f t="shared" si="77"/>
        <v>73934.89</v>
      </c>
      <c r="P632" s="27">
        <f t="shared" si="77"/>
        <v>73934.89</v>
      </c>
      <c r="Q632" s="27">
        <f t="shared" si="77"/>
        <v>73934.89</v>
      </c>
      <c r="R632" s="40">
        <f t="shared" si="77"/>
        <v>73934.89</v>
      </c>
      <c r="S632" s="27">
        <f t="shared" si="77"/>
        <v>886735.3600000001</v>
      </c>
    </row>
    <row r="633" ht="13.5" customHeight="1">
      <c r="C633" s="12"/>
    </row>
    <row r="634" spans="1:3" ht="13.5" customHeight="1">
      <c r="A634" s="16">
        <f>+A628+1</f>
        <v>41</v>
      </c>
      <c r="C634" s="5" t="s">
        <v>205</v>
      </c>
    </row>
    <row r="635" spans="3:19" ht="13.5" customHeight="1">
      <c r="C635" s="4" t="s">
        <v>3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39">
        <v>0</v>
      </c>
      <c r="S635" s="26">
        <f>SUM(G635:R635)</f>
        <v>0</v>
      </c>
    </row>
    <row r="636" spans="3:19" ht="13.5" customHeight="1">
      <c r="C636" s="4" t="s">
        <v>4</v>
      </c>
      <c r="G636" s="48">
        <v>250</v>
      </c>
      <c r="S636" s="26">
        <f>SUM(G636:R636)</f>
        <v>250</v>
      </c>
    </row>
    <row r="637" spans="3:19" ht="13.5" customHeight="1" thickBot="1">
      <c r="C637" s="4" t="s">
        <v>5</v>
      </c>
      <c r="G637" s="26">
        <f>8333.33+35293.25</f>
        <v>43626.58</v>
      </c>
      <c r="H637" s="26">
        <f>8333.33+35293.25</f>
        <v>43626.58</v>
      </c>
      <c r="I637" s="26">
        <f>8333.33+35293.25</f>
        <v>43626.58</v>
      </c>
      <c r="J637" s="26">
        <f>8333.33+35293.25</f>
        <v>43626.58</v>
      </c>
      <c r="K637" s="26">
        <f>8333.37+35293.25</f>
        <v>43626.62</v>
      </c>
      <c r="L637" s="26">
        <f>8750+34837.42</f>
        <v>43587.42</v>
      </c>
      <c r="M637" s="26">
        <f aca="true" t="shared" si="78" ref="M637:R637">8750+34837.42</f>
        <v>43587.42</v>
      </c>
      <c r="N637" s="26">
        <f t="shared" si="78"/>
        <v>43587.42</v>
      </c>
      <c r="O637" s="26">
        <f t="shared" si="78"/>
        <v>43587.42</v>
      </c>
      <c r="P637" s="26">
        <f t="shared" si="78"/>
        <v>43587.42</v>
      </c>
      <c r="Q637" s="26">
        <f>8750+34837.4</f>
        <v>43587.4</v>
      </c>
      <c r="R637" s="39">
        <f t="shared" si="78"/>
        <v>43587.42</v>
      </c>
      <c r="S637" s="26">
        <f>SUM(G637:R637)</f>
        <v>523244.8599999999</v>
      </c>
    </row>
    <row r="638" spans="3:19" ht="13.5" customHeight="1" thickBot="1">
      <c r="C638" s="6" t="s">
        <v>147</v>
      </c>
      <c r="G638" s="27">
        <f aca="true" t="shared" si="79" ref="G638:S638">SUM(G635:G637)</f>
        <v>43876.58</v>
      </c>
      <c r="H638" s="27">
        <f t="shared" si="79"/>
        <v>43626.58</v>
      </c>
      <c r="I638" s="27">
        <f t="shared" si="79"/>
        <v>43626.58</v>
      </c>
      <c r="J638" s="27">
        <f t="shared" si="79"/>
        <v>43626.58</v>
      </c>
      <c r="K638" s="27">
        <f t="shared" si="79"/>
        <v>43626.62</v>
      </c>
      <c r="L638" s="27">
        <f t="shared" si="79"/>
        <v>43587.42</v>
      </c>
      <c r="M638" s="27">
        <f t="shared" si="79"/>
        <v>43587.42</v>
      </c>
      <c r="N638" s="27">
        <f t="shared" si="79"/>
        <v>43587.42</v>
      </c>
      <c r="O638" s="27">
        <f t="shared" si="79"/>
        <v>43587.42</v>
      </c>
      <c r="P638" s="27">
        <f t="shared" si="79"/>
        <v>43587.42</v>
      </c>
      <c r="Q638" s="27">
        <f t="shared" si="79"/>
        <v>43587.4</v>
      </c>
      <c r="R638" s="40">
        <f t="shared" si="79"/>
        <v>43587.42</v>
      </c>
      <c r="S638" s="27">
        <f t="shared" si="79"/>
        <v>523494.8599999999</v>
      </c>
    </row>
    <row r="639" ht="13.5" customHeight="1">
      <c r="C639" s="12"/>
    </row>
    <row r="640" spans="1:3" ht="13.5" customHeight="1">
      <c r="A640" s="16">
        <f>+A634+1</f>
        <v>42</v>
      </c>
      <c r="C640" s="5" t="s">
        <v>206</v>
      </c>
    </row>
    <row r="641" spans="3:19" ht="13.5" customHeight="1">
      <c r="C641" s="4" t="s">
        <v>3</v>
      </c>
      <c r="G641" s="26">
        <v>1140</v>
      </c>
      <c r="H641" s="26">
        <v>1140</v>
      </c>
      <c r="I641" s="26">
        <v>1140</v>
      </c>
      <c r="J641" s="26">
        <v>1140</v>
      </c>
      <c r="K641" s="26">
        <v>1140</v>
      </c>
      <c r="L641" s="26">
        <v>1140</v>
      </c>
      <c r="M641" s="26">
        <v>1108.33</v>
      </c>
      <c r="N641" s="26">
        <v>1108.33</v>
      </c>
      <c r="O641" s="26">
        <v>1108.33</v>
      </c>
      <c r="P641" s="26">
        <v>1108.33</v>
      </c>
      <c r="Q641" s="26">
        <v>1108.33</v>
      </c>
      <c r="R641" s="39">
        <v>1108.33</v>
      </c>
      <c r="S641" s="26">
        <f>SUM(G641:R641)</f>
        <v>13489.98</v>
      </c>
    </row>
    <row r="642" spans="3:19" ht="13.5" customHeight="1">
      <c r="C642" s="4" t="s">
        <v>4</v>
      </c>
      <c r="G642" s="48">
        <v>250</v>
      </c>
      <c r="S642" s="26">
        <f>SUM(G642:R642)</f>
        <v>250</v>
      </c>
    </row>
    <row r="643" spans="3:19" ht="13.5" customHeight="1" thickBot="1">
      <c r="C643" s="4" t="s">
        <v>5</v>
      </c>
      <c r="G643" s="48">
        <f>31666.67+46003.13</f>
        <v>77669.79999999999</v>
      </c>
      <c r="H643" s="48">
        <f>31666.67+46003.13</f>
        <v>77669.79999999999</v>
      </c>
      <c r="I643" s="48">
        <f>31666.63+46003.1</f>
        <v>77669.73</v>
      </c>
      <c r="J643" s="48">
        <f>32500+45053.13</f>
        <v>77553.13</v>
      </c>
      <c r="K643" s="48">
        <f aca="true" t="shared" si="80" ref="K643:R643">32500+45053.13</f>
        <v>77553.13</v>
      </c>
      <c r="L643" s="48">
        <f t="shared" si="80"/>
        <v>77553.13</v>
      </c>
      <c r="M643" s="48">
        <f t="shared" si="80"/>
        <v>77553.13</v>
      </c>
      <c r="N643" s="48">
        <f t="shared" si="80"/>
        <v>77553.13</v>
      </c>
      <c r="O643" s="48">
        <f>32500+45053.1</f>
        <v>77553.1</v>
      </c>
      <c r="P643" s="48">
        <f t="shared" si="80"/>
        <v>77553.13</v>
      </c>
      <c r="Q643" s="48">
        <f t="shared" si="80"/>
        <v>77553.13</v>
      </c>
      <c r="R643" s="49">
        <f t="shared" si="80"/>
        <v>77553.13</v>
      </c>
      <c r="S643" s="26">
        <f>SUM(G643:R643)</f>
        <v>930987.47</v>
      </c>
    </row>
    <row r="644" spans="3:19" ht="13.5" customHeight="1" thickBot="1">
      <c r="C644" s="6" t="s">
        <v>96</v>
      </c>
      <c r="G644" s="27">
        <f aca="true" t="shared" si="81" ref="G644:S644">SUM(G641:G643)</f>
        <v>79059.79999999999</v>
      </c>
      <c r="H644" s="27">
        <f t="shared" si="81"/>
        <v>78809.79999999999</v>
      </c>
      <c r="I644" s="27">
        <f t="shared" si="81"/>
        <v>78809.73</v>
      </c>
      <c r="J644" s="27">
        <f t="shared" si="81"/>
        <v>78693.13</v>
      </c>
      <c r="K644" s="27">
        <f t="shared" si="81"/>
        <v>78693.13</v>
      </c>
      <c r="L644" s="27">
        <f t="shared" si="81"/>
        <v>78693.13</v>
      </c>
      <c r="M644" s="27">
        <f t="shared" si="81"/>
        <v>78661.46</v>
      </c>
      <c r="N644" s="27">
        <f t="shared" si="81"/>
        <v>78661.46</v>
      </c>
      <c r="O644" s="27">
        <f t="shared" si="81"/>
        <v>78661.43000000001</v>
      </c>
      <c r="P644" s="27">
        <f t="shared" si="81"/>
        <v>78661.46</v>
      </c>
      <c r="Q644" s="27">
        <f t="shared" si="81"/>
        <v>78661.46</v>
      </c>
      <c r="R644" s="40">
        <f t="shared" si="81"/>
        <v>78661.46</v>
      </c>
      <c r="S644" s="27">
        <f t="shared" si="81"/>
        <v>944727.45</v>
      </c>
    </row>
    <row r="645" ht="13.5" customHeight="1">
      <c r="C645" s="12"/>
    </row>
    <row r="646" spans="1:3" ht="13.5" customHeight="1">
      <c r="A646" s="16">
        <f>+A640+1</f>
        <v>43</v>
      </c>
      <c r="C646" s="5" t="s">
        <v>209</v>
      </c>
    </row>
    <row r="647" spans="3:19" ht="13.5" customHeight="1">
      <c r="C647" s="4" t="s">
        <v>3</v>
      </c>
      <c r="G647" s="26">
        <v>1080</v>
      </c>
      <c r="H647" s="26">
        <v>1080</v>
      </c>
      <c r="I647" s="26">
        <v>1080</v>
      </c>
      <c r="J647" s="26">
        <v>1080</v>
      </c>
      <c r="K647" s="26">
        <v>1080</v>
      </c>
      <c r="L647" s="26">
        <v>1080</v>
      </c>
      <c r="M647" s="26">
        <v>1080</v>
      </c>
      <c r="N647" s="26">
        <v>1049.58</v>
      </c>
      <c r="O647" s="26">
        <v>1049.58</v>
      </c>
      <c r="P647" s="26">
        <v>1049.58</v>
      </c>
      <c r="Q647" s="26">
        <v>1049.58</v>
      </c>
      <c r="R647" s="39">
        <v>1049.58</v>
      </c>
      <c r="S647" s="26">
        <f>SUM(G647:R647)</f>
        <v>12807.9</v>
      </c>
    </row>
    <row r="648" spans="3:19" ht="13.5" customHeight="1">
      <c r="C648" s="4" t="s">
        <v>4</v>
      </c>
      <c r="G648" s="48">
        <v>250</v>
      </c>
      <c r="S648" s="26">
        <f>SUM(G648:R648)</f>
        <v>250</v>
      </c>
    </row>
    <row r="649" spans="3:19" ht="13.5" customHeight="1" thickBot="1">
      <c r="C649" s="4" t="s">
        <v>5</v>
      </c>
      <c r="G649" s="48">
        <f>34166.67+55026.04</f>
        <v>89192.70999999999</v>
      </c>
      <c r="H649" s="48">
        <f>34166.67+55026.04</f>
        <v>89192.70999999999</v>
      </c>
      <c r="I649" s="48">
        <f>34166.67+55026.04</f>
        <v>89192.70999999999</v>
      </c>
      <c r="J649" s="48">
        <f>34166.67+55026.04</f>
        <v>89192.70999999999</v>
      </c>
      <c r="K649" s="48">
        <f>34166.63+55026.05</f>
        <v>89192.68</v>
      </c>
      <c r="L649" s="48">
        <f>35416.67+53687.5</f>
        <v>89104.17</v>
      </c>
      <c r="M649" s="48">
        <f aca="true" t="shared" si="82" ref="M649:R649">35416.67+53687.5</f>
        <v>89104.17</v>
      </c>
      <c r="N649" s="48">
        <f t="shared" si="82"/>
        <v>89104.17</v>
      </c>
      <c r="O649" s="48">
        <f t="shared" si="82"/>
        <v>89104.17</v>
      </c>
      <c r="P649" s="48">
        <f t="shared" si="82"/>
        <v>89104.17</v>
      </c>
      <c r="Q649" s="48">
        <f t="shared" si="82"/>
        <v>89104.17</v>
      </c>
      <c r="R649" s="49">
        <f t="shared" si="82"/>
        <v>89104.17</v>
      </c>
      <c r="S649" s="26">
        <f>SUM(G649:R649)</f>
        <v>1069692.7100000002</v>
      </c>
    </row>
    <row r="650" spans="3:19" ht="13.5" customHeight="1" thickBot="1">
      <c r="C650" s="6" t="s">
        <v>208</v>
      </c>
      <c r="G650" s="27">
        <f aca="true" t="shared" si="83" ref="G650:S650">SUM(G647:G649)</f>
        <v>90522.70999999999</v>
      </c>
      <c r="H650" s="27">
        <f t="shared" si="83"/>
        <v>90272.70999999999</v>
      </c>
      <c r="I650" s="27">
        <f t="shared" si="83"/>
        <v>90272.70999999999</v>
      </c>
      <c r="J650" s="27">
        <f t="shared" si="83"/>
        <v>90272.70999999999</v>
      </c>
      <c r="K650" s="27">
        <f t="shared" si="83"/>
        <v>90272.68</v>
      </c>
      <c r="L650" s="27">
        <f t="shared" si="83"/>
        <v>90184.17</v>
      </c>
      <c r="M650" s="27">
        <f t="shared" si="83"/>
        <v>90184.17</v>
      </c>
      <c r="N650" s="27">
        <f t="shared" si="83"/>
        <v>90153.75</v>
      </c>
      <c r="O650" s="27">
        <f t="shared" si="83"/>
        <v>90153.75</v>
      </c>
      <c r="P650" s="27">
        <f t="shared" si="83"/>
        <v>90153.75</v>
      </c>
      <c r="Q650" s="27">
        <f t="shared" si="83"/>
        <v>90153.75</v>
      </c>
      <c r="R650" s="40">
        <f t="shared" si="83"/>
        <v>90153.75</v>
      </c>
      <c r="S650" s="27">
        <f t="shared" si="83"/>
        <v>1082750.61</v>
      </c>
    </row>
    <row r="651" ht="13.5" customHeight="1">
      <c r="C651" s="12"/>
    </row>
    <row r="652" spans="1:3" ht="13.5" customHeight="1">
      <c r="A652" s="16">
        <f>+A646+1</f>
        <v>44</v>
      </c>
      <c r="C652" s="5" t="s">
        <v>210</v>
      </c>
    </row>
    <row r="653" spans="3:19" ht="13.5" customHeight="1">
      <c r="C653" s="4" t="s">
        <v>3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39">
        <v>0</v>
      </c>
      <c r="S653" s="26">
        <f>SUM(G653:R653)</f>
        <v>0</v>
      </c>
    </row>
    <row r="654" spans="3:19" ht="13.5" customHeight="1">
      <c r="C654" s="4" t="s">
        <v>4</v>
      </c>
      <c r="G654" s="48">
        <v>250</v>
      </c>
      <c r="S654" s="26">
        <f>SUM(G654:R654)</f>
        <v>250</v>
      </c>
    </row>
    <row r="655" spans="3:19" ht="13.5" customHeight="1" thickBot="1">
      <c r="C655" s="4" t="s">
        <v>5</v>
      </c>
      <c r="G655" s="26">
        <f>44583.33+114345.83</f>
        <v>158929.16</v>
      </c>
      <c r="H655" s="26">
        <f>44583.33+114345.83</f>
        <v>158929.16</v>
      </c>
      <c r="I655" s="26">
        <f>44583.33+114345.83</f>
        <v>158929.16</v>
      </c>
      <c r="J655" s="26">
        <f>44583.33+114345.83</f>
        <v>158929.16</v>
      </c>
      <c r="K655" s="26">
        <f>44583.37+114345.85</f>
        <v>158929.22</v>
      </c>
      <c r="L655" s="26">
        <f>45000+113454.17</f>
        <v>158454.16999999998</v>
      </c>
      <c r="M655" s="26">
        <f aca="true" t="shared" si="84" ref="M655:R655">45000+113454.17</f>
        <v>158454.16999999998</v>
      </c>
      <c r="N655" s="26">
        <f t="shared" si="84"/>
        <v>158454.16999999998</v>
      </c>
      <c r="O655" s="26">
        <f t="shared" si="84"/>
        <v>158454.16999999998</v>
      </c>
      <c r="P655" s="26">
        <f t="shared" si="84"/>
        <v>158454.16999999998</v>
      </c>
      <c r="Q655" s="26">
        <f>45000+113454.15</f>
        <v>158454.15</v>
      </c>
      <c r="R655" s="39">
        <f t="shared" si="84"/>
        <v>158454.16999999998</v>
      </c>
      <c r="S655" s="26">
        <f>SUM(G655:R655)</f>
        <v>1903825.0299999996</v>
      </c>
    </row>
    <row r="656" spans="3:19" ht="13.5" customHeight="1" thickBot="1">
      <c r="C656" s="6" t="s">
        <v>211</v>
      </c>
      <c r="G656" s="27">
        <f aca="true" t="shared" si="85" ref="G656:S656">SUM(G653:G655)</f>
        <v>159179.16</v>
      </c>
      <c r="H656" s="27">
        <f t="shared" si="85"/>
        <v>158929.16</v>
      </c>
      <c r="I656" s="27">
        <f t="shared" si="85"/>
        <v>158929.16</v>
      </c>
      <c r="J656" s="27">
        <f t="shared" si="85"/>
        <v>158929.16</v>
      </c>
      <c r="K656" s="27">
        <f t="shared" si="85"/>
        <v>158929.22</v>
      </c>
      <c r="L656" s="27">
        <f t="shared" si="85"/>
        <v>158454.16999999998</v>
      </c>
      <c r="M656" s="27">
        <f t="shared" si="85"/>
        <v>158454.16999999998</v>
      </c>
      <c r="N656" s="27">
        <f t="shared" si="85"/>
        <v>158454.16999999998</v>
      </c>
      <c r="O656" s="27">
        <f t="shared" si="85"/>
        <v>158454.16999999998</v>
      </c>
      <c r="P656" s="27">
        <f t="shared" si="85"/>
        <v>158454.16999999998</v>
      </c>
      <c r="Q656" s="27">
        <f t="shared" si="85"/>
        <v>158454.15</v>
      </c>
      <c r="R656" s="40">
        <f t="shared" si="85"/>
        <v>158454.16999999998</v>
      </c>
      <c r="S656" s="27">
        <f t="shared" si="85"/>
        <v>1904075.0299999996</v>
      </c>
    </row>
    <row r="657" ht="13.5" customHeight="1">
      <c r="C657" s="12"/>
    </row>
    <row r="658" spans="1:3" ht="13.5" customHeight="1">
      <c r="A658" s="16">
        <f>+A652+1</f>
        <v>45</v>
      </c>
      <c r="C658" s="5" t="s">
        <v>212</v>
      </c>
    </row>
    <row r="659" spans="3:19" ht="13.5" customHeight="1">
      <c r="C659" s="4" t="s">
        <v>3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39">
        <v>0</v>
      </c>
      <c r="S659" s="26">
        <f>SUM(G659:R659)</f>
        <v>0</v>
      </c>
    </row>
    <row r="660" spans="3:19" ht="13.5" customHeight="1">
      <c r="C660" s="4" t="s">
        <v>4</v>
      </c>
      <c r="G660" s="48">
        <v>250</v>
      </c>
      <c r="S660" s="26">
        <f>SUM(G660:R660)</f>
        <v>250</v>
      </c>
    </row>
    <row r="661" spans="3:19" ht="13.5" customHeight="1" thickBot="1">
      <c r="C661" s="4" t="s">
        <v>5</v>
      </c>
      <c r="G661" s="26">
        <f aca="true" t="shared" si="86" ref="G661:O661">17083.33+50031.77</f>
        <v>67115.1</v>
      </c>
      <c r="H661" s="26">
        <f t="shared" si="86"/>
        <v>67115.1</v>
      </c>
      <c r="I661" s="26">
        <f t="shared" si="86"/>
        <v>67115.1</v>
      </c>
      <c r="J661" s="26">
        <f t="shared" si="86"/>
        <v>67115.1</v>
      </c>
      <c r="K661" s="26">
        <f t="shared" si="86"/>
        <v>67115.1</v>
      </c>
      <c r="L661" s="26">
        <f t="shared" si="86"/>
        <v>67115.1</v>
      </c>
      <c r="M661" s="26">
        <f t="shared" si="86"/>
        <v>67115.1</v>
      </c>
      <c r="N661" s="26">
        <f t="shared" si="86"/>
        <v>67115.1</v>
      </c>
      <c r="O661" s="26">
        <f t="shared" si="86"/>
        <v>67115.1</v>
      </c>
      <c r="P661" s="26">
        <f>17916.67+49263.02</f>
        <v>67179.69</v>
      </c>
      <c r="Q661" s="26">
        <f>17916.67+49263.02</f>
        <v>67179.69</v>
      </c>
      <c r="R661" s="39">
        <f>17916.67+49263.02</f>
        <v>67179.69</v>
      </c>
      <c r="S661" s="26">
        <f>SUM(G661:R661)</f>
        <v>805574.9699999997</v>
      </c>
    </row>
    <row r="662" spans="3:19" ht="13.5" customHeight="1" thickBot="1">
      <c r="C662" s="6" t="s">
        <v>213</v>
      </c>
      <c r="G662" s="27">
        <f aca="true" t="shared" si="87" ref="G662:S662">SUM(G659:G661)</f>
        <v>67365.1</v>
      </c>
      <c r="H662" s="27">
        <f t="shared" si="87"/>
        <v>67115.1</v>
      </c>
      <c r="I662" s="27">
        <f t="shared" si="87"/>
        <v>67115.1</v>
      </c>
      <c r="J662" s="27">
        <f t="shared" si="87"/>
        <v>67115.1</v>
      </c>
      <c r="K662" s="27">
        <f t="shared" si="87"/>
        <v>67115.1</v>
      </c>
      <c r="L662" s="27">
        <f t="shared" si="87"/>
        <v>67115.1</v>
      </c>
      <c r="M662" s="27">
        <f t="shared" si="87"/>
        <v>67115.1</v>
      </c>
      <c r="N662" s="27">
        <f t="shared" si="87"/>
        <v>67115.1</v>
      </c>
      <c r="O662" s="27">
        <f t="shared" si="87"/>
        <v>67115.1</v>
      </c>
      <c r="P662" s="27">
        <f t="shared" si="87"/>
        <v>67179.69</v>
      </c>
      <c r="Q662" s="27">
        <f t="shared" si="87"/>
        <v>67179.69</v>
      </c>
      <c r="R662" s="40">
        <f t="shared" si="87"/>
        <v>67179.69</v>
      </c>
      <c r="S662" s="27">
        <f t="shared" si="87"/>
        <v>805824.9699999997</v>
      </c>
    </row>
    <row r="663" ht="13.5" customHeight="1">
      <c r="C663" s="12"/>
    </row>
    <row r="664" spans="1:3" ht="13.5" customHeight="1">
      <c r="A664" s="16">
        <f>+A658+1</f>
        <v>46</v>
      </c>
      <c r="C664" s="5" t="s">
        <v>214</v>
      </c>
    </row>
    <row r="665" spans="3:19" ht="13.5" customHeight="1">
      <c r="C665" s="4" t="s">
        <v>3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39">
        <v>0</v>
      </c>
      <c r="S665" s="26">
        <f>SUM(G665:R665)</f>
        <v>0</v>
      </c>
    </row>
    <row r="666" spans="3:19" ht="13.5" customHeight="1">
      <c r="C666" s="4" t="s">
        <v>4</v>
      </c>
      <c r="G666" s="48">
        <v>250</v>
      </c>
      <c r="S666" s="26">
        <f>SUM(G666:R666)</f>
        <v>250</v>
      </c>
    </row>
    <row r="667" spans="3:19" ht="13.5" customHeight="1" thickBot="1">
      <c r="C667" s="4" t="s">
        <v>5</v>
      </c>
      <c r="G667" s="26">
        <f>48333.33+188820</f>
        <v>237153.33000000002</v>
      </c>
      <c r="H667" s="26">
        <f>48333.33+188820</f>
        <v>237153.33000000002</v>
      </c>
      <c r="I667" s="26">
        <f>48333.33+188820</f>
        <v>237153.33000000002</v>
      </c>
      <c r="J667" s="26">
        <f>48333.33+188820</f>
        <v>237153.33000000002</v>
      </c>
      <c r="K667" s="26">
        <f>48333.37+188820</f>
        <v>237153.37</v>
      </c>
      <c r="L667" s="26">
        <f>55416.67+186210</f>
        <v>241626.66999999998</v>
      </c>
      <c r="M667" s="26">
        <f aca="true" t="shared" si="88" ref="M667:R667">55416.67+186210</f>
        <v>241626.66999999998</v>
      </c>
      <c r="N667" s="26">
        <f t="shared" si="88"/>
        <v>241626.66999999998</v>
      </c>
      <c r="O667" s="26">
        <f t="shared" si="88"/>
        <v>241626.66999999998</v>
      </c>
      <c r="P667" s="26">
        <f t="shared" si="88"/>
        <v>241626.66999999998</v>
      </c>
      <c r="Q667" s="26">
        <f t="shared" si="88"/>
        <v>241626.66999999998</v>
      </c>
      <c r="R667" s="39">
        <f t="shared" si="88"/>
        <v>241626.66999999998</v>
      </c>
      <c r="S667" s="26">
        <f>SUM(G667:R667)</f>
        <v>2877153.3799999994</v>
      </c>
    </row>
    <row r="668" spans="3:19" ht="13.5" customHeight="1" thickBot="1">
      <c r="C668" s="6" t="s">
        <v>52</v>
      </c>
      <c r="G668" s="27">
        <f aca="true" t="shared" si="89" ref="G668:S668">SUM(G665:G667)</f>
        <v>237403.33000000002</v>
      </c>
      <c r="H668" s="27">
        <f t="shared" si="89"/>
        <v>237153.33000000002</v>
      </c>
      <c r="I668" s="27">
        <f t="shared" si="89"/>
        <v>237153.33000000002</v>
      </c>
      <c r="J668" s="27">
        <f t="shared" si="89"/>
        <v>237153.33000000002</v>
      </c>
      <c r="K668" s="27">
        <f t="shared" si="89"/>
        <v>237153.37</v>
      </c>
      <c r="L668" s="27">
        <f t="shared" si="89"/>
        <v>241626.66999999998</v>
      </c>
      <c r="M668" s="27">
        <f t="shared" si="89"/>
        <v>241626.66999999998</v>
      </c>
      <c r="N668" s="27">
        <f t="shared" si="89"/>
        <v>241626.66999999998</v>
      </c>
      <c r="O668" s="27">
        <f t="shared" si="89"/>
        <v>241626.66999999998</v>
      </c>
      <c r="P668" s="27">
        <f t="shared" si="89"/>
        <v>241626.66999999998</v>
      </c>
      <c r="Q668" s="27">
        <f t="shared" si="89"/>
        <v>241626.66999999998</v>
      </c>
      <c r="R668" s="40">
        <f t="shared" si="89"/>
        <v>241626.66999999998</v>
      </c>
      <c r="S668" s="27">
        <f t="shared" si="89"/>
        <v>2877403.3799999994</v>
      </c>
    </row>
    <row r="669" ht="13.5" customHeight="1">
      <c r="C669" s="12"/>
    </row>
    <row r="670" spans="1:3" ht="13.5" customHeight="1">
      <c r="A670" s="16">
        <f>+A664+1</f>
        <v>47</v>
      </c>
      <c r="C670" s="5" t="s">
        <v>215</v>
      </c>
    </row>
    <row r="671" spans="3:19" ht="13.5" customHeight="1">
      <c r="C671" s="4" t="s">
        <v>3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39">
        <v>0</v>
      </c>
      <c r="S671" s="26">
        <f>SUM(G671:R671)</f>
        <v>0</v>
      </c>
    </row>
    <row r="672" spans="3:19" ht="13.5" customHeight="1">
      <c r="C672" s="4" t="s">
        <v>4</v>
      </c>
      <c r="G672" s="48">
        <v>250</v>
      </c>
      <c r="S672" s="26">
        <f>SUM(G672:R672)</f>
        <v>250</v>
      </c>
    </row>
    <row r="673" spans="3:19" ht="13.5" customHeight="1" thickBot="1">
      <c r="C673" s="4" t="s">
        <v>5</v>
      </c>
      <c r="G673" s="26">
        <f aca="true" t="shared" si="90" ref="G673:Q673">15833.33+45837.5</f>
        <v>61670.83</v>
      </c>
      <c r="H673" s="26">
        <f t="shared" si="90"/>
        <v>61670.83</v>
      </c>
      <c r="I673" s="26">
        <f t="shared" si="90"/>
        <v>61670.83</v>
      </c>
      <c r="J673" s="26">
        <f t="shared" si="90"/>
        <v>61670.83</v>
      </c>
      <c r="K673" s="26">
        <f t="shared" si="90"/>
        <v>61670.83</v>
      </c>
      <c r="L673" s="26">
        <f t="shared" si="90"/>
        <v>61670.83</v>
      </c>
      <c r="M673" s="26">
        <f t="shared" si="90"/>
        <v>61670.83</v>
      </c>
      <c r="N673" s="26">
        <f t="shared" si="90"/>
        <v>61670.83</v>
      </c>
      <c r="O673" s="26">
        <f t="shared" si="90"/>
        <v>61670.83</v>
      </c>
      <c r="P673" s="26">
        <f t="shared" si="90"/>
        <v>61670.83</v>
      </c>
      <c r="Q673" s="26">
        <f t="shared" si="90"/>
        <v>61670.83</v>
      </c>
      <c r="R673" s="39">
        <f>16250+45116.67</f>
        <v>61366.67</v>
      </c>
      <c r="S673" s="26">
        <f>SUM(G673:R673)</f>
        <v>739745.8</v>
      </c>
    </row>
    <row r="674" spans="3:19" ht="13.5" customHeight="1" thickBot="1">
      <c r="C674" s="6" t="s">
        <v>216</v>
      </c>
      <c r="G674" s="27">
        <f aca="true" t="shared" si="91" ref="G674:S674">SUM(G671:G673)</f>
        <v>61920.83</v>
      </c>
      <c r="H674" s="27">
        <f t="shared" si="91"/>
        <v>61670.83</v>
      </c>
      <c r="I674" s="27">
        <f t="shared" si="91"/>
        <v>61670.83</v>
      </c>
      <c r="J674" s="27">
        <f t="shared" si="91"/>
        <v>61670.83</v>
      </c>
      <c r="K674" s="27">
        <f t="shared" si="91"/>
        <v>61670.83</v>
      </c>
      <c r="L674" s="27">
        <f t="shared" si="91"/>
        <v>61670.83</v>
      </c>
      <c r="M674" s="27">
        <f t="shared" si="91"/>
        <v>61670.83</v>
      </c>
      <c r="N674" s="27">
        <f t="shared" si="91"/>
        <v>61670.83</v>
      </c>
      <c r="O674" s="27">
        <f t="shared" si="91"/>
        <v>61670.83</v>
      </c>
      <c r="P674" s="27">
        <f t="shared" si="91"/>
        <v>61670.83</v>
      </c>
      <c r="Q674" s="27">
        <f t="shared" si="91"/>
        <v>61670.83</v>
      </c>
      <c r="R674" s="40">
        <f t="shared" si="91"/>
        <v>61366.67</v>
      </c>
      <c r="S674" s="27">
        <f t="shared" si="91"/>
        <v>739995.8</v>
      </c>
    </row>
    <row r="675" ht="13.5" customHeight="1">
      <c r="C675" s="12"/>
    </row>
    <row r="676" spans="1:3" ht="13.5" customHeight="1">
      <c r="A676" s="16"/>
      <c r="B676" s="42" t="s">
        <v>105</v>
      </c>
      <c r="C676" s="30" t="s">
        <v>274</v>
      </c>
    </row>
    <row r="677" spans="3:19" ht="13.5" customHeight="1">
      <c r="C677" s="4" t="s">
        <v>3</v>
      </c>
      <c r="S677"/>
    </row>
    <row r="678" spans="3:19" ht="13.5" customHeight="1">
      <c r="C678" s="4" t="s">
        <v>4</v>
      </c>
      <c r="S678"/>
    </row>
    <row r="679" spans="3:19" ht="13.5" customHeight="1" thickBot="1">
      <c r="C679" s="4" t="s">
        <v>5</v>
      </c>
      <c r="S679"/>
    </row>
    <row r="680" spans="3:19" ht="13.5" customHeight="1" thickBot="1">
      <c r="C680" s="6" t="s">
        <v>118</v>
      </c>
      <c r="S680"/>
    </row>
    <row r="681" ht="13.5" customHeight="1">
      <c r="C681" s="12"/>
    </row>
    <row r="682" spans="1:3" ht="13.5" customHeight="1">
      <c r="A682" s="16"/>
      <c r="B682" s="42" t="s">
        <v>105</v>
      </c>
      <c r="C682" s="30" t="s">
        <v>217</v>
      </c>
    </row>
    <row r="683" spans="3:19" ht="13.5" customHeight="1">
      <c r="C683" s="4" t="s">
        <v>3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S683" s="26">
        <f>SUM(G683:R683)</f>
        <v>0</v>
      </c>
    </row>
    <row r="684" spans="3:19" ht="13.5" customHeight="1">
      <c r="C684" s="4" t="s">
        <v>4</v>
      </c>
      <c r="G684" s="48">
        <v>250</v>
      </c>
      <c r="S684" s="26">
        <f>SUM(G684:R684)</f>
        <v>250</v>
      </c>
    </row>
    <row r="685" spans="3:19" ht="13.5" customHeight="1" thickBot="1">
      <c r="C685" s="4" t="s">
        <v>5</v>
      </c>
      <c r="G685" s="26">
        <f aca="true" t="shared" si="92" ref="G685:M685">9583.33+30982.92</f>
        <v>40566.25</v>
      </c>
      <c r="H685" s="26">
        <f>9583.33+30982.9</f>
        <v>40566.23</v>
      </c>
      <c r="I685" s="26">
        <f t="shared" si="92"/>
        <v>40566.25</v>
      </c>
      <c r="J685" s="26">
        <f t="shared" si="92"/>
        <v>40566.25</v>
      </c>
      <c r="K685" s="26">
        <f t="shared" si="92"/>
        <v>40566.25</v>
      </c>
      <c r="L685" s="26">
        <f t="shared" si="92"/>
        <v>40566.25</v>
      </c>
      <c r="M685" s="26">
        <f t="shared" si="92"/>
        <v>40566.25</v>
      </c>
      <c r="N685" s="26">
        <f>9583.37+30982.9</f>
        <v>40566.270000000004</v>
      </c>
      <c r="O685" s="26">
        <f>10000+30475</f>
        <v>40475</v>
      </c>
      <c r="S685" s="26">
        <f>SUM(G685:R685)</f>
        <v>365005</v>
      </c>
    </row>
    <row r="686" spans="3:19" ht="13.5" customHeight="1" thickBot="1">
      <c r="C686" s="6" t="s">
        <v>75</v>
      </c>
      <c r="G686" s="27">
        <f aca="true" t="shared" si="93" ref="G686:S686">SUM(G683:G685)</f>
        <v>40816.25</v>
      </c>
      <c r="H686" s="27">
        <f t="shared" si="93"/>
        <v>40566.23</v>
      </c>
      <c r="I686" s="27">
        <f t="shared" si="93"/>
        <v>40566.25</v>
      </c>
      <c r="J686" s="27">
        <f t="shared" si="93"/>
        <v>40566.25</v>
      </c>
      <c r="K686" s="27">
        <f t="shared" si="93"/>
        <v>40566.25</v>
      </c>
      <c r="L686" s="27">
        <f t="shared" si="93"/>
        <v>40566.25</v>
      </c>
      <c r="M686" s="27">
        <f t="shared" si="93"/>
        <v>40566.25</v>
      </c>
      <c r="N686" s="27">
        <f t="shared" si="93"/>
        <v>40566.270000000004</v>
      </c>
      <c r="O686" s="27">
        <f t="shared" si="93"/>
        <v>40475</v>
      </c>
      <c r="P686" s="27">
        <f t="shared" si="93"/>
        <v>0</v>
      </c>
      <c r="Q686" s="27">
        <f t="shared" si="93"/>
        <v>0</v>
      </c>
      <c r="R686" s="40">
        <f t="shared" si="93"/>
        <v>0</v>
      </c>
      <c r="S686" s="27">
        <f t="shared" si="93"/>
        <v>365255</v>
      </c>
    </row>
    <row r="687" ht="13.5" customHeight="1">
      <c r="C687" s="12"/>
    </row>
    <row r="688" spans="1:3" ht="13.5" customHeight="1">
      <c r="A688" s="16">
        <f>+A670+1</f>
        <v>48</v>
      </c>
      <c r="C688" s="5" t="s">
        <v>218</v>
      </c>
    </row>
    <row r="689" spans="3:19" ht="13.5" customHeight="1">
      <c r="C689" s="4" t="s">
        <v>3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39">
        <v>0</v>
      </c>
      <c r="S689" s="26">
        <f>SUM(G689:R689)</f>
        <v>0</v>
      </c>
    </row>
    <row r="690" spans="3:19" ht="13.5" customHeight="1">
      <c r="C690" s="4" t="s">
        <v>4</v>
      </c>
      <c r="G690" s="48">
        <v>250</v>
      </c>
      <c r="S690" s="26">
        <f>SUM(G690:R690)</f>
        <v>250</v>
      </c>
    </row>
    <row r="691" spans="3:19" ht="13.5" customHeight="1" thickBot="1">
      <c r="C691" s="4" t="s">
        <v>5</v>
      </c>
      <c r="G691" s="26">
        <v>67825</v>
      </c>
      <c r="H691" s="26">
        <v>67825</v>
      </c>
      <c r="I691" s="26">
        <v>67825</v>
      </c>
      <c r="J691" s="26">
        <v>67825</v>
      </c>
      <c r="K691" s="26">
        <v>67825</v>
      </c>
      <c r="L691" s="26">
        <v>67825</v>
      </c>
      <c r="M691" s="26">
        <v>67825</v>
      </c>
      <c r="N691" s="26">
        <v>67825</v>
      </c>
      <c r="O691" s="26">
        <v>67825</v>
      </c>
      <c r="P691" s="26">
        <v>67825</v>
      </c>
      <c r="Q691" s="26">
        <v>67825</v>
      </c>
      <c r="R691" s="39">
        <v>76200</v>
      </c>
      <c r="S691" s="26">
        <f>SUM(G691:R691)</f>
        <v>822275</v>
      </c>
    </row>
    <row r="692" spans="3:19" ht="13.5" customHeight="1" thickBot="1">
      <c r="C692" s="6" t="s">
        <v>219</v>
      </c>
      <c r="G692" s="27">
        <f aca="true" t="shared" si="94" ref="G692:S692">SUM(G689:G691)</f>
        <v>68075</v>
      </c>
      <c r="H692" s="27">
        <f t="shared" si="94"/>
        <v>67825</v>
      </c>
      <c r="I692" s="27">
        <f t="shared" si="94"/>
        <v>67825</v>
      </c>
      <c r="J692" s="27">
        <f t="shared" si="94"/>
        <v>67825</v>
      </c>
      <c r="K692" s="27">
        <f t="shared" si="94"/>
        <v>67825</v>
      </c>
      <c r="L692" s="27">
        <f t="shared" si="94"/>
        <v>67825</v>
      </c>
      <c r="M692" s="27">
        <f t="shared" si="94"/>
        <v>67825</v>
      </c>
      <c r="N692" s="27">
        <f t="shared" si="94"/>
        <v>67825</v>
      </c>
      <c r="O692" s="27">
        <f t="shared" si="94"/>
        <v>67825</v>
      </c>
      <c r="P692" s="27">
        <f t="shared" si="94"/>
        <v>67825</v>
      </c>
      <c r="Q692" s="27">
        <f t="shared" si="94"/>
        <v>67825</v>
      </c>
      <c r="R692" s="40">
        <f t="shared" si="94"/>
        <v>76200</v>
      </c>
      <c r="S692" s="27">
        <f t="shared" si="94"/>
        <v>822525</v>
      </c>
    </row>
    <row r="693" ht="13.5" customHeight="1">
      <c r="C693" s="12"/>
    </row>
    <row r="694" spans="1:3" ht="13.5" customHeight="1">
      <c r="A694" s="16">
        <f>+A688+1</f>
        <v>49</v>
      </c>
      <c r="C694" s="5" t="s">
        <v>220</v>
      </c>
    </row>
    <row r="695" spans="3:19" ht="13.5" customHeight="1">
      <c r="C695" s="4" t="s">
        <v>3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39">
        <v>0</v>
      </c>
      <c r="S695" s="26">
        <f>SUM(G695:R695)</f>
        <v>0</v>
      </c>
    </row>
    <row r="696" spans="3:19" ht="13.5" customHeight="1">
      <c r="C696" s="4" t="s">
        <v>4</v>
      </c>
      <c r="G696" s="48">
        <v>250</v>
      </c>
      <c r="J696" s="48"/>
      <c r="S696" s="26">
        <f>SUM(G696:R696)</f>
        <v>250</v>
      </c>
    </row>
    <row r="697" spans="3:19" ht="13.5" customHeight="1" thickBot="1">
      <c r="C697" s="4" t="s">
        <v>5</v>
      </c>
      <c r="G697" s="26">
        <f>43054.17+52998.21</f>
        <v>96052.38</v>
      </c>
      <c r="H697" s="26">
        <f>44517.5+51534.37</f>
        <v>96051.87</v>
      </c>
      <c r="I697" s="26">
        <f aca="true" t="shared" si="95" ref="I697:R697">44517.5+51534.37</f>
        <v>96051.87</v>
      </c>
      <c r="J697" s="26">
        <f t="shared" si="95"/>
        <v>96051.87</v>
      </c>
      <c r="K697" s="26">
        <f t="shared" si="95"/>
        <v>96051.87</v>
      </c>
      <c r="L697" s="26">
        <f t="shared" si="95"/>
        <v>96051.87</v>
      </c>
      <c r="M697" s="26">
        <f t="shared" si="95"/>
        <v>96051.87</v>
      </c>
      <c r="N697" s="26">
        <f t="shared" si="95"/>
        <v>96051.87</v>
      </c>
      <c r="O697" s="26">
        <f t="shared" si="95"/>
        <v>96051.87</v>
      </c>
      <c r="P697" s="26">
        <f t="shared" si="95"/>
        <v>96051.87</v>
      </c>
      <c r="Q697" s="26">
        <f t="shared" si="95"/>
        <v>96051.87</v>
      </c>
      <c r="R697" s="39">
        <f t="shared" si="95"/>
        <v>96051.87</v>
      </c>
      <c r="S697" s="26">
        <f>SUM(G697:R697)</f>
        <v>1152622.9500000002</v>
      </c>
    </row>
    <row r="698" spans="3:19" ht="13.5" customHeight="1" thickBot="1">
      <c r="C698" s="6" t="s">
        <v>40</v>
      </c>
      <c r="G698" s="27">
        <f aca="true" t="shared" si="96" ref="G698:S698">SUM(G695:G697)</f>
        <v>96302.38</v>
      </c>
      <c r="H698" s="27">
        <f t="shared" si="96"/>
        <v>96051.87</v>
      </c>
      <c r="I698" s="27">
        <f t="shared" si="96"/>
        <v>96051.87</v>
      </c>
      <c r="J698" s="27">
        <f t="shared" si="96"/>
        <v>96051.87</v>
      </c>
      <c r="K698" s="27">
        <f t="shared" si="96"/>
        <v>96051.87</v>
      </c>
      <c r="L698" s="27">
        <f t="shared" si="96"/>
        <v>96051.87</v>
      </c>
      <c r="M698" s="27">
        <f t="shared" si="96"/>
        <v>96051.87</v>
      </c>
      <c r="N698" s="27">
        <f t="shared" si="96"/>
        <v>96051.87</v>
      </c>
      <c r="O698" s="27">
        <f t="shared" si="96"/>
        <v>96051.87</v>
      </c>
      <c r="P698" s="27">
        <f t="shared" si="96"/>
        <v>96051.87</v>
      </c>
      <c r="Q698" s="27">
        <f t="shared" si="96"/>
        <v>96051.87</v>
      </c>
      <c r="R698" s="40">
        <f t="shared" si="96"/>
        <v>96051.87</v>
      </c>
      <c r="S698" s="27">
        <f t="shared" si="96"/>
        <v>1152872.9500000002</v>
      </c>
    </row>
    <row r="699" ht="13.5" customHeight="1">
      <c r="C699" s="12"/>
    </row>
    <row r="700" spans="1:3" ht="13.5" customHeight="1">
      <c r="A700" s="16">
        <f>+A694+1</f>
        <v>50</v>
      </c>
      <c r="B700" s="1" t="s">
        <v>250</v>
      </c>
      <c r="C700" s="5" t="s">
        <v>221</v>
      </c>
    </row>
    <row r="701" spans="3:19" ht="13.5" customHeight="1">
      <c r="C701" s="4" t="s">
        <v>3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39">
        <v>0</v>
      </c>
      <c r="S701" s="26">
        <f>SUM(G701:R701)</f>
        <v>0</v>
      </c>
    </row>
    <row r="702" spans="3:19" ht="13.5" customHeight="1">
      <c r="C702" s="4" t="s">
        <v>4</v>
      </c>
      <c r="G702" s="48">
        <v>77.59</v>
      </c>
      <c r="J702" s="48"/>
      <c r="S702" s="26">
        <f>SUM(G702:R702)</f>
        <v>77.59</v>
      </c>
    </row>
    <row r="703" spans="3:19" ht="13.5" customHeight="1" thickBot="1">
      <c r="C703" s="4" t="s">
        <v>5</v>
      </c>
      <c r="G703" s="26">
        <v>28532.75</v>
      </c>
      <c r="H703" s="26">
        <v>28532.75</v>
      </c>
      <c r="I703" s="26">
        <v>28532.75</v>
      </c>
      <c r="J703" s="26">
        <v>28532.75</v>
      </c>
      <c r="K703" s="26">
        <v>28532.75</v>
      </c>
      <c r="L703" s="26">
        <v>28532.75</v>
      </c>
      <c r="M703" s="26">
        <v>28532.75</v>
      </c>
      <c r="N703" s="26">
        <v>28532.75</v>
      </c>
      <c r="O703" s="26">
        <v>28532.75</v>
      </c>
      <c r="P703" s="26">
        <v>28532.75</v>
      </c>
      <c r="Q703" s="26">
        <v>28532.75</v>
      </c>
      <c r="R703" s="39">
        <v>28532.75</v>
      </c>
      <c r="S703" s="26">
        <f>SUM(G703:R703)</f>
        <v>342393</v>
      </c>
    </row>
    <row r="704" spans="3:19" ht="13.5" customHeight="1" thickBot="1">
      <c r="C704" s="6" t="s">
        <v>30</v>
      </c>
      <c r="G704" s="27">
        <f aca="true" t="shared" si="97" ref="G704:S704">SUM(G701:G703)</f>
        <v>28610.34</v>
      </c>
      <c r="H704" s="27">
        <f t="shared" si="97"/>
        <v>28532.75</v>
      </c>
      <c r="I704" s="27">
        <f t="shared" si="97"/>
        <v>28532.75</v>
      </c>
      <c r="J704" s="27">
        <f t="shared" si="97"/>
        <v>28532.75</v>
      </c>
      <c r="K704" s="27">
        <f t="shared" si="97"/>
        <v>28532.75</v>
      </c>
      <c r="L704" s="27">
        <f t="shared" si="97"/>
        <v>28532.75</v>
      </c>
      <c r="M704" s="27">
        <f t="shared" si="97"/>
        <v>28532.75</v>
      </c>
      <c r="N704" s="27">
        <f t="shared" si="97"/>
        <v>28532.75</v>
      </c>
      <c r="O704" s="27">
        <f t="shared" si="97"/>
        <v>28532.75</v>
      </c>
      <c r="P704" s="27">
        <f t="shared" si="97"/>
        <v>28532.75</v>
      </c>
      <c r="Q704" s="27">
        <f t="shared" si="97"/>
        <v>28532.75</v>
      </c>
      <c r="R704" s="40">
        <f t="shared" si="97"/>
        <v>28532.75</v>
      </c>
      <c r="S704" s="27">
        <f t="shared" si="97"/>
        <v>342470.59</v>
      </c>
    </row>
    <row r="705" ht="13.5" customHeight="1">
      <c r="C705" s="12"/>
    </row>
    <row r="706" spans="1:3" ht="13.5" customHeight="1">
      <c r="A706" s="1">
        <f>A700</f>
        <v>50</v>
      </c>
      <c r="B706" s="1" t="s">
        <v>251</v>
      </c>
      <c r="C706" s="5" t="s">
        <v>222</v>
      </c>
    </row>
    <row r="707" spans="3:19" ht="13.5" customHeight="1">
      <c r="C707" s="4" t="s">
        <v>3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39">
        <v>0</v>
      </c>
      <c r="S707" s="26">
        <f>SUM(G707:R707)</f>
        <v>0</v>
      </c>
    </row>
    <row r="708" spans="3:19" ht="13.5" customHeight="1">
      <c r="C708" s="4" t="s">
        <v>4</v>
      </c>
      <c r="G708" s="48">
        <v>83.33</v>
      </c>
      <c r="J708" s="48"/>
      <c r="S708" s="26">
        <f>SUM(G708:R708)</f>
        <v>83.33</v>
      </c>
    </row>
    <row r="709" spans="3:19" ht="13.5" customHeight="1" thickBot="1">
      <c r="C709" s="4" t="s">
        <v>5</v>
      </c>
      <c r="G709" s="26">
        <v>29630.16</v>
      </c>
      <c r="H709" s="26">
        <v>29630.16</v>
      </c>
      <c r="I709" s="26">
        <v>29630.16</v>
      </c>
      <c r="J709" s="26">
        <v>29630.16</v>
      </c>
      <c r="K709" s="26">
        <v>29630.16</v>
      </c>
      <c r="L709" s="26">
        <v>29630.16</v>
      </c>
      <c r="M709" s="26">
        <v>29630.16</v>
      </c>
      <c r="N709" s="26">
        <v>29630.16</v>
      </c>
      <c r="O709" s="26">
        <v>29630.16</v>
      </c>
      <c r="P709" s="26">
        <v>29630.16</v>
      </c>
      <c r="Q709" s="26">
        <v>29630.16</v>
      </c>
      <c r="R709" s="39">
        <v>29630.16</v>
      </c>
      <c r="S709" s="26">
        <f>SUM(G709:R709)</f>
        <v>355561.9199999999</v>
      </c>
    </row>
    <row r="710" spans="3:19" ht="13.5" customHeight="1" thickBot="1">
      <c r="C710" s="6" t="s">
        <v>32</v>
      </c>
      <c r="G710" s="27">
        <f aca="true" t="shared" si="98" ref="G710:S710">SUM(G707:G709)</f>
        <v>29713.49</v>
      </c>
      <c r="H710" s="27">
        <f t="shared" si="98"/>
        <v>29630.16</v>
      </c>
      <c r="I710" s="27">
        <f t="shared" si="98"/>
        <v>29630.16</v>
      </c>
      <c r="J710" s="27">
        <f t="shared" si="98"/>
        <v>29630.16</v>
      </c>
      <c r="K710" s="27">
        <f t="shared" si="98"/>
        <v>29630.16</v>
      </c>
      <c r="L710" s="27">
        <f t="shared" si="98"/>
        <v>29630.16</v>
      </c>
      <c r="M710" s="27">
        <f t="shared" si="98"/>
        <v>29630.16</v>
      </c>
      <c r="N710" s="27">
        <f t="shared" si="98"/>
        <v>29630.16</v>
      </c>
      <c r="O710" s="27">
        <f t="shared" si="98"/>
        <v>29630.16</v>
      </c>
      <c r="P710" s="27">
        <f t="shared" si="98"/>
        <v>29630.16</v>
      </c>
      <c r="Q710" s="27">
        <f t="shared" si="98"/>
        <v>29630.16</v>
      </c>
      <c r="R710" s="40">
        <f t="shared" si="98"/>
        <v>29630.16</v>
      </c>
      <c r="S710" s="27">
        <f t="shared" si="98"/>
        <v>355645.24999999994</v>
      </c>
    </row>
    <row r="711" ht="13.5" customHeight="1">
      <c r="C711" s="12"/>
    </row>
    <row r="712" spans="1:3" ht="13.5" customHeight="1">
      <c r="A712" s="1">
        <f>A700</f>
        <v>50</v>
      </c>
      <c r="B712" s="1" t="s">
        <v>252</v>
      </c>
      <c r="C712" s="5" t="s">
        <v>223</v>
      </c>
    </row>
    <row r="713" spans="3:19" ht="13.5" customHeight="1">
      <c r="C713" s="4" t="s">
        <v>3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39">
        <v>0</v>
      </c>
      <c r="S713" s="26">
        <f>SUM(G713:R713)</f>
        <v>0</v>
      </c>
    </row>
    <row r="714" spans="3:19" ht="13.5" customHeight="1">
      <c r="C714" s="4" t="s">
        <v>4</v>
      </c>
      <c r="G714" s="48">
        <v>89.08</v>
      </c>
      <c r="J714" s="48"/>
      <c r="S714" s="26">
        <f>SUM(G714:R714)</f>
        <v>89.08</v>
      </c>
    </row>
    <row r="715" spans="3:19" ht="13.5" customHeight="1" thickBot="1">
      <c r="C715" s="4" t="s">
        <v>5</v>
      </c>
      <c r="G715" s="26">
        <v>31824.99</v>
      </c>
      <c r="H715" s="26">
        <v>31824.99</v>
      </c>
      <c r="I715" s="26">
        <v>31824.99</v>
      </c>
      <c r="J715" s="26">
        <v>31824.99</v>
      </c>
      <c r="K715" s="26">
        <v>31824.99</v>
      </c>
      <c r="L715" s="26">
        <v>31824.99</v>
      </c>
      <c r="M715" s="26">
        <v>31824.99</v>
      </c>
      <c r="N715" s="26">
        <v>31824.99</v>
      </c>
      <c r="O715" s="26">
        <v>31824.99</v>
      </c>
      <c r="P715" s="26">
        <v>31824.99</v>
      </c>
      <c r="Q715" s="26">
        <v>31824.99</v>
      </c>
      <c r="R715" s="39">
        <v>31824.99</v>
      </c>
      <c r="S715" s="26">
        <f>SUM(G715:R715)</f>
        <v>381899.87999999995</v>
      </c>
    </row>
    <row r="716" spans="3:19" ht="13.5" customHeight="1" thickBot="1">
      <c r="C716" s="6" t="s">
        <v>83</v>
      </c>
      <c r="G716" s="27">
        <f aca="true" t="shared" si="99" ref="G716:S716">SUM(G713:G715)</f>
        <v>31914.070000000003</v>
      </c>
      <c r="H716" s="27">
        <f t="shared" si="99"/>
        <v>31824.99</v>
      </c>
      <c r="I716" s="27">
        <f t="shared" si="99"/>
        <v>31824.99</v>
      </c>
      <c r="J716" s="27">
        <f t="shared" si="99"/>
        <v>31824.99</v>
      </c>
      <c r="K716" s="27">
        <f t="shared" si="99"/>
        <v>31824.99</v>
      </c>
      <c r="L716" s="27">
        <f t="shared" si="99"/>
        <v>31824.99</v>
      </c>
      <c r="M716" s="27">
        <f t="shared" si="99"/>
        <v>31824.99</v>
      </c>
      <c r="N716" s="27">
        <f t="shared" si="99"/>
        <v>31824.99</v>
      </c>
      <c r="O716" s="27">
        <f t="shared" si="99"/>
        <v>31824.99</v>
      </c>
      <c r="P716" s="27">
        <f t="shared" si="99"/>
        <v>31824.99</v>
      </c>
      <c r="Q716" s="27">
        <f t="shared" si="99"/>
        <v>31824.99</v>
      </c>
      <c r="R716" s="40">
        <f t="shared" si="99"/>
        <v>31824.99</v>
      </c>
      <c r="S716" s="27">
        <f t="shared" si="99"/>
        <v>381988.95999999996</v>
      </c>
    </row>
    <row r="717" ht="13.5" customHeight="1">
      <c r="C717" s="12"/>
    </row>
    <row r="718" spans="1:3" ht="13.5" customHeight="1">
      <c r="A718" s="1">
        <f>+A700+1</f>
        <v>51</v>
      </c>
      <c r="B718" s="45" t="s">
        <v>103</v>
      </c>
      <c r="C718" s="36" t="s">
        <v>224</v>
      </c>
    </row>
    <row r="719" spans="3:19" ht="13.5" customHeight="1">
      <c r="C719" s="4" t="s">
        <v>3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39">
        <v>0</v>
      </c>
      <c r="S719" s="26">
        <f>SUM(G719:R719)</f>
        <v>0</v>
      </c>
    </row>
    <row r="720" spans="3:19" ht="13.5" customHeight="1">
      <c r="C720" s="4" t="s">
        <v>4</v>
      </c>
      <c r="G720" s="48">
        <v>250</v>
      </c>
      <c r="J720" s="48"/>
      <c r="S720" s="26">
        <f>SUM(G720:R720)</f>
        <v>250</v>
      </c>
    </row>
    <row r="721" spans="3:19" ht="13.5" customHeight="1" thickBot="1">
      <c r="C721" s="4" t="s">
        <v>5</v>
      </c>
      <c r="G721" s="26">
        <v>19753.44</v>
      </c>
      <c r="H721" s="26">
        <v>19753.44</v>
      </c>
      <c r="I721" s="26">
        <v>19753.44</v>
      </c>
      <c r="J721" s="26">
        <v>19753.44</v>
      </c>
      <c r="K721" s="26">
        <v>19753.44</v>
      </c>
      <c r="L721" s="26">
        <v>19753.44</v>
      </c>
      <c r="M721" s="26">
        <v>19753.44</v>
      </c>
      <c r="N721" s="26">
        <v>19753.44</v>
      </c>
      <c r="O721" s="26">
        <v>19753.44</v>
      </c>
      <c r="P721" s="26">
        <v>19753.44</v>
      </c>
      <c r="Q721" s="26">
        <v>19753.44</v>
      </c>
      <c r="R721" s="39">
        <v>19753.44</v>
      </c>
      <c r="S721" s="26">
        <f>SUM(G721:R721)</f>
        <v>237041.28</v>
      </c>
    </row>
    <row r="722" spans="3:19" ht="13.5" customHeight="1" thickBot="1">
      <c r="C722" s="6" t="s">
        <v>225</v>
      </c>
      <c r="G722" s="27">
        <f aca="true" t="shared" si="100" ref="G722:S722">SUM(G719:G721)</f>
        <v>20003.44</v>
      </c>
      <c r="H722" s="27">
        <f t="shared" si="100"/>
        <v>19753.44</v>
      </c>
      <c r="I722" s="27">
        <f t="shared" si="100"/>
        <v>19753.44</v>
      </c>
      <c r="J722" s="27">
        <f t="shared" si="100"/>
        <v>19753.44</v>
      </c>
      <c r="K722" s="27">
        <f t="shared" si="100"/>
        <v>19753.44</v>
      </c>
      <c r="L722" s="27">
        <f t="shared" si="100"/>
        <v>19753.44</v>
      </c>
      <c r="M722" s="27">
        <f t="shared" si="100"/>
        <v>19753.44</v>
      </c>
      <c r="N722" s="27">
        <f t="shared" si="100"/>
        <v>19753.44</v>
      </c>
      <c r="O722" s="27">
        <f t="shared" si="100"/>
        <v>19753.44</v>
      </c>
      <c r="P722" s="27">
        <f t="shared" si="100"/>
        <v>19753.44</v>
      </c>
      <c r="Q722" s="27">
        <f t="shared" si="100"/>
        <v>19753.44</v>
      </c>
      <c r="R722" s="40">
        <f t="shared" si="100"/>
        <v>19753.44</v>
      </c>
      <c r="S722" s="27">
        <f t="shared" si="100"/>
        <v>237291.28</v>
      </c>
    </row>
    <row r="723" spans="3:19" ht="13.5" customHeight="1">
      <c r="C723" s="12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7"/>
      <c r="S723" s="46"/>
    </row>
    <row r="724" spans="1:3" ht="13.5" customHeight="1">
      <c r="A724" s="1">
        <f>A718+1</f>
        <v>52</v>
      </c>
      <c r="B724" s="21"/>
      <c r="C724" s="5" t="s">
        <v>226</v>
      </c>
    </row>
    <row r="725" spans="3:19" ht="13.5" customHeight="1">
      <c r="C725" s="4" t="s">
        <v>3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39">
        <v>0</v>
      </c>
      <c r="S725" s="26">
        <f>SUM(G725:R725)</f>
        <v>0</v>
      </c>
    </row>
    <row r="726" spans="3:19" ht="13.5" customHeight="1">
      <c r="C726" s="4" t="s">
        <v>4</v>
      </c>
      <c r="G726" s="48">
        <v>250</v>
      </c>
      <c r="J726" s="48"/>
      <c r="S726" s="26">
        <f>SUM(G726:R726)</f>
        <v>250</v>
      </c>
    </row>
    <row r="727" spans="3:19" ht="13.5" customHeight="1" thickBot="1">
      <c r="C727" s="4" t="s">
        <v>5</v>
      </c>
      <c r="G727" s="26">
        <f>58333.33+133192.5</f>
        <v>191525.83000000002</v>
      </c>
      <c r="H727" s="26">
        <f>58333.33+133192.5</f>
        <v>191525.83000000002</v>
      </c>
      <c r="I727" s="26">
        <f>58333.33+133192.5</f>
        <v>191525.83000000002</v>
      </c>
      <c r="J727" s="26">
        <f>58333.33+133192.5</f>
        <v>191525.83000000002</v>
      </c>
      <c r="K727" s="26">
        <f>58333.37+133192.5</f>
        <v>191525.87</v>
      </c>
      <c r="L727" s="26">
        <f>60416.67+130742.5</f>
        <v>191159.16999999998</v>
      </c>
      <c r="M727" s="26">
        <f aca="true" t="shared" si="101" ref="M727:R727">60416.67+130742.5</f>
        <v>191159.16999999998</v>
      </c>
      <c r="N727" s="26">
        <f t="shared" si="101"/>
        <v>191159.16999999998</v>
      </c>
      <c r="O727" s="26">
        <f t="shared" si="101"/>
        <v>191159.16999999998</v>
      </c>
      <c r="P727" s="26">
        <f t="shared" si="101"/>
        <v>191159.16999999998</v>
      </c>
      <c r="Q727" s="26">
        <f t="shared" si="101"/>
        <v>191159.16999999998</v>
      </c>
      <c r="R727" s="39">
        <f t="shared" si="101"/>
        <v>191159.16999999998</v>
      </c>
      <c r="S727" s="26">
        <f>SUM(G727:R727)</f>
        <v>2295743.38</v>
      </c>
    </row>
    <row r="728" spans="3:19" ht="13.5" customHeight="1" thickBot="1">
      <c r="C728" s="6" t="s">
        <v>116</v>
      </c>
      <c r="G728" s="27">
        <f aca="true" t="shared" si="102" ref="G728:S728">SUM(G725:G727)</f>
        <v>191775.83000000002</v>
      </c>
      <c r="H728" s="27">
        <f t="shared" si="102"/>
        <v>191525.83000000002</v>
      </c>
      <c r="I728" s="27">
        <f t="shared" si="102"/>
        <v>191525.83000000002</v>
      </c>
      <c r="J728" s="27">
        <f t="shared" si="102"/>
        <v>191525.83000000002</v>
      </c>
      <c r="K728" s="27">
        <f t="shared" si="102"/>
        <v>191525.87</v>
      </c>
      <c r="L728" s="27">
        <f t="shared" si="102"/>
        <v>191159.16999999998</v>
      </c>
      <c r="M728" s="27">
        <f t="shared" si="102"/>
        <v>191159.16999999998</v>
      </c>
      <c r="N728" s="27">
        <f t="shared" si="102"/>
        <v>191159.16999999998</v>
      </c>
      <c r="O728" s="27">
        <f t="shared" si="102"/>
        <v>191159.16999999998</v>
      </c>
      <c r="P728" s="27">
        <f t="shared" si="102"/>
        <v>191159.16999999998</v>
      </c>
      <c r="Q728" s="27">
        <f t="shared" si="102"/>
        <v>191159.16999999998</v>
      </c>
      <c r="R728" s="40">
        <f t="shared" si="102"/>
        <v>191159.16999999998</v>
      </c>
      <c r="S728" s="27">
        <f t="shared" si="102"/>
        <v>2295993.38</v>
      </c>
    </row>
    <row r="729" spans="3:19" ht="13.5" customHeight="1">
      <c r="C729" s="12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7"/>
      <c r="S729" s="46"/>
    </row>
    <row r="730" spans="1:19" ht="13.5" customHeight="1">
      <c r="A730" s="1">
        <f>A724+1</f>
        <v>53</v>
      </c>
      <c r="B730" s="21"/>
      <c r="C730" s="5" t="s">
        <v>227</v>
      </c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7"/>
      <c r="S730" s="46"/>
    </row>
    <row r="731" spans="3:19" ht="13.5" customHeight="1">
      <c r="C731" s="4" t="s">
        <v>3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39">
        <v>0</v>
      </c>
      <c r="S731" s="26">
        <f>SUM(G731:R731)</f>
        <v>0</v>
      </c>
    </row>
    <row r="732" spans="3:19" ht="13.5" customHeight="1">
      <c r="C732" s="4" t="s">
        <v>4</v>
      </c>
      <c r="G732" s="48">
        <v>250</v>
      </c>
      <c r="J732" s="48"/>
      <c r="M732" s="48"/>
      <c r="S732" s="26">
        <f>SUM(G732:R732)</f>
        <v>250</v>
      </c>
    </row>
    <row r="733" spans="3:19" ht="13.5" customHeight="1" thickBot="1">
      <c r="C733" s="4" t="s">
        <v>5</v>
      </c>
      <c r="G733" s="26">
        <f>13711.75+17596.68</f>
        <v>31308.43</v>
      </c>
      <c r="H733" s="26">
        <f>13711.75+17596.68</f>
        <v>31308.43</v>
      </c>
      <c r="I733" s="26">
        <f>13711.75+17596.68</f>
        <v>31308.43</v>
      </c>
      <c r="J733" s="26">
        <f>13711.75+17596.68</f>
        <v>31308.43</v>
      </c>
      <c r="K733" s="26">
        <f>13711.75+17596.68</f>
        <v>31308.43</v>
      </c>
      <c r="L733" s="26">
        <f>14191.66+17116.77</f>
        <v>31308.43</v>
      </c>
      <c r="M733" s="26">
        <f aca="true" t="shared" si="103" ref="M733:R733">14191.66+17116.77</f>
        <v>31308.43</v>
      </c>
      <c r="N733" s="26">
        <f t="shared" si="103"/>
        <v>31308.43</v>
      </c>
      <c r="O733" s="26">
        <f t="shared" si="103"/>
        <v>31308.43</v>
      </c>
      <c r="P733" s="26">
        <f t="shared" si="103"/>
        <v>31308.43</v>
      </c>
      <c r="Q733" s="26">
        <f t="shared" si="103"/>
        <v>31308.43</v>
      </c>
      <c r="R733" s="39">
        <f t="shared" si="103"/>
        <v>31308.43</v>
      </c>
      <c r="S733" s="26">
        <f>SUM(G733:R733)</f>
        <v>375701.16</v>
      </c>
    </row>
    <row r="734" spans="3:19" ht="13.5" customHeight="1" thickBot="1">
      <c r="C734" s="6" t="s">
        <v>111</v>
      </c>
      <c r="G734" s="27">
        <f aca="true" t="shared" si="104" ref="G734:S734">SUM(G731:G733)</f>
        <v>31558.43</v>
      </c>
      <c r="H734" s="27">
        <f t="shared" si="104"/>
        <v>31308.43</v>
      </c>
      <c r="I734" s="27">
        <f t="shared" si="104"/>
        <v>31308.43</v>
      </c>
      <c r="J734" s="27">
        <f t="shared" si="104"/>
        <v>31308.43</v>
      </c>
      <c r="K734" s="27">
        <f t="shared" si="104"/>
        <v>31308.43</v>
      </c>
      <c r="L734" s="27">
        <f t="shared" si="104"/>
        <v>31308.43</v>
      </c>
      <c r="M734" s="27">
        <f t="shared" si="104"/>
        <v>31308.43</v>
      </c>
      <c r="N734" s="27">
        <f t="shared" si="104"/>
        <v>31308.43</v>
      </c>
      <c r="O734" s="27">
        <f t="shared" si="104"/>
        <v>31308.43</v>
      </c>
      <c r="P734" s="27">
        <f t="shared" si="104"/>
        <v>31308.43</v>
      </c>
      <c r="Q734" s="27">
        <f t="shared" si="104"/>
        <v>31308.43</v>
      </c>
      <c r="R734" s="40">
        <f t="shared" si="104"/>
        <v>31308.43</v>
      </c>
      <c r="S734" s="27">
        <f t="shared" si="104"/>
        <v>375951.16</v>
      </c>
    </row>
    <row r="735" spans="3:19" ht="13.5" customHeight="1">
      <c r="C735" s="12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7"/>
      <c r="S735" s="46"/>
    </row>
    <row r="736" spans="2:19" ht="13.5" customHeight="1">
      <c r="B736" s="42" t="s">
        <v>105</v>
      </c>
      <c r="C736" s="30" t="s">
        <v>228</v>
      </c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7"/>
      <c r="S736" s="46"/>
    </row>
    <row r="737" spans="3:19" ht="13.5" customHeight="1">
      <c r="C737" s="4" t="s">
        <v>3</v>
      </c>
      <c r="S737"/>
    </row>
    <row r="738" spans="3:19" ht="13.5" customHeight="1">
      <c r="C738" s="4" t="s">
        <v>4</v>
      </c>
      <c r="S738"/>
    </row>
    <row r="739" spans="3:19" ht="13.5" customHeight="1" thickBot="1">
      <c r="C739" s="4" t="s">
        <v>5</v>
      </c>
      <c r="S739"/>
    </row>
    <row r="740" spans="3:19" ht="13.5" customHeight="1" thickBot="1">
      <c r="C740" s="6" t="s">
        <v>229</v>
      </c>
      <c r="S740"/>
    </row>
    <row r="741" spans="3:19" ht="13.5" customHeight="1">
      <c r="C741" s="12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7"/>
      <c r="S741" s="46"/>
    </row>
    <row r="742" spans="1:19" ht="13.5" customHeight="1">
      <c r="A742" s="1">
        <f>A730+1</f>
        <v>54</v>
      </c>
      <c r="B742" s="21"/>
      <c r="C742" s="5" t="s">
        <v>188</v>
      </c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7"/>
      <c r="S742" s="46"/>
    </row>
    <row r="743" spans="3:19" ht="13.5" customHeight="1">
      <c r="C743" s="4" t="s">
        <v>3</v>
      </c>
      <c r="G743" s="26">
        <v>255.83</v>
      </c>
      <c r="H743" s="26">
        <v>255.83</v>
      </c>
      <c r="I743" s="26">
        <v>255.83</v>
      </c>
      <c r="J743" s="26">
        <v>255.83</v>
      </c>
      <c r="K743" s="26">
        <v>255.83</v>
      </c>
      <c r="L743" s="26">
        <v>250</v>
      </c>
      <c r="M743" s="26">
        <v>250</v>
      </c>
      <c r="N743" s="26">
        <v>250</v>
      </c>
      <c r="O743" s="26">
        <v>250</v>
      </c>
      <c r="P743" s="26">
        <v>250</v>
      </c>
      <c r="Q743" s="26">
        <v>250</v>
      </c>
      <c r="R743" s="39">
        <v>250</v>
      </c>
      <c r="S743" s="26">
        <f>SUM(G743:R743)</f>
        <v>3029.15</v>
      </c>
    </row>
    <row r="744" spans="3:19" ht="13.5" customHeight="1">
      <c r="C744" s="4" t="s">
        <v>4</v>
      </c>
      <c r="G744" s="48">
        <v>250</v>
      </c>
      <c r="J744" s="48"/>
      <c r="M744" s="48"/>
      <c r="S744" s="26">
        <f>SUM(G744:R744)</f>
        <v>250</v>
      </c>
    </row>
    <row r="745" spans="3:19" ht="13.5" customHeight="1" thickBot="1">
      <c r="C745" s="4" t="s">
        <v>5</v>
      </c>
      <c r="G745" s="26">
        <f>5833.33+8994.27</f>
        <v>14827.6</v>
      </c>
      <c r="H745" s="26">
        <f>5833.33+8994.27</f>
        <v>14827.6</v>
      </c>
      <c r="I745" s="26">
        <f>5833.33+8994.27</f>
        <v>14827.6</v>
      </c>
      <c r="J745" s="26">
        <f>5833.33+8994.27</f>
        <v>14827.6</v>
      </c>
      <c r="K745" s="26">
        <f>5833.33+8994.27</f>
        <v>14827.6</v>
      </c>
      <c r="L745" s="26">
        <f>5833.37+8994.28</f>
        <v>14827.650000000001</v>
      </c>
      <c r="M745" s="26">
        <f>5833.33+8877.61</f>
        <v>14710.94</v>
      </c>
      <c r="N745" s="26">
        <f>5833.33+8877.61</f>
        <v>14710.94</v>
      </c>
      <c r="O745" s="26">
        <f>5833.33+8877.61</f>
        <v>14710.94</v>
      </c>
      <c r="P745" s="26">
        <f>5833.33+8877.61</f>
        <v>14710.94</v>
      </c>
      <c r="Q745" s="26">
        <f>5833.33+8877.61</f>
        <v>14710.94</v>
      </c>
      <c r="R745" s="39">
        <f>5833.33+8877.58</f>
        <v>14710.91</v>
      </c>
      <c r="S745" s="26">
        <f>SUM(G745:R745)</f>
        <v>177231.26</v>
      </c>
    </row>
    <row r="746" spans="3:19" ht="13.5" customHeight="1" thickBot="1">
      <c r="C746" s="6" t="s">
        <v>189</v>
      </c>
      <c r="G746" s="27">
        <f aca="true" t="shared" si="105" ref="G746:S746">SUM(G743:G745)</f>
        <v>15333.43</v>
      </c>
      <c r="H746" s="27">
        <f t="shared" si="105"/>
        <v>15083.43</v>
      </c>
      <c r="I746" s="27">
        <f t="shared" si="105"/>
        <v>15083.43</v>
      </c>
      <c r="J746" s="27">
        <f t="shared" si="105"/>
        <v>15083.43</v>
      </c>
      <c r="K746" s="27">
        <f t="shared" si="105"/>
        <v>15083.43</v>
      </c>
      <c r="L746" s="27">
        <f t="shared" si="105"/>
        <v>15077.650000000001</v>
      </c>
      <c r="M746" s="27">
        <f t="shared" si="105"/>
        <v>14960.94</v>
      </c>
      <c r="N746" s="27">
        <f t="shared" si="105"/>
        <v>14960.94</v>
      </c>
      <c r="O746" s="27">
        <f t="shared" si="105"/>
        <v>14960.94</v>
      </c>
      <c r="P746" s="27">
        <f t="shared" si="105"/>
        <v>14960.94</v>
      </c>
      <c r="Q746" s="27">
        <f t="shared" si="105"/>
        <v>14960.94</v>
      </c>
      <c r="R746" s="40">
        <f t="shared" si="105"/>
        <v>14960.91</v>
      </c>
      <c r="S746" s="27">
        <f t="shared" si="105"/>
        <v>180510.41</v>
      </c>
    </row>
    <row r="747" spans="3:19" ht="13.5" customHeight="1">
      <c r="C747" s="12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7"/>
      <c r="S747" s="46"/>
    </row>
    <row r="748" spans="1:19" ht="13.5" customHeight="1">
      <c r="A748" s="1">
        <f>A742+1</f>
        <v>55</v>
      </c>
      <c r="B748" s="21"/>
      <c r="C748" s="5" t="s">
        <v>230</v>
      </c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7"/>
      <c r="S748" s="46"/>
    </row>
    <row r="749" spans="3:19" ht="13.5" customHeight="1">
      <c r="C749" s="4" t="s">
        <v>3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39">
        <v>0</v>
      </c>
      <c r="S749" s="26">
        <f>SUM(G749:R749)</f>
        <v>0</v>
      </c>
    </row>
    <row r="750" spans="3:19" ht="13.5" customHeight="1">
      <c r="C750" s="4" t="s">
        <v>4</v>
      </c>
      <c r="G750" s="48">
        <v>250</v>
      </c>
      <c r="J750" s="48"/>
      <c r="M750" s="48"/>
      <c r="S750" s="26">
        <f>SUM(G750:R750)</f>
        <v>250</v>
      </c>
    </row>
    <row r="751" spans="3:19" ht="13.5" customHeight="1" thickBot="1">
      <c r="C751" s="4" t="s">
        <v>5</v>
      </c>
      <c r="G751" s="26">
        <f aca="true" t="shared" si="106" ref="G751:O751">10000+40645.83</f>
        <v>50645.83</v>
      </c>
      <c r="H751" s="26">
        <f t="shared" si="106"/>
        <v>50645.83</v>
      </c>
      <c r="I751" s="26">
        <f t="shared" si="106"/>
        <v>50645.83</v>
      </c>
      <c r="J751" s="26">
        <f>10000+40645.85</f>
        <v>50645.85</v>
      </c>
      <c r="K751" s="26">
        <f t="shared" si="106"/>
        <v>50645.83</v>
      </c>
      <c r="L751" s="26">
        <f t="shared" si="106"/>
        <v>50645.83</v>
      </c>
      <c r="M751" s="26">
        <f t="shared" si="106"/>
        <v>50645.83</v>
      </c>
      <c r="N751" s="26">
        <f t="shared" si="106"/>
        <v>50645.83</v>
      </c>
      <c r="O751" s="26">
        <f t="shared" si="106"/>
        <v>50645.83</v>
      </c>
      <c r="P751" s="26">
        <f>10000+40645.85</f>
        <v>50645.85</v>
      </c>
      <c r="Q751" s="26">
        <f>10833.33+39945.83</f>
        <v>50779.16</v>
      </c>
      <c r="R751" s="39">
        <f>10833.33+39945.83</f>
        <v>50779.16</v>
      </c>
      <c r="S751" s="26">
        <f>SUM(G751:R751)</f>
        <v>608016.66</v>
      </c>
    </row>
    <row r="752" spans="3:19" ht="13.5" customHeight="1" thickBot="1">
      <c r="C752" s="6" t="s">
        <v>187</v>
      </c>
      <c r="G752" s="27">
        <f aca="true" t="shared" si="107" ref="G752:S752">SUM(G749:G751)</f>
        <v>50895.83</v>
      </c>
      <c r="H752" s="27">
        <f t="shared" si="107"/>
        <v>50645.83</v>
      </c>
      <c r="I752" s="27">
        <f t="shared" si="107"/>
        <v>50645.83</v>
      </c>
      <c r="J752" s="27">
        <f t="shared" si="107"/>
        <v>50645.85</v>
      </c>
      <c r="K752" s="27">
        <f t="shared" si="107"/>
        <v>50645.83</v>
      </c>
      <c r="L752" s="27">
        <f t="shared" si="107"/>
        <v>50645.83</v>
      </c>
      <c r="M752" s="27">
        <f t="shared" si="107"/>
        <v>50645.83</v>
      </c>
      <c r="N752" s="27">
        <f t="shared" si="107"/>
        <v>50645.83</v>
      </c>
      <c r="O752" s="27">
        <f t="shared" si="107"/>
        <v>50645.83</v>
      </c>
      <c r="P752" s="27">
        <f t="shared" si="107"/>
        <v>50645.85</v>
      </c>
      <c r="Q752" s="27">
        <f t="shared" si="107"/>
        <v>50779.16</v>
      </c>
      <c r="R752" s="40">
        <f t="shared" si="107"/>
        <v>50779.16</v>
      </c>
      <c r="S752" s="27">
        <f t="shared" si="107"/>
        <v>608266.66</v>
      </c>
    </row>
    <row r="753" spans="3:19" ht="13.5" customHeight="1">
      <c r="C753" s="12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7"/>
      <c r="S753" s="46"/>
    </row>
    <row r="754" spans="1:19" ht="13.5" customHeight="1">
      <c r="A754" s="1">
        <f>A748+1</f>
        <v>56</v>
      </c>
      <c r="B754" s="21"/>
      <c r="C754" s="5" t="s">
        <v>231</v>
      </c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  <c r="S754" s="46"/>
    </row>
    <row r="755" spans="3:19" ht="13.5" customHeight="1">
      <c r="C755" s="4" t="s">
        <v>3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39">
        <v>0</v>
      </c>
      <c r="S755" s="26">
        <f>SUM(G755:R755)</f>
        <v>0</v>
      </c>
    </row>
    <row r="756" spans="3:19" ht="13.5" customHeight="1">
      <c r="C756" s="4" t="s">
        <v>4</v>
      </c>
      <c r="G756" s="48">
        <v>250</v>
      </c>
      <c r="J756" s="48"/>
      <c r="M756" s="48"/>
      <c r="P756" s="48"/>
      <c r="S756" s="26">
        <f>SUM(G756:R756)</f>
        <v>250</v>
      </c>
    </row>
    <row r="757" spans="3:19" ht="13.5" customHeight="1" thickBot="1">
      <c r="C757" s="4" t="s">
        <v>5</v>
      </c>
      <c r="G757" s="26">
        <f aca="true" t="shared" si="108" ref="G757:Q757">5000+23637.5</f>
        <v>28637.5</v>
      </c>
      <c r="H757" s="26">
        <f t="shared" si="108"/>
        <v>28637.5</v>
      </c>
      <c r="I757" s="26">
        <f t="shared" si="108"/>
        <v>28637.5</v>
      </c>
      <c r="J757" s="26">
        <f t="shared" si="108"/>
        <v>28637.5</v>
      </c>
      <c r="K757" s="26">
        <f t="shared" si="108"/>
        <v>28637.5</v>
      </c>
      <c r="L757" s="26">
        <f t="shared" si="108"/>
        <v>28637.5</v>
      </c>
      <c r="M757" s="26">
        <f t="shared" si="108"/>
        <v>28637.5</v>
      </c>
      <c r="N757" s="26">
        <f t="shared" si="108"/>
        <v>28637.5</v>
      </c>
      <c r="O757" s="26">
        <f t="shared" si="108"/>
        <v>28637.5</v>
      </c>
      <c r="P757" s="26">
        <f t="shared" si="108"/>
        <v>28637.5</v>
      </c>
      <c r="Q757" s="26">
        <f t="shared" si="108"/>
        <v>28637.5</v>
      </c>
      <c r="R757" s="39">
        <f>5416.67+23375</f>
        <v>28791.67</v>
      </c>
      <c r="S757" s="26">
        <f>SUM(G757:R757)</f>
        <v>343804.17</v>
      </c>
    </row>
    <row r="758" spans="3:19" ht="13.5" customHeight="1" thickBot="1">
      <c r="C758" s="6" t="s">
        <v>232</v>
      </c>
      <c r="G758" s="27">
        <f aca="true" t="shared" si="109" ref="G758:S758">SUM(G755:G757)</f>
        <v>28887.5</v>
      </c>
      <c r="H758" s="27">
        <f t="shared" si="109"/>
        <v>28637.5</v>
      </c>
      <c r="I758" s="27">
        <f t="shared" si="109"/>
        <v>28637.5</v>
      </c>
      <c r="J758" s="27">
        <f t="shared" si="109"/>
        <v>28637.5</v>
      </c>
      <c r="K758" s="27">
        <f t="shared" si="109"/>
        <v>28637.5</v>
      </c>
      <c r="L758" s="27">
        <f t="shared" si="109"/>
        <v>28637.5</v>
      </c>
      <c r="M758" s="27">
        <f t="shared" si="109"/>
        <v>28637.5</v>
      </c>
      <c r="N758" s="27">
        <f t="shared" si="109"/>
        <v>28637.5</v>
      </c>
      <c r="O758" s="27">
        <f t="shared" si="109"/>
        <v>28637.5</v>
      </c>
      <c r="P758" s="27">
        <f t="shared" si="109"/>
        <v>28637.5</v>
      </c>
      <c r="Q758" s="27">
        <f t="shared" si="109"/>
        <v>28637.5</v>
      </c>
      <c r="R758" s="40">
        <f t="shared" si="109"/>
        <v>28791.67</v>
      </c>
      <c r="S758" s="27">
        <f t="shared" si="109"/>
        <v>344054.17</v>
      </c>
    </row>
    <row r="759" spans="3:19" ht="13.5" customHeight="1">
      <c r="C759" s="12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7"/>
      <c r="S759" s="46"/>
    </row>
    <row r="760" spans="1:19" ht="13.5" customHeight="1">
      <c r="A760" s="1">
        <f>A754+1</f>
        <v>57</v>
      </c>
      <c r="B760" s="21"/>
      <c r="C760" s="5" t="s">
        <v>233</v>
      </c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7"/>
      <c r="S760" s="46"/>
    </row>
    <row r="761" spans="3:19" ht="13.5" customHeight="1">
      <c r="C761" s="4" t="s">
        <v>3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39">
        <v>0</v>
      </c>
      <c r="S761" s="26">
        <f>SUM(G761:R761)</f>
        <v>0</v>
      </c>
    </row>
    <row r="762" spans="3:19" ht="13.5" customHeight="1">
      <c r="C762" s="4" t="s">
        <v>4</v>
      </c>
      <c r="G762" s="48">
        <v>250</v>
      </c>
      <c r="J762" s="48"/>
      <c r="M762" s="48"/>
      <c r="P762" s="48"/>
      <c r="S762" s="26">
        <f>SUM(G762:R762)</f>
        <v>250</v>
      </c>
    </row>
    <row r="763" spans="3:19" ht="13.5" customHeight="1" thickBot="1">
      <c r="C763" s="4" t="s">
        <v>5</v>
      </c>
      <c r="G763" s="26">
        <f aca="true" t="shared" si="110" ref="G763:N763">25000+87421.25</f>
        <v>112421.25</v>
      </c>
      <c r="H763" s="26">
        <f t="shared" si="110"/>
        <v>112421.25</v>
      </c>
      <c r="I763" s="26">
        <f t="shared" si="110"/>
        <v>112421.25</v>
      </c>
      <c r="J763" s="26">
        <f t="shared" si="110"/>
        <v>112421.25</v>
      </c>
      <c r="K763" s="26">
        <f t="shared" si="110"/>
        <v>112421.25</v>
      </c>
      <c r="L763" s="26">
        <f t="shared" si="110"/>
        <v>112421.25</v>
      </c>
      <c r="M763" s="26">
        <f t="shared" si="110"/>
        <v>112421.25</v>
      </c>
      <c r="N763" s="26">
        <f t="shared" si="110"/>
        <v>112421.25</v>
      </c>
      <c r="O763" s="26">
        <f>27916.67+86208.75</f>
        <v>114125.42</v>
      </c>
      <c r="P763" s="26">
        <f>27916.67+86208.75</f>
        <v>114125.42</v>
      </c>
      <c r="Q763" s="26">
        <f>27916.67+86208.75</f>
        <v>114125.42</v>
      </c>
      <c r="R763" s="39">
        <f>27916.67+86208.75</f>
        <v>114125.42</v>
      </c>
      <c r="S763" s="26">
        <f>SUM(G763:R763)</f>
        <v>1355871.68</v>
      </c>
    </row>
    <row r="764" spans="3:19" ht="13.5" customHeight="1" thickBot="1">
      <c r="C764" s="6" t="s">
        <v>183</v>
      </c>
      <c r="G764" s="27">
        <f aca="true" t="shared" si="111" ref="G764:S764">SUM(G761:G763)</f>
        <v>112671.25</v>
      </c>
      <c r="H764" s="27">
        <f t="shared" si="111"/>
        <v>112421.25</v>
      </c>
      <c r="I764" s="27">
        <f t="shared" si="111"/>
        <v>112421.25</v>
      </c>
      <c r="J764" s="27">
        <f t="shared" si="111"/>
        <v>112421.25</v>
      </c>
      <c r="K764" s="27">
        <f t="shared" si="111"/>
        <v>112421.25</v>
      </c>
      <c r="L764" s="27">
        <f t="shared" si="111"/>
        <v>112421.25</v>
      </c>
      <c r="M764" s="27">
        <f t="shared" si="111"/>
        <v>112421.25</v>
      </c>
      <c r="N764" s="27">
        <f t="shared" si="111"/>
        <v>112421.25</v>
      </c>
      <c r="O764" s="27">
        <f t="shared" si="111"/>
        <v>114125.42</v>
      </c>
      <c r="P764" s="27">
        <f t="shared" si="111"/>
        <v>114125.42</v>
      </c>
      <c r="Q764" s="27">
        <f t="shared" si="111"/>
        <v>114125.42</v>
      </c>
      <c r="R764" s="40">
        <f t="shared" si="111"/>
        <v>114125.42</v>
      </c>
      <c r="S764" s="27">
        <f t="shared" si="111"/>
        <v>1356121.68</v>
      </c>
    </row>
    <row r="765" spans="3:19" ht="13.5" customHeight="1">
      <c r="C765" s="12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7"/>
      <c r="S765" s="46"/>
    </row>
    <row r="766" spans="1:19" ht="13.5" customHeight="1">
      <c r="A766" s="1">
        <f>A760+1</f>
        <v>58</v>
      </c>
      <c r="B766" s="21"/>
      <c r="C766" s="5" t="s">
        <v>234</v>
      </c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7"/>
      <c r="S766" s="46"/>
    </row>
    <row r="767" spans="3:19" ht="13.5" customHeight="1">
      <c r="C767" s="4" t="s">
        <v>3</v>
      </c>
      <c r="G767" s="26">
        <v>1595</v>
      </c>
      <c r="H767" s="26">
        <v>1595</v>
      </c>
      <c r="I767" s="26">
        <v>1595</v>
      </c>
      <c r="J767" s="26">
        <v>1595</v>
      </c>
      <c r="K767" s="26">
        <v>1595</v>
      </c>
      <c r="L767" s="26">
        <v>1595</v>
      </c>
      <c r="M767" s="26">
        <v>1595</v>
      </c>
      <c r="N767" s="26">
        <v>1595</v>
      </c>
      <c r="O767" s="26">
        <v>1568.33</v>
      </c>
      <c r="P767" s="26">
        <v>1568.33</v>
      </c>
      <c r="Q767" s="26">
        <v>1568.33</v>
      </c>
      <c r="R767" s="39">
        <v>1568.33</v>
      </c>
      <c r="S767" s="26">
        <f>SUM(G767:R767)</f>
        <v>19033.32</v>
      </c>
    </row>
    <row r="768" spans="3:19" ht="13.5" customHeight="1">
      <c r="C768" s="4" t="s">
        <v>4</v>
      </c>
      <c r="G768" s="48">
        <v>250</v>
      </c>
      <c r="J768" s="48"/>
      <c r="M768" s="48"/>
      <c r="P768" s="48"/>
      <c r="Q768" s="48"/>
      <c r="S768" s="26">
        <f>SUM(G768:R768)</f>
        <v>250</v>
      </c>
    </row>
    <row r="769" spans="3:19" ht="13.5" customHeight="1" thickBot="1">
      <c r="C769" s="4" t="s">
        <v>5</v>
      </c>
      <c r="G769" s="26">
        <f>27500+68475</f>
        <v>95975</v>
      </c>
      <c r="H769" s="26">
        <f aca="true" t="shared" si="112" ref="H769:R769">27500+68475</f>
        <v>95975</v>
      </c>
      <c r="I769" s="26">
        <f t="shared" si="112"/>
        <v>95975</v>
      </c>
      <c r="J769" s="26">
        <f t="shared" si="112"/>
        <v>95975</v>
      </c>
      <c r="K769" s="26">
        <f t="shared" si="112"/>
        <v>95975</v>
      </c>
      <c r="L769" s="26">
        <f t="shared" si="112"/>
        <v>95975</v>
      </c>
      <c r="M769" s="26">
        <f t="shared" si="112"/>
        <v>95975</v>
      </c>
      <c r="N769" s="26">
        <f t="shared" si="112"/>
        <v>95975</v>
      </c>
      <c r="O769" s="26">
        <f t="shared" si="112"/>
        <v>95975</v>
      </c>
      <c r="P769" s="26">
        <f t="shared" si="112"/>
        <v>95975</v>
      </c>
      <c r="Q769" s="26">
        <f t="shared" si="112"/>
        <v>95975</v>
      </c>
      <c r="R769" s="39">
        <f t="shared" si="112"/>
        <v>95975</v>
      </c>
      <c r="S769" s="26">
        <f>SUM(G769:R769)</f>
        <v>1151700</v>
      </c>
    </row>
    <row r="770" spans="3:19" ht="13.5" customHeight="1" thickBot="1">
      <c r="C770" s="6" t="s">
        <v>235</v>
      </c>
      <c r="G770" s="27">
        <f aca="true" t="shared" si="113" ref="G770:S770">SUM(G767:G769)</f>
        <v>97820</v>
      </c>
      <c r="H770" s="27">
        <f t="shared" si="113"/>
        <v>97570</v>
      </c>
      <c r="I770" s="27">
        <f t="shared" si="113"/>
        <v>97570</v>
      </c>
      <c r="J770" s="27">
        <f t="shared" si="113"/>
        <v>97570</v>
      </c>
      <c r="K770" s="27">
        <f t="shared" si="113"/>
        <v>97570</v>
      </c>
      <c r="L770" s="27">
        <f t="shared" si="113"/>
        <v>97570</v>
      </c>
      <c r="M770" s="27">
        <f t="shared" si="113"/>
        <v>97570</v>
      </c>
      <c r="N770" s="27">
        <f t="shared" si="113"/>
        <v>97570</v>
      </c>
      <c r="O770" s="27">
        <f t="shared" si="113"/>
        <v>97543.33</v>
      </c>
      <c r="P770" s="27">
        <f t="shared" si="113"/>
        <v>97543.33</v>
      </c>
      <c r="Q770" s="27">
        <f t="shared" si="113"/>
        <v>97543.33</v>
      </c>
      <c r="R770" s="40">
        <f t="shared" si="113"/>
        <v>97543.33</v>
      </c>
      <c r="S770" s="27">
        <f t="shared" si="113"/>
        <v>1170983.32</v>
      </c>
    </row>
    <row r="771" spans="3:19" ht="13.5" customHeight="1">
      <c r="C771" s="12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7"/>
      <c r="S771" s="46"/>
    </row>
    <row r="772" spans="1:19" ht="13.5" customHeight="1">
      <c r="A772" s="1">
        <f>A766+1</f>
        <v>59</v>
      </c>
      <c r="B772" s="21"/>
      <c r="C772" s="5" t="s">
        <v>236</v>
      </c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7"/>
      <c r="S772" s="46"/>
    </row>
    <row r="773" spans="3:19" ht="13.5" customHeight="1">
      <c r="C773" s="4" t="s">
        <v>3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39">
        <v>0</v>
      </c>
      <c r="S773" s="26">
        <f>SUM(G773:R773)</f>
        <v>0</v>
      </c>
    </row>
    <row r="774" spans="3:19" ht="13.5" customHeight="1">
      <c r="C774" s="4" t="s">
        <v>4</v>
      </c>
      <c r="G774" s="48">
        <v>250</v>
      </c>
      <c r="J774" s="48"/>
      <c r="M774" s="48"/>
      <c r="P774" s="48"/>
      <c r="Q774" s="48"/>
      <c r="S774" s="26">
        <f>SUM(G774:R774)</f>
        <v>250</v>
      </c>
    </row>
    <row r="775" spans="3:19" ht="13.5" customHeight="1" thickBot="1">
      <c r="C775" s="4" t="s">
        <v>5</v>
      </c>
      <c r="G775" s="26">
        <v>50618.3</v>
      </c>
      <c r="H775" s="26">
        <v>50618.3</v>
      </c>
      <c r="I775" s="26">
        <v>50618.3</v>
      </c>
      <c r="J775" s="26">
        <v>50618.3</v>
      </c>
      <c r="K775" s="26">
        <v>50618.3</v>
      </c>
      <c r="L775" s="26">
        <v>50618.3</v>
      </c>
      <c r="M775" s="26">
        <v>50618.3</v>
      </c>
      <c r="N775" s="26">
        <v>50618.3</v>
      </c>
      <c r="O775" s="26">
        <v>50618.3</v>
      </c>
      <c r="P775" s="26">
        <v>50618.3</v>
      </c>
      <c r="Q775" s="26">
        <v>50618.38</v>
      </c>
      <c r="R775" s="39">
        <v>50618.38</v>
      </c>
      <c r="S775" s="26">
        <f>SUM(G775:R775)</f>
        <v>607419.7599999999</v>
      </c>
    </row>
    <row r="776" spans="3:19" ht="13.5" customHeight="1" thickBot="1">
      <c r="C776" s="6" t="s">
        <v>163</v>
      </c>
      <c r="G776" s="27">
        <f aca="true" t="shared" si="114" ref="G776:S776">SUM(G773:G775)</f>
        <v>50868.3</v>
      </c>
      <c r="H776" s="27">
        <f t="shared" si="114"/>
        <v>50618.3</v>
      </c>
      <c r="I776" s="27">
        <f t="shared" si="114"/>
        <v>50618.3</v>
      </c>
      <c r="J776" s="27">
        <f t="shared" si="114"/>
        <v>50618.3</v>
      </c>
      <c r="K776" s="27">
        <f t="shared" si="114"/>
        <v>50618.3</v>
      </c>
      <c r="L776" s="27">
        <f t="shared" si="114"/>
        <v>50618.3</v>
      </c>
      <c r="M776" s="27">
        <f t="shared" si="114"/>
        <v>50618.3</v>
      </c>
      <c r="N776" s="27">
        <f t="shared" si="114"/>
        <v>50618.3</v>
      </c>
      <c r="O776" s="27">
        <f t="shared" si="114"/>
        <v>50618.3</v>
      </c>
      <c r="P776" s="27">
        <f t="shared" si="114"/>
        <v>50618.3</v>
      </c>
      <c r="Q776" s="27">
        <f t="shared" si="114"/>
        <v>50618.38</v>
      </c>
      <c r="R776" s="40">
        <f t="shared" si="114"/>
        <v>50618.38</v>
      </c>
      <c r="S776" s="27">
        <f t="shared" si="114"/>
        <v>607669.7599999999</v>
      </c>
    </row>
    <row r="777" spans="3:19" ht="13.5" customHeight="1">
      <c r="C777" s="12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7"/>
      <c r="S777" s="46"/>
    </row>
    <row r="778" spans="1:19" ht="13.5" customHeight="1">
      <c r="A778" s="1">
        <f>A772+1</f>
        <v>60</v>
      </c>
      <c r="B778" s="21"/>
      <c r="C778" s="5" t="s">
        <v>237</v>
      </c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7"/>
      <c r="S778" s="46"/>
    </row>
    <row r="779" spans="3:19" ht="13.5" customHeight="1">
      <c r="C779" s="4" t="s">
        <v>3</v>
      </c>
      <c r="G779" s="26">
        <v>2093.33</v>
      </c>
      <c r="H779" s="26">
        <v>2093.33</v>
      </c>
      <c r="I779" s="26">
        <v>2093.33</v>
      </c>
      <c r="J779" s="26">
        <v>2093.33</v>
      </c>
      <c r="K779" s="26">
        <v>2093.33</v>
      </c>
      <c r="L779" s="26">
        <v>2093.33</v>
      </c>
      <c r="M779" s="26">
        <v>2093.33</v>
      </c>
      <c r="N779" s="26">
        <v>2093.33</v>
      </c>
      <c r="O779" s="26">
        <v>2093.33</v>
      </c>
      <c r="P779" s="26">
        <v>2093.33</v>
      </c>
      <c r="Q779" s="26">
        <v>2056.67</v>
      </c>
      <c r="R779" s="39">
        <v>2056.67</v>
      </c>
      <c r="S779" s="26">
        <f>SUM(G779:R779)</f>
        <v>25046.64</v>
      </c>
    </row>
    <row r="780" spans="3:19" ht="13.5" customHeight="1">
      <c r="C780" s="4" t="s">
        <v>4</v>
      </c>
      <c r="G780" s="48">
        <v>250</v>
      </c>
      <c r="J780" s="48"/>
      <c r="M780" s="48"/>
      <c r="P780" s="48"/>
      <c r="Q780" s="48"/>
      <c r="S780" s="26">
        <f>SUM(G780:R780)</f>
        <v>250</v>
      </c>
    </row>
    <row r="781" spans="3:19" ht="13.5" customHeight="1" thickBot="1">
      <c r="C781" s="4" t="s">
        <v>5</v>
      </c>
      <c r="G781" s="26">
        <f aca="true" t="shared" si="115" ref="G781:P781">36666.67+81925</f>
        <v>118591.67</v>
      </c>
      <c r="H781" s="26">
        <f t="shared" si="115"/>
        <v>118591.67</v>
      </c>
      <c r="I781" s="26">
        <f t="shared" si="115"/>
        <v>118591.67</v>
      </c>
      <c r="J781" s="26">
        <f t="shared" si="115"/>
        <v>118591.67</v>
      </c>
      <c r="K781" s="26">
        <f t="shared" si="115"/>
        <v>118591.67</v>
      </c>
      <c r="L781" s="26">
        <f t="shared" si="115"/>
        <v>118591.67</v>
      </c>
      <c r="M781" s="26">
        <f t="shared" si="115"/>
        <v>118591.67</v>
      </c>
      <c r="N781" s="26">
        <f t="shared" si="115"/>
        <v>118591.67</v>
      </c>
      <c r="O781" s="26">
        <f t="shared" si="115"/>
        <v>118591.67</v>
      </c>
      <c r="P781" s="26">
        <f t="shared" si="115"/>
        <v>118591.67</v>
      </c>
      <c r="Q781" s="26">
        <f>36666.63+81925</f>
        <v>118591.63</v>
      </c>
      <c r="R781" s="39">
        <f>37916.67+80825</f>
        <v>118741.67</v>
      </c>
      <c r="S781" s="26">
        <f>SUM(G781:R781)</f>
        <v>1423250</v>
      </c>
    </row>
    <row r="782" spans="3:19" ht="13.5" customHeight="1" thickBot="1">
      <c r="C782" s="6" t="s">
        <v>238</v>
      </c>
      <c r="G782" s="27">
        <f aca="true" t="shared" si="116" ref="G782:S782">SUM(G779:G781)</f>
        <v>120935</v>
      </c>
      <c r="H782" s="27">
        <f t="shared" si="116"/>
        <v>120685</v>
      </c>
      <c r="I782" s="27">
        <f t="shared" si="116"/>
        <v>120685</v>
      </c>
      <c r="J782" s="27">
        <f t="shared" si="116"/>
        <v>120685</v>
      </c>
      <c r="K782" s="27">
        <f t="shared" si="116"/>
        <v>120685</v>
      </c>
      <c r="L782" s="27">
        <f t="shared" si="116"/>
        <v>120685</v>
      </c>
      <c r="M782" s="27">
        <f t="shared" si="116"/>
        <v>120685</v>
      </c>
      <c r="N782" s="27">
        <f t="shared" si="116"/>
        <v>120685</v>
      </c>
      <c r="O782" s="27">
        <f t="shared" si="116"/>
        <v>120685</v>
      </c>
      <c r="P782" s="27">
        <f t="shared" si="116"/>
        <v>120685</v>
      </c>
      <c r="Q782" s="27">
        <f t="shared" si="116"/>
        <v>120648.3</v>
      </c>
      <c r="R782" s="40">
        <f t="shared" si="116"/>
        <v>120798.34</v>
      </c>
      <c r="S782" s="27">
        <f t="shared" si="116"/>
        <v>1448546.64</v>
      </c>
    </row>
    <row r="783" spans="3:19" ht="13.5" customHeight="1">
      <c r="C783" s="12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  <c r="S783" s="46"/>
    </row>
    <row r="784" spans="1:19" ht="13.5" customHeight="1">
      <c r="A784" s="1">
        <f>A778+1</f>
        <v>61</v>
      </c>
      <c r="B784" s="21"/>
      <c r="C784" s="5" t="s">
        <v>239</v>
      </c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7"/>
      <c r="S784" s="46"/>
    </row>
    <row r="785" spans="3:19" ht="13.5" customHeight="1">
      <c r="C785" s="4" t="s">
        <v>3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39">
        <v>0</v>
      </c>
      <c r="S785" s="26">
        <f>SUM(G785:R785)</f>
        <v>0</v>
      </c>
    </row>
    <row r="786" spans="3:19" ht="13.5" customHeight="1">
      <c r="C786" s="4" t="s">
        <v>4</v>
      </c>
      <c r="G786" s="48">
        <v>250</v>
      </c>
      <c r="J786" s="48"/>
      <c r="M786" s="48"/>
      <c r="P786" s="48"/>
      <c r="Q786" s="48"/>
      <c r="S786" s="26">
        <f>SUM(G786:R786)</f>
        <v>250</v>
      </c>
    </row>
    <row r="787" spans="3:19" ht="13.5" customHeight="1" thickBot="1">
      <c r="C787" s="4" t="s">
        <v>5</v>
      </c>
      <c r="G787" s="26">
        <f>7916.67+10959.25</f>
        <v>18875.92</v>
      </c>
      <c r="H787" s="26">
        <f>7916.67+10959.25</f>
        <v>18875.92</v>
      </c>
      <c r="I787" s="26">
        <f>7916.67+10959.25</f>
        <v>18875.92</v>
      </c>
      <c r="J787" s="26">
        <f>7916.67+10959.25</f>
        <v>18875.92</v>
      </c>
      <c r="K787" s="26">
        <f>8333.33+10606.33</f>
        <v>18939.66</v>
      </c>
      <c r="L787" s="26">
        <f aca="true" t="shared" si="117" ref="L787:R787">8333.33+10606.33</f>
        <v>18939.66</v>
      </c>
      <c r="M787" s="26">
        <f t="shared" si="117"/>
        <v>18939.66</v>
      </c>
      <c r="N787" s="26">
        <f t="shared" si="117"/>
        <v>18939.66</v>
      </c>
      <c r="O787" s="26">
        <f t="shared" si="117"/>
        <v>18939.66</v>
      </c>
      <c r="P787" s="26">
        <f t="shared" si="117"/>
        <v>18939.66</v>
      </c>
      <c r="Q787" s="26">
        <f t="shared" si="117"/>
        <v>18939.66</v>
      </c>
      <c r="R787" s="39">
        <f t="shared" si="117"/>
        <v>18939.66</v>
      </c>
      <c r="S787" s="26">
        <f>SUM(G787:R787)</f>
        <v>227020.96000000002</v>
      </c>
    </row>
    <row r="788" spans="3:19" ht="13.5" customHeight="1" thickBot="1">
      <c r="C788" s="6" t="s">
        <v>159</v>
      </c>
      <c r="G788" s="27">
        <f aca="true" t="shared" si="118" ref="G788:S788">SUM(G785:G787)</f>
        <v>19125.92</v>
      </c>
      <c r="H788" s="27">
        <f t="shared" si="118"/>
        <v>18875.92</v>
      </c>
      <c r="I788" s="27">
        <f t="shared" si="118"/>
        <v>18875.92</v>
      </c>
      <c r="J788" s="27">
        <f t="shared" si="118"/>
        <v>18875.92</v>
      </c>
      <c r="K788" s="27">
        <f t="shared" si="118"/>
        <v>18939.66</v>
      </c>
      <c r="L788" s="27">
        <f t="shared" si="118"/>
        <v>18939.66</v>
      </c>
      <c r="M788" s="27">
        <f t="shared" si="118"/>
        <v>18939.66</v>
      </c>
      <c r="N788" s="27">
        <f t="shared" si="118"/>
        <v>18939.66</v>
      </c>
      <c r="O788" s="27">
        <f t="shared" si="118"/>
        <v>18939.66</v>
      </c>
      <c r="P788" s="27">
        <f t="shared" si="118"/>
        <v>18939.66</v>
      </c>
      <c r="Q788" s="27">
        <f t="shared" si="118"/>
        <v>18939.66</v>
      </c>
      <c r="R788" s="40">
        <f t="shared" si="118"/>
        <v>18939.66</v>
      </c>
      <c r="S788" s="27">
        <f t="shared" si="118"/>
        <v>227270.96000000002</v>
      </c>
    </row>
    <row r="789" spans="3:19" ht="13.5" customHeight="1">
      <c r="C789" s="12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7"/>
      <c r="S789" s="46"/>
    </row>
    <row r="790" spans="1:19" ht="13.5" customHeight="1">
      <c r="A790" s="1">
        <f>A784+1</f>
        <v>62</v>
      </c>
      <c r="B790" s="21"/>
      <c r="C790" s="5" t="s">
        <v>240</v>
      </c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7"/>
      <c r="S790" s="46"/>
    </row>
    <row r="791" spans="3:19" ht="13.5" customHeight="1">
      <c r="C791" s="4" t="s">
        <v>3</v>
      </c>
      <c r="G791" s="26">
        <v>507.92</v>
      </c>
      <c r="H791" s="26">
        <v>507.92</v>
      </c>
      <c r="I791" s="26">
        <v>507.92</v>
      </c>
      <c r="J791" s="26">
        <v>507.92</v>
      </c>
      <c r="K791" s="26">
        <v>507.92</v>
      </c>
      <c r="L791" s="26">
        <v>507.92</v>
      </c>
      <c r="M791" s="26">
        <v>507.92</v>
      </c>
      <c r="N791" s="26">
        <v>507.92</v>
      </c>
      <c r="O791" s="26">
        <v>507.92</v>
      </c>
      <c r="P791" s="26">
        <v>507.92</v>
      </c>
      <c r="Q791" s="26">
        <v>490.83</v>
      </c>
      <c r="R791" s="39">
        <v>490.83</v>
      </c>
      <c r="S791" s="26">
        <f>SUM(G791:R791)</f>
        <v>6060.86</v>
      </c>
    </row>
    <row r="792" spans="3:19" ht="13.5" customHeight="1">
      <c r="C792" s="4" t="s">
        <v>4</v>
      </c>
      <c r="G792" s="48">
        <v>250</v>
      </c>
      <c r="J792" s="48"/>
      <c r="M792" s="48"/>
      <c r="P792" s="48"/>
      <c r="Q792" s="48"/>
      <c r="S792" s="26">
        <f>SUM(G792:R792)</f>
        <v>250</v>
      </c>
    </row>
    <row r="793" spans="3:19" ht="13.5" customHeight="1" thickBot="1">
      <c r="C793" s="4" t="s">
        <v>5</v>
      </c>
      <c r="G793" s="26">
        <f>17083.33+19820.83</f>
        <v>36904.16</v>
      </c>
      <c r="H793" s="26">
        <f>17083.33+19820.83</f>
        <v>36904.16</v>
      </c>
      <c r="I793" s="26">
        <f>17083.33+19820.83</f>
        <v>36904.16</v>
      </c>
      <c r="J793" s="26">
        <f>17083.33+19820.83</f>
        <v>36904.16</v>
      </c>
      <c r="K793" s="26">
        <f>17083.37+19820.85</f>
        <v>36904.22</v>
      </c>
      <c r="L793" s="26">
        <f>17916.67+19308.33</f>
        <v>37225</v>
      </c>
      <c r="M793" s="26">
        <f aca="true" t="shared" si="119" ref="M793:R793">17916.67+19308.33</f>
        <v>37225</v>
      </c>
      <c r="N793" s="26">
        <f t="shared" si="119"/>
        <v>37225</v>
      </c>
      <c r="O793" s="26">
        <f t="shared" si="119"/>
        <v>37225</v>
      </c>
      <c r="P793" s="26">
        <f t="shared" si="119"/>
        <v>37225</v>
      </c>
      <c r="Q793" s="26">
        <f>17916.67+19308.35</f>
        <v>37225.02</v>
      </c>
      <c r="R793" s="39">
        <f t="shared" si="119"/>
        <v>37225</v>
      </c>
      <c r="S793" s="26">
        <f>SUM(G793:R793)</f>
        <v>445095.88</v>
      </c>
    </row>
    <row r="794" spans="3:19" ht="13.5" customHeight="1" thickBot="1">
      <c r="C794" s="6" t="s">
        <v>58</v>
      </c>
      <c r="G794" s="27">
        <f aca="true" t="shared" si="120" ref="G794:S794">SUM(G791:G793)</f>
        <v>37662.08</v>
      </c>
      <c r="H794" s="27">
        <f t="shared" si="120"/>
        <v>37412.08</v>
      </c>
      <c r="I794" s="27">
        <f t="shared" si="120"/>
        <v>37412.08</v>
      </c>
      <c r="J794" s="27">
        <f t="shared" si="120"/>
        <v>37412.08</v>
      </c>
      <c r="K794" s="27">
        <f t="shared" si="120"/>
        <v>37412.14</v>
      </c>
      <c r="L794" s="27">
        <f t="shared" si="120"/>
        <v>37732.92</v>
      </c>
      <c r="M794" s="27">
        <f t="shared" si="120"/>
        <v>37732.92</v>
      </c>
      <c r="N794" s="27">
        <f t="shared" si="120"/>
        <v>37732.92</v>
      </c>
      <c r="O794" s="27">
        <f t="shared" si="120"/>
        <v>37732.92</v>
      </c>
      <c r="P794" s="27">
        <f t="shared" si="120"/>
        <v>37732.92</v>
      </c>
      <c r="Q794" s="27">
        <f t="shared" si="120"/>
        <v>37715.85</v>
      </c>
      <c r="R794" s="40">
        <f t="shared" si="120"/>
        <v>37715.83</v>
      </c>
      <c r="S794" s="27">
        <f t="shared" si="120"/>
        <v>451406.74</v>
      </c>
    </row>
    <row r="795" spans="3:19" ht="13.5" customHeight="1">
      <c r="C795" s="12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  <c r="S795" s="46"/>
    </row>
    <row r="796" spans="1:19" ht="13.5" customHeight="1">
      <c r="A796" s="1">
        <f>A790+1</f>
        <v>63</v>
      </c>
      <c r="B796" s="21"/>
      <c r="C796" s="5" t="s">
        <v>241</v>
      </c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7"/>
      <c r="S796" s="46"/>
    </row>
    <row r="797" spans="3:19" ht="13.5" customHeight="1">
      <c r="C797" s="4" t="s">
        <v>3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39">
        <v>0</v>
      </c>
      <c r="S797" s="26">
        <f>SUM(G797:R797)</f>
        <v>0</v>
      </c>
    </row>
    <row r="798" spans="3:19" ht="13.5" customHeight="1">
      <c r="C798" s="4" t="s">
        <v>4</v>
      </c>
      <c r="G798" s="48">
        <v>250</v>
      </c>
      <c r="J798" s="48"/>
      <c r="M798" s="48"/>
      <c r="P798" s="48"/>
      <c r="Q798" s="48"/>
      <c r="S798" s="26">
        <f>SUM(G798:R798)</f>
        <v>250</v>
      </c>
    </row>
    <row r="799" spans="3:19" ht="13.5" customHeight="1" thickBot="1">
      <c r="C799" s="4" t="s">
        <v>5</v>
      </c>
      <c r="G799" s="26">
        <f>115454+69272+46181.3</f>
        <v>230907.3</v>
      </c>
      <c r="H799" s="26">
        <f aca="true" t="shared" si="121" ref="H799:Q799">115454+69272+46181.3</f>
        <v>230907.3</v>
      </c>
      <c r="I799" s="26">
        <f t="shared" si="121"/>
        <v>230907.3</v>
      </c>
      <c r="J799" s="26">
        <f t="shared" si="121"/>
        <v>230907.3</v>
      </c>
      <c r="K799" s="26">
        <f t="shared" si="121"/>
        <v>230907.3</v>
      </c>
      <c r="L799" s="26">
        <f t="shared" si="121"/>
        <v>230907.3</v>
      </c>
      <c r="M799" s="26">
        <f t="shared" si="121"/>
        <v>230907.3</v>
      </c>
      <c r="N799" s="26">
        <f t="shared" si="121"/>
        <v>230907.3</v>
      </c>
      <c r="O799" s="26">
        <f t="shared" si="121"/>
        <v>230907.3</v>
      </c>
      <c r="P799" s="26">
        <f t="shared" si="121"/>
        <v>230907.3</v>
      </c>
      <c r="Q799" s="26">
        <f t="shared" si="121"/>
        <v>230907.3</v>
      </c>
      <c r="R799" s="39">
        <f>115454+69272+46181.21</f>
        <v>230907.21</v>
      </c>
      <c r="S799" s="26">
        <f>SUM(G799:R799)</f>
        <v>2770887.51</v>
      </c>
    </row>
    <row r="800" spans="3:19" ht="13.5" customHeight="1" thickBot="1">
      <c r="C800" s="6" t="s">
        <v>242</v>
      </c>
      <c r="G800" s="27">
        <f aca="true" t="shared" si="122" ref="G800:S800">SUM(G797:G799)</f>
        <v>231157.3</v>
      </c>
      <c r="H800" s="27">
        <f t="shared" si="122"/>
        <v>230907.3</v>
      </c>
      <c r="I800" s="27">
        <f t="shared" si="122"/>
        <v>230907.3</v>
      </c>
      <c r="J800" s="27">
        <f t="shared" si="122"/>
        <v>230907.3</v>
      </c>
      <c r="K800" s="27">
        <f t="shared" si="122"/>
        <v>230907.3</v>
      </c>
      <c r="L800" s="27">
        <f t="shared" si="122"/>
        <v>230907.3</v>
      </c>
      <c r="M800" s="27">
        <f t="shared" si="122"/>
        <v>230907.3</v>
      </c>
      <c r="N800" s="27">
        <f t="shared" si="122"/>
        <v>230907.3</v>
      </c>
      <c r="O800" s="27">
        <f t="shared" si="122"/>
        <v>230907.3</v>
      </c>
      <c r="P800" s="27">
        <f t="shared" si="122"/>
        <v>230907.3</v>
      </c>
      <c r="Q800" s="27">
        <f t="shared" si="122"/>
        <v>230907.3</v>
      </c>
      <c r="R800" s="40">
        <f t="shared" si="122"/>
        <v>230907.21</v>
      </c>
      <c r="S800" s="27">
        <f t="shared" si="122"/>
        <v>2771137.51</v>
      </c>
    </row>
    <row r="801" spans="3:19" ht="13.5" customHeight="1">
      <c r="C801" s="12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7"/>
      <c r="S801" s="46"/>
    </row>
    <row r="802" spans="1:19" ht="13.5" customHeight="1">
      <c r="A802" s="1">
        <f>A796+1</f>
        <v>64</v>
      </c>
      <c r="B802" s="21"/>
      <c r="C802" s="5" t="s">
        <v>243</v>
      </c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  <c r="S802" s="46"/>
    </row>
    <row r="803" spans="3:19" ht="13.5" customHeight="1">
      <c r="C803" s="4" t="s">
        <v>3</v>
      </c>
      <c r="G803" s="26">
        <v>1108.33</v>
      </c>
      <c r="H803" s="26">
        <v>1108.33</v>
      </c>
      <c r="I803" s="26">
        <v>1108.33</v>
      </c>
      <c r="J803" s="26">
        <v>1108.33</v>
      </c>
      <c r="K803" s="26">
        <v>1108.33</v>
      </c>
      <c r="L803" s="26">
        <v>1108.33</v>
      </c>
      <c r="M803" s="26">
        <v>1108.33</v>
      </c>
      <c r="N803" s="26">
        <v>1108.33</v>
      </c>
      <c r="O803" s="26">
        <v>1108.33</v>
      </c>
      <c r="P803" s="26">
        <v>1108.33</v>
      </c>
      <c r="Q803" s="26">
        <v>1108.33</v>
      </c>
      <c r="R803" s="39">
        <v>1089.17</v>
      </c>
      <c r="S803" s="26">
        <f>SUM(G803:R803)</f>
        <v>13280.8</v>
      </c>
    </row>
    <row r="804" spans="3:19" ht="13.5" customHeight="1">
      <c r="C804" s="4" t="s">
        <v>4</v>
      </c>
      <c r="G804" s="48">
        <v>250</v>
      </c>
      <c r="P804" s="48"/>
      <c r="Q804" s="48"/>
      <c r="S804" s="26">
        <f>SUM(G804:R804)</f>
        <v>250</v>
      </c>
    </row>
    <row r="805" spans="3:19" ht="13.5" customHeight="1" thickBot="1">
      <c r="C805" s="4" t="s">
        <v>5</v>
      </c>
      <c r="G805" s="26">
        <f>19166.63+45223.95</f>
        <v>64390.58</v>
      </c>
      <c r="H805" s="26">
        <f>20000+44648.96</f>
        <v>64648.96</v>
      </c>
      <c r="I805" s="26">
        <f aca="true" t="shared" si="123" ref="I805:R805">20000+44648.96</f>
        <v>64648.96</v>
      </c>
      <c r="J805" s="26">
        <f t="shared" si="123"/>
        <v>64648.96</v>
      </c>
      <c r="K805" s="26">
        <f t="shared" si="123"/>
        <v>64648.96</v>
      </c>
      <c r="L805" s="26">
        <f t="shared" si="123"/>
        <v>64648.96</v>
      </c>
      <c r="M805" s="26">
        <f>20000+44648.95</f>
        <v>64648.95</v>
      </c>
      <c r="N805" s="26">
        <f t="shared" si="123"/>
        <v>64648.96</v>
      </c>
      <c r="O805" s="26">
        <f t="shared" si="123"/>
        <v>64648.96</v>
      </c>
      <c r="P805" s="26">
        <f t="shared" si="123"/>
        <v>64648.96</v>
      </c>
      <c r="Q805" s="26">
        <f t="shared" si="123"/>
        <v>64648.96</v>
      </c>
      <c r="R805" s="39">
        <f t="shared" si="123"/>
        <v>64648.96</v>
      </c>
      <c r="S805" s="26">
        <f>SUM(G805:R805)</f>
        <v>775529.1299999999</v>
      </c>
    </row>
    <row r="806" spans="3:19" ht="13.5" customHeight="1" thickBot="1">
      <c r="C806" s="6" t="s">
        <v>244</v>
      </c>
      <c r="G806" s="27">
        <f aca="true" t="shared" si="124" ref="G806:S806">SUM(G803:G805)</f>
        <v>65748.91</v>
      </c>
      <c r="H806" s="27">
        <f t="shared" si="124"/>
        <v>65757.29</v>
      </c>
      <c r="I806" s="27">
        <f t="shared" si="124"/>
        <v>65757.29</v>
      </c>
      <c r="J806" s="27">
        <f t="shared" si="124"/>
        <v>65757.29</v>
      </c>
      <c r="K806" s="27">
        <f t="shared" si="124"/>
        <v>65757.29</v>
      </c>
      <c r="L806" s="27">
        <f t="shared" si="124"/>
        <v>65757.29</v>
      </c>
      <c r="M806" s="27">
        <f t="shared" si="124"/>
        <v>65757.28</v>
      </c>
      <c r="N806" s="27">
        <f t="shared" si="124"/>
        <v>65757.29</v>
      </c>
      <c r="O806" s="27">
        <f t="shared" si="124"/>
        <v>65757.29</v>
      </c>
      <c r="P806" s="27">
        <f t="shared" si="124"/>
        <v>65757.29</v>
      </c>
      <c r="Q806" s="27">
        <f t="shared" si="124"/>
        <v>65757.29</v>
      </c>
      <c r="R806" s="40">
        <f t="shared" si="124"/>
        <v>65738.13</v>
      </c>
      <c r="S806" s="27">
        <f t="shared" si="124"/>
        <v>789059.9299999999</v>
      </c>
    </row>
    <row r="807" spans="3:19" ht="13.5" customHeight="1">
      <c r="C807" s="12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7"/>
      <c r="S807" s="46"/>
    </row>
    <row r="808" spans="1:19" ht="13.5" customHeight="1">
      <c r="A808" s="1">
        <f>A802+1</f>
        <v>65</v>
      </c>
      <c r="B808" s="21"/>
      <c r="C808" s="5" t="s">
        <v>245</v>
      </c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7"/>
      <c r="S808" s="46"/>
    </row>
    <row r="809" spans="3:19" ht="13.5" customHeight="1">
      <c r="C809" s="4" t="s">
        <v>3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39">
        <v>0</v>
      </c>
      <c r="S809" s="26">
        <f>SUM(G809:R809)</f>
        <v>0</v>
      </c>
    </row>
    <row r="810" spans="3:19" ht="13.5" customHeight="1">
      <c r="C810" s="4" t="s">
        <v>4</v>
      </c>
      <c r="G810" s="48">
        <v>250</v>
      </c>
      <c r="J810" s="48"/>
      <c r="M810" s="48"/>
      <c r="P810" s="48"/>
      <c r="Q810" s="48"/>
      <c r="S810" s="26">
        <f>SUM(G810:R810)</f>
        <v>250</v>
      </c>
    </row>
    <row r="811" spans="3:19" ht="13.5" customHeight="1" thickBot="1">
      <c r="C811" s="4" t="s">
        <v>5</v>
      </c>
      <c r="G811" s="26">
        <f>16928+17399.96</f>
        <v>34327.96</v>
      </c>
      <c r="H811" s="26">
        <f>16985+17343.54</f>
        <v>34328.54</v>
      </c>
      <c r="I811" s="26">
        <f>17041+17286.92</f>
        <v>34327.92</v>
      </c>
      <c r="J811" s="26">
        <f>17098+17230.12</f>
        <v>34328.119999999995</v>
      </c>
      <c r="K811" s="26">
        <f>17155+17173.12</f>
        <v>34328.119999999995</v>
      </c>
      <c r="L811" s="26">
        <f>17212+17115.94</f>
        <v>34327.94</v>
      </c>
      <c r="M811" s="26">
        <f>17269+17058.57</f>
        <v>34327.57</v>
      </c>
      <c r="N811" s="26">
        <f>17327+17001</f>
        <v>34328</v>
      </c>
      <c r="O811" s="26">
        <f>17384+16943.25</f>
        <v>34327.25</v>
      </c>
      <c r="P811" s="26">
        <f>17442+16885.3</f>
        <v>34327.3</v>
      </c>
      <c r="Q811" s="26">
        <f>17501+16827.16</f>
        <v>34328.16</v>
      </c>
      <c r="R811" s="39">
        <f>17559+16768.82</f>
        <v>34327.82</v>
      </c>
      <c r="S811" s="26">
        <f>SUM(G811:R811)</f>
        <v>411934.7</v>
      </c>
    </row>
    <row r="812" spans="3:19" ht="13.5" customHeight="1" thickBot="1">
      <c r="C812" s="6" t="s">
        <v>246</v>
      </c>
      <c r="G812" s="27">
        <f aca="true" t="shared" si="125" ref="G812:S812">SUM(G809:G811)</f>
        <v>34577.96</v>
      </c>
      <c r="H812" s="27">
        <f t="shared" si="125"/>
        <v>34328.54</v>
      </c>
      <c r="I812" s="27">
        <f t="shared" si="125"/>
        <v>34327.92</v>
      </c>
      <c r="J812" s="27">
        <f t="shared" si="125"/>
        <v>34328.119999999995</v>
      </c>
      <c r="K812" s="27">
        <f t="shared" si="125"/>
        <v>34328.119999999995</v>
      </c>
      <c r="L812" s="27">
        <f t="shared" si="125"/>
        <v>34327.94</v>
      </c>
      <c r="M812" s="27">
        <f t="shared" si="125"/>
        <v>34327.57</v>
      </c>
      <c r="N812" s="27">
        <f t="shared" si="125"/>
        <v>34328</v>
      </c>
      <c r="O812" s="27">
        <f t="shared" si="125"/>
        <v>34327.25</v>
      </c>
      <c r="P812" s="27">
        <f t="shared" si="125"/>
        <v>34327.3</v>
      </c>
      <c r="Q812" s="27">
        <f t="shared" si="125"/>
        <v>34328.16</v>
      </c>
      <c r="R812" s="40">
        <f t="shared" si="125"/>
        <v>34327.82</v>
      </c>
      <c r="S812" s="27">
        <f t="shared" si="125"/>
        <v>412184.7</v>
      </c>
    </row>
    <row r="813" spans="3:19" ht="13.5" customHeight="1">
      <c r="C813" s="12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7"/>
      <c r="S813" s="46"/>
    </row>
    <row r="814" spans="1:19" ht="13.5" customHeight="1">
      <c r="A814" s="1">
        <f>A808+1</f>
        <v>66</v>
      </c>
      <c r="B814" s="21"/>
      <c r="C814" s="5" t="s">
        <v>247</v>
      </c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7"/>
      <c r="S814" s="46"/>
    </row>
    <row r="815" spans="3:19" ht="13.5" customHeight="1">
      <c r="C815" s="4" t="s">
        <v>3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39">
        <v>0</v>
      </c>
      <c r="S815" s="26">
        <f>SUM(G815:R815)</f>
        <v>0</v>
      </c>
    </row>
    <row r="816" spans="3:19" ht="13.5" customHeight="1">
      <c r="C816" s="4" t="s">
        <v>4</v>
      </c>
      <c r="G816" s="48">
        <v>250</v>
      </c>
      <c r="J816" s="48"/>
      <c r="M816" s="48"/>
      <c r="P816" s="48"/>
      <c r="Q816" s="48"/>
      <c r="S816" s="26">
        <f>SUM(G816:R816)</f>
        <v>250</v>
      </c>
    </row>
    <row r="817" spans="3:19" ht="13.5" customHeight="1" thickBot="1">
      <c r="C817" s="4" t="s">
        <v>5</v>
      </c>
      <c r="G817" s="26">
        <f>15118.55+28361.44</f>
        <v>43479.99</v>
      </c>
      <c r="H817" s="26">
        <f>15164.12+28315.87</f>
        <v>43479.99</v>
      </c>
      <c r="I817" s="26">
        <f>16121.76+27358.23</f>
        <v>43479.99</v>
      </c>
      <c r="J817" s="26">
        <f>15258.41+28221.58</f>
        <v>43479.990000000005</v>
      </c>
      <c r="K817" s="26">
        <f>16213.29+27266.7</f>
        <v>43479.990000000005</v>
      </c>
      <c r="L817" s="26">
        <f>15353.26+28126.73</f>
        <v>43479.99</v>
      </c>
      <c r="M817" s="26">
        <f>15399.53+28080.46</f>
        <v>43479.99</v>
      </c>
      <c r="N817" s="26">
        <f>18158.92+25321.07</f>
        <v>43479.99</v>
      </c>
      <c r="O817" s="26">
        <f>15500.68+27979.31</f>
        <v>43479.990000000005</v>
      </c>
      <c r="P817" s="26">
        <f>16448.44+27031.55</f>
        <v>43479.99</v>
      </c>
      <c r="Q817" s="26">
        <f>15596.97+27883.02</f>
        <v>43479.99</v>
      </c>
      <c r="R817" s="39">
        <f>16541.91+26938.08</f>
        <v>43479.990000000005</v>
      </c>
      <c r="S817" s="26">
        <f>SUM(G817:R817)</f>
        <v>521759.87999999995</v>
      </c>
    </row>
    <row r="818" spans="3:19" ht="13.5" customHeight="1" thickBot="1">
      <c r="C818" s="6" t="s">
        <v>138</v>
      </c>
      <c r="G818" s="27">
        <f aca="true" t="shared" si="126" ref="G818:S818">SUM(G815:G817)</f>
        <v>43729.99</v>
      </c>
      <c r="H818" s="27">
        <f t="shared" si="126"/>
        <v>43479.99</v>
      </c>
      <c r="I818" s="27">
        <f t="shared" si="126"/>
        <v>43479.99</v>
      </c>
      <c r="J818" s="27">
        <f t="shared" si="126"/>
        <v>43479.990000000005</v>
      </c>
      <c r="K818" s="27">
        <f t="shared" si="126"/>
        <v>43479.990000000005</v>
      </c>
      <c r="L818" s="27">
        <f t="shared" si="126"/>
        <v>43479.99</v>
      </c>
      <c r="M818" s="27">
        <f t="shared" si="126"/>
        <v>43479.99</v>
      </c>
      <c r="N818" s="27">
        <f t="shared" si="126"/>
        <v>43479.99</v>
      </c>
      <c r="O818" s="27">
        <f t="shared" si="126"/>
        <v>43479.990000000005</v>
      </c>
      <c r="P818" s="27">
        <f t="shared" si="126"/>
        <v>43479.99</v>
      </c>
      <c r="Q818" s="27">
        <f t="shared" si="126"/>
        <v>43479.99</v>
      </c>
      <c r="R818" s="40">
        <f t="shared" si="126"/>
        <v>43479.990000000005</v>
      </c>
      <c r="S818" s="27">
        <f t="shared" si="126"/>
        <v>522009.87999999995</v>
      </c>
    </row>
    <row r="819" spans="3:19" ht="13.5" customHeight="1">
      <c r="C819" s="12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  <c r="S819" s="46"/>
    </row>
    <row r="820" spans="1:19" ht="13.5" customHeight="1">
      <c r="A820" s="1">
        <f>A814+1</f>
        <v>67</v>
      </c>
      <c r="B820" s="21"/>
      <c r="C820" s="5" t="s">
        <v>248</v>
      </c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  <c r="S820" s="46"/>
    </row>
    <row r="821" spans="3:19" ht="13.5" customHeight="1">
      <c r="C821" s="4" t="s">
        <v>3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39">
        <v>0</v>
      </c>
      <c r="S821" s="26">
        <f>SUM(G821:R821)</f>
        <v>0</v>
      </c>
    </row>
    <row r="822" spans="3:19" ht="13.5" customHeight="1">
      <c r="C822" s="4" t="s">
        <v>4</v>
      </c>
      <c r="G822" s="48">
        <v>250</v>
      </c>
      <c r="J822" s="48"/>
      <c r="M822" s="48"/>
      <c r="P822" s="48"/>
      <c r="Q822" s="48"/>
      <c r="S822" s="26">
        <f>SUM(G822:R822)</f>
        <v>250</v>
      </c>
    </row>
    <row r="823" spans="3:19" ht="13.5" customHeight="1" thickBot="1">
      <c r="C823" s="4" t="s">
        <v>5</v>
      </c>
      <c r="G823" s="26">
        <v>39421.09</v>
      </c>
      <c r="H823" s="26">
        <v>39421.09</v>
      </c>
      <c r="I823" s="26">
        <v>39421.09</v>
      </c>
      <c r="J823" s="26">
        <v>39421.09</v>
      </c>
      <c r="K823" s="26">
        <v>39421.03</v>
      </c>
      <c r="L823" s="26">
        <v>39389.5</v>
      </c>
      <c r="M823" s="26">
        <v>39389.5</v>
      </c>
      <c r="N823" s="26">
        <v>39389.5</v>
      </c>
      <c r="O823" s="26">
        <v>39389.5</v>
      </c>
      <c r="P823" s="26">
        <v>39389.5</v>
      </c>
      <c r="Q823" s="26">
        <v>39389.48</v>
      </c>
      <c r="R823" s="39">
        <v>39389.5</v>
      </c>
      <c r="S823" s="26">
        <f>SUM(G823:R823)</f>
        <v>472831.87</v>
      </c>
    </row>
    <row r="824" spans="3:19" ht="13.5" customHeight="1" thickBot="1">
      <c r="C824" s="6" t="s">
        <v>147</v>
      </c>
      <c r="G824" s="27">
        <f aca="true" t="shared" si="127" ref="G824:S824">SUM(G821:G823)</f>
        <v>39671.09</v>
      </c>
      <c r="H824" s="27">
        <f t="shared" si="127"/>
        <v>39421.09</v>
      </c>
      <c r="I824" s="27">
        <f t="shared" si="127"/>
        <v>39421.09</v>
      </c>
      <c r="J824" s="27">
        <f t="shared" si="127"/>
        <v>39421.09</v>
      </c>
      <c r="K824" s="27">
        <f t="shared" si="127"/>
        <v>39421.03</v>
      </c>
      <c r="L824" s="27">
        <f t="shared" si="127"/>
        <v>39389.5</v>
      </c>
      <c r="M824" s="27">
        <f t="shared" si="127"/>
        <v>39389.5</v>
      </c>
      <c r="N824" s="27">
        <f t="shared" si="127"/>
        <v>39389.5</v>
      </c>
      <c r="O824" s="27">
        <f t="shared" si="127"/>
        <v>39389.5</v>
      </c>
      <c r="P824" s="27">
        <f t="shared" si="127"/>
        <v>39389.5</v>
      </c>
      <c r="Q824" s="27">
        <f t="shared" si="127"/>
        <v>39389.48</v>
      </c>
      <c r="R824" s="40">
        <f t="shared" si="127"/>
        <v>39389.5</v>
      </c>
      <c r="S824" s="27">
        <f t="shared" si="127"/>
        <v>473081.87</v>
      </c>
    </row>
    <row r="825" spans="3:19" ht="13.5" customHeight="1">
      <c r="C825" s="12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7"/>
      <c r="S825" s="46"/>
    </row>
    <row r="826" spans="1:19" ht="13.5" customHeight="1">
      <c r="A826" s="1">
        <f>A820+1</f>
        <v>68</v>
      </c>
      <c r="B826" s="21"/>
      <c r="C826" s="5" t="s">
        <v>249</v>
      </c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7"/>
      <c r="S826" s="46"/>
    </row>
    <row r="827" spans="3:19" ht="13.5" customHeight="1">
      <c r="C827" s="4" t="s">
        <v>3</v>
      </c>
      <c r="G827" s="26">
        <v>1794.58</v>
      </c>
      <c r="H827" s="26">
        <v>1794.58</v>
      </c>
      <c r="I827" s="26">
        <v>1794.58</v>
      </c>
      <c r="J827" s="26">
        <v>1794.58</v>
      </c>
      <c r="K827" s="26">
        <v>1794.58</v>
      </c>
      <c r="L827" s="26">
        <v>1794.58</v>
      </c>
      <c r="M827" s="26">
        <v>1794.58</v>
      </c>
      <c r="N827" s="26">
        <v>1794.58</v>
      </c>
      <c r="O827" s="26">
        <v>1794.58</v>
      </c>
      <c r="P827" s="26">
        <v>1794.58</v>
      </c>
      <c r="Q827" s="26">
        <v>1794.58</v>
      </c>
      <c r="R827" s="39">
        <v>1794.58</v>
      </c>
      <c r="S827" s="26">
        <f>SUM(G827:R827)</f>
        <v>21534.96</v>
      </c>
    </row>
    <row r="828" spans="3:19" ht="13.5" customHeight="1">
      <c r="C828" s="4" t="s">
        <v>4</v>
      </c>
      <c r="G828" s="48">
        <v>250</v>
      </c>
      <c r="H828" s="48"/>
      <c r="J828" s="48"/>
      <c r="M828" s="48"/>
      <c r="P828" s="48"/>
      <c r="Q828" s="48"/>
      <c r="S828" s="26">
        <f>SUM(G828:R828)</f>
        <v>250</v>
      </c>
    </row>
    <row r="829" spans="3:19" ht="13.5" customHeight="1" thickBot="1">
      <c r="C829" s="4" t="s">
        <v>5</v>
      </c>
      <c r="G829" s="26">
        <f aca="true" t="shared" si="128" ref="G829:P829">32500+70336.46</f>
        <v>102836.46</v>
      </c>
      <c r="H829" s="26">
        <f t="shared" si="128"/>
        <v>102836.46</v>
      </c>
      <c r="I829" s="26">
        <f t="shared" si="128"/>
        <v>102836.46</v>
      </c>
      <c r="J829" s="26">
        <f t="shared" si="128"/>
        <v>102836.46</v>
      </c>
      <c r="K829" s="26">
        <f>32500+70336.45</f>
        <v>102836.45</v>
      </c>
      <c r="L829" s="26">
        <f t="shared" si="128"/>
        <v>102836.46</v>
      </c>
      <c r="M829" s="26">
        <f t="shared" si="128"/>
        <v>102836.46</v>
      </c>
      <c r="N829" s="26">
        <f t="shared" si="128"/>
        <v>102836.46</v>
      </c>
      <c r="O829" s="26">
        <f t="shared" si="128"/>
        <v>102836.46</v>
      </c>
      <c r="P829" s="26">
        <f t="shared" si="128"/>
        <v>102836.46</v>
      </c>
      <c r="Q829" s="26">
        <f>32500+70336.45</f>
        <v>102836.45</v>
      </c>
      <c r="R829" s="39">
        <f>33750+69361.46</f>
        <v>103111.46</v>
      </c>
      <c r="S829" s="26">
        <f>SUM(G829:R829)</f>
        <v>1234312.4999999998</v>
      </c>
    </row>
    <row r="830" spans="3:19" ht="13.5" customHeight="1" thickBot="1">
      <c r="C830" s="6" t="s">
        <v>63</v>
      </c>
      <c r="G830" s="27">
        <f aca="true" t="shared" si="129" ref="G830:S830">SUM(G827:G829)</f>
        <v>104881.04000000001</v>
      </c>
      <c r="H830" s="27">
        <f t="shared" si="129"/>
        <v>104631.04000000001</v>
      </c>
      <c r="I830" s="27">
        <f t="shared" si="129"/>
        <v>104631.04000000001</v>
      </c>
      <c r="J830" s="27">
        <f t="shared" si="129"/>
        <v>104631.04000000001</v>
      </c>
      <c r="K830" s="27">
        <f t="shared" si="129"/>
        <v>104631.03</v>
      </c>
      <c r="L830" s="27">
        <f t="shared" si="129"/>
        <v>104631.04000000001</v>
      </c>
      <c r="M830" s="27">
        <f t="shared" si="129"/>
        <v>104631.04000000001</v>
      </c>
      <c r="N830" s="27">
        <f t="shared" si="129"/>
        <v>104631.04000000001</v>
      </c>
      <c r="O830" s="27">
        <f t="shared" si="129"/>
        <v>104631.04000000001</v>
      </c>
      <c r="P830" s="27">
        <f t="shared" si="129"/>
        <v>104631.04000000001</v>
      </c>
      <c r="Q830" s="27">
        <f t="shared" si="129"/>
        <v>104631.03</v>
      </c>
      <c r="R830" s="40">
        <f t="shared" si="129"/>
        <v>104906.04000000001</v>
      </c>
      <c r="S830" s="27">
        <f t="shared" si="129"/>
        <v>1256097.4599999997</v>
      </c>
    </row>
    <row r="831" spans="3:19" ht="13.5" customHeight="1">
      <c r="C831" s="12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7"/>
      <c r="S831" s="46"/>
    </row>
    <row r="832" spans="1:19" ht="13.5" customHeight="1">
      <c r="A832" s="1">
        <f>A826+1</f>
        <v>69</v>
      </c>
      <c r="B832" s="21"/>
      <c r="C832" s="5" t="s">
        <v>253</v>
      </c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7"/>
      <c r="S832" s="46"/>
    </row>
    <row r="833" spans="3:19" ht="13.5" customHeight="1">
      <c r="C833" s="4" t="s">
        <v>3</v>
      </c>
      <c r="G833" s="26">
        <v>500.45</v>
      </c>
      <c r="H833" s="26">
        <v>458.75</v>
      </c>
      <c r="I833" s="26">
        <v>458.75</v>
      </c>
      <c r="J833" s="26">
        <v>458.75</v>
      </c>
      <c r="K833" s="26">
        <v>458.75</v>
      </c>
      <c r="L833" s="26">
        <v>458.75</v>
      </c>
      <c r="M833" s="26">
        <v>458.75</v>
      </c>
      <c r="N833" s="26">
        <v>458.75</v>
      </c>
      <c r="O833" s="26">
        <v>458.75</v>
      </c>
      <c r="P833" s="26">
        <v>458.75</v>
      </c>
      <c r="Q833" s="26">
        <v>458.75</v>
      </c>
      <c r="R833" s="39">
        <v>458.75</v>
      </c>
      <c r="S833" s="26">
        <f>SUM(G833:R833)</f>
        <v>5546.7</v>
      </c>
    </row>
    <row r="834" spans="3:19" ht="13.5" customHeight="1">
      <c r="C834" s="4" t="s">
        <v>4</v>
      </c>
      <c r="G834" s="48">
        <v>250</v>
      </c>
      <c r="H834" s="48"/>
      <c r="I834" s="48"/>
      <c r="J834" s="48"/>
      <c r="M834" s="48"/>
      <c r="P834" s="48"/>
      <c r="Q834" s="48"/>
      <c r="S834" s="26">
        <f>SUM(G834:R834)</f>
        <v>250</v>
      </c>
    </row>
    <row r="835" spans="3:19" ht="13.5" customHeight="1" thickBot="1">
      <c r="C835" s="4" t="s">
        <v>5</v>
      </c>
      <c r="G835" s="26">
        <f>20000+15958.33</f>
        <v>35958.33</v>
      </c>
      <c r="H835" s="26">
        <f>20000+15958.33</f>
        <v>35958.33</v>
      </c>
      <c r="I835" s="26">
        <f>20000+15958.33</f>
        <v>35958.33</v>
      </c>
      <c r="J835" s="26">
        <f>20000+15958.33</f>
        <v>35958.33</v>
      </c>
      <c r="K835" s="26">
        <f>20000+15958.35</f>
        <v>35958.35</v>
      </c>
      <c r="L835" s="26">
        <f>20416.67+15558.33</f>
        <v>35975</v>
      </c>
      <c r="M835" s="26">
        <f aca="true" t="shared" si="130" ref="M835:R835">20416.67+15558.33</f>
        <v>35975</v>
      </c>
      <c r="N835" s="26">
        <f t="shared" si="130"/>
        <v>35975</v>
      </c>
      <c r="O835" s="26">
        <f t="shared" si="130"/>
        <v>35975</v>
      </c>
      <c r="P835" s="26">
        <f t="shared" si="130"/>
        <v>35975</v>
      </c>
      <c r="Q835" s="26">
        <f>20416.67+15558.35</f>
        <v>35975.02</v>
      </c>
      <c r="R835" s="39">
        <f t="shared" si="130"/>
        <v>35975</v>
      </c>
      <c r="S835" s="26">
        <f>SUM(G835:R835)</f>
        <v>431616.69000000006</v>
      </c>
    </row>
    <row r="836" spans="3:19" ht="13.5" customHeight="1" thickBot="1">
      <c r="C836" s="6" t="s">
        <v>16</v>
      </c>
      <c r="G836" s="27">
        <f aca="true" t="shared" si="131" ref="G836:S836">SUM(G833:G835)</f>
        <v>36708.78</v>
      </c>
      <c r="H836" s="27">
        <f t="shared" si="131"/>
        <v>36417.08</v>
      </c>
      <c r="I836" s="27">
        <f t="shared" si="131"/>
        <v>36417.08</v>
      </c>
      <c r="J836" s="27">
        <f t="shared" si="131"/>
        <v>36417.08</v>
      </c>
      <c r="K836" s="27">
        <f t="shared" si="131"/>
        <v>36417.1</v>
      </c>
      <c r="L836" s="27">
        <f t="shared" si="131"/>
        <v>36433.75</v>
      </c>
      <c r="M836" s="27">
        <f t="shared" si="131"/>
        <v>36433.75</v>
      </c>
      <c r="N836" s="27">
        <f t="shared" si="131"/>
        <v>36433.75</v>
      </c>
      <c r="O836" s="27">
        <f t="shared" si="131"/>
        <v>36433.75</v>
      </c>
      <c r="P836" s="27">
        <f t="shared" si="131"/>
        <v>36433.75</v>
      </c>
      <c r="Q836" s="27">
        <f t="shared" si="131"/>
        <v>36433.77</v>
      </c>
      <c r="R836" s="40">
        <f t="shared" si="131"/>
        <v>36433.75</v>
      </c>
      <c r="S836" s="27">
        <f t="shared" si="131"/>
        <v>437413.3900000001</v>
      </c>
    </row>
    <row r="837" spans="3:19" ht="13.5" customHeight="1">
      <c r="C837" s="12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7"/>
      <c r="S837" s="46"/>
    </row>
    <row r="838" spans="1:19" ht="13.5" customHeight="1">
      <c r="A838" s="1">
        <f>A832+1</f>
        <v>70</v>
      </c>
      <c r="B838" s="21"/>
      <c r="C838" s="5" t="s">
        <v>254</v>
      </c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  <c r="S838" s="46"/>
    </row>
    <row r="839" spans="3:19" ht="13.5" customHeight="1">
      <c r="C839" s="4" t="s">
        <v>3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39">
        <v>0</v>
      </c>
      <c r="S839" s="26">
        <f>SUM(G839:R839)</f>
        <v>0</v>
      </c>
    </row>
    <row r="840" spans="3:19" ht="13.5" customHeight="1">
      <c r="C840" s="4" t="s">
        <v>4</v>
      </c>
      <c r="G840" s="48">
        <v>250</v>
      </c>
      <c r="H840" s="48"/>
      <c r="I840" s="48"/>
      <c r="J840" s="48"/>
      <c r="M840" s="48"/>
      <c r="P840" s="48"/>
      <c r="Q840" s="48"/>
      <c r="S840" s="26">
        <f>SUM(G840:R840)</f>
        <v>250</v>
      </c>
    </row>
    <row r="841" spans="3:19" ht="13.5" customHeight="1" thickBot="1">
      <c r="C841" s="4" t="s">
        <v>5</v>
      </c>
      <c r="G841" s="26">
        <v>83317.71</v>
      </c>
      <c r="H841" s="26">
        <v>83317.71</v>
      </c>
      <c r="I841" s="26">
        <v>83317.71</v>
      </c>
      <c r="J841" s="26">
        <v>83317.71</v>
      </c>
      <c r="K841" s="26">
        <v>83317.71</v>
      </c>
      <c r="L841" s="26">
        <v>83317.7</v>
      </c>
      <c r="M841" s="26">
        <v>83317.71</v>
      </c>
      <c r="N841" s="26">
        <v>83317.71</v>
      </c>
      <c r="O841" s="26">
        <v>83317.71</v>
      </c>
      <c r="P841" s="26">
        <v>83317.71</v>
      </c>
      <c r="Q841" s="26">
        <v>83317.71</v>
      </c>
      <c r="R841" s="39">
        <v>83317.7</v>
      </c>
      <c r="S841" s="26">
        <f>SUM(G841:R841)</f>
        <v>999812.4999999999</v>
      </c>
    </row>
    <row r="842" spans="3:19" ht="13.5" customHeight="1" thickBot="1">
      <c r="C842" s="6" t="s">
        <v>255</v>
      </c>
      <c r="G842" s="27">
        <f aca="true" t="shared" si="132" ref="G842:S842">SUM(G839:G841)</f>
        <v>83567.71</v>
      </c>
      <c r="H842" s="27">
        <f t="shared" si="132"/>
        <v>83317.71</v>
      </c>
      <c r="I842" s="27">
        <f t="shared" si="132"/>
        <v>83317.71</v>
      </c>
      <c r="J842" s="27">
        <f t="shared" si="132"/>
        <v>83317.71</v>
      </c>
      <c r="K842" s="27">
        <f t="shared" si="132"/>
        <v>83317.71</v>
      </c>
      <c r="L842" s="27">
        <f t="shared" si="132"/>
        <v>83317.7</v>
      </c>
      <c r="M842" s="27">
        <f t="shared" si="132"/>
        <v>83317.71</v>
      </c>
      <c r="N842" s="27">
        <f t="shared" si="132"/>
        <v>83317.71</v>
      </c>
      <c r="O842" s="27">
        <f t="shared" si="132"/>
        <v>83317.71</v>
      </c>
      <c r="P842" s="27">
        <f t="shared" si="132"/>
        <v>83317.71</v>
      </c>
      <c r="Q842" s="27">
        <f t="shared" si="132"/>
        <v>83317.71</v>
      </c>
      <c r="R842" s="40">
        <f t="shared" si="132"/>
        <v>83317.7</v>
      </c>
      <c r="S842" s="27">
        <f t="shared" si="132"/>
        <v>1000062.4999999999</v>
      </c>
    </row>
    <row r="843" spans="3:19" ht="13.5" customHeight="1">
      <c r="C843" s="12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  <c r="S843" s="46"/>
    </row>
    <row r="844" spans="1:19" ht="13.5" customHeight="1">
      <c r="A844" s="1">
        <f>A838+1</f>
        <v>71</v>
      </c>
      <c r="B844" s="21"/>
      <c r="C844" s="5" t="s">
        <v>256</v>
      </c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7"/>
      <c r="S844" s="46"/>
    </row>
    <row r="845" spans="3:19" ht="13.5" customHeight="1">
      <c r="C845" s="4" t="s">
        <v>3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39">
        <v>0</v>
      </c>
      <c r="S845" s="26">
        <f>SUM(G845:R845)</f>
        <v>0</v>
      </c>
    </row>
    <row r="846" spans="3:19" ht="13.5" customHeight="1">
      <c r="C846" s="4" t="s">
        <v>4</v>
      </c>
      <c r="G846" s="48">
        <v>250</v>
      </c>
      <c r="H846" s="48"/>
      <c r="I846" s="48"/>
      <c r="J846" s="48"/>
      <c r="M846" s="48"/>
      <c r="P846" s="48"/>
      <c r="Q846" s="48"/>
      <c r="S846" s="26">
        <f>SUM(G846:R846)</f>
        <v>250</v>
      </c>
    </row>
    <row r="847" spans="3:19" ht="13.5" customHeight="1" thickBot="1">
      <c r="C847" s="4" t="s">
        <v>5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39">
        <v>46524.38</v>
      </c>
      <c r="S847" s="26">
        <f>SUM(G847:R847)</f>
        <v>46524.38</v>
      </c>
    </row>
    <row r="848" spans="3:19" ht="13.5" customHeight="1" thickBot="1">
      <c r="C848" s="6" t="s">
        <v>116</v>
      </c>
      <c r="G848" s="27">
        <f aca="true" t="shared" si="133" ref="G848:S848">SUM(G845:G847)</f>
        <v>250</v>
      </c>
      <c r="H848" s="27">
        <f t="shared" si="133"/>
        <v>0</v>
      </c>
      <c r="I848" s="27">
        <f t="shared" si="133"/>
        <v>0</v>
      </c>
      <c r="J848" s="27">
        <f t="shared" si="133"/>
        <v>0</v>
      </c>
      <c r="K848" s="27">
        <f t="shared" si="133"/>
        <v>0</v>
      </c>
      <c r="L848" s="27">
        <f t="shared" si="133"/>
        <v>0</v>
      </c>
      <c r="M848" s="27">
        <f t="shared" si="133"/>
        <v>0</v>
      </c>
      <c r="N848" s="27">
        <f t="shared" si="133"/>
        <v>0</v>
      </c>
      <c r="O848" s="27">
        <f t="shared" si="133"/>
        <v>0</v>
      </c>
      <c r="P848" s="27">
        <f t="shared" si="133"/>
        <v>0</v>
      </c>
      <c r="Q848" s="27">
        <f t="shared" si="133"/>
        <v>0</v>
      </c>
      <c r="R848" s="40">
        <f t="shared" si="133"/>
        <v>46524.38</v>
      </c>
      <c r="S848" s="27">
        <f t="shared" si="133"/>
        <v>46774.38</v>
      </c>
    </row>
    <row r="849" spans="3:19" ht="13.5" customHeight="1">
      <c r="C849" s="12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7"/>
      <c r="S849" s="46"/>
    </row>
    <row r="850" spans="1:19" ht="13.5" customHeight="1">
      <c r="A850" s="1">
        <f>A844+1</f>
        <v>72</v>
      </c>
      <c r="B850" s="21"/>
      <c r="C850" s="5" t="s">
        <v>258</v>
      </c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7"/>
      <c r="S850" s="46"/>
    </row>
    <row r="851" spans="3:19" ht="13.5" customHeight="1">
      <c r="C851" s="4" t="s">
        <v>3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39">
        <v>0</v>
      </c>
      <c r="S851" s="26">
        <f>SUM(G851:R851)</f>
        <v>0</v>
      </c>
    </row>
    <row r="852" spans="3:19" ht="13.5" customHeight="1">
      <c r="C852" s="4" t="s">
        <v>4</v>
      </c>
      <c r="G852" s="48">
        <v>250</v>
      </c>
      <c r="H852" s="48"/>
      <c r="I852" s="48"/>
      <c r="J852" s="48"/>
      <c r="M852" s="48"/>
      <c r="P852" s="48"/>
      <c r="Q852" s="48"/>
      <c r="S852" s="26">
        <f>SUM(G852:R852)</f>
        <v>250</v>
      </c>
    </row>
    <row r="853" spans="3:19" ht="13.5" customHeight="1" thickBot="1">
      <c r="C853" s="4" t="s">
        <v>5</v>
      </c>
      <c r="G853" s="26">
        <v>25817.77</v>
      </c>
      <c r="H853" s="26">
        <v>25817.77</v>
      </c>
      <c r="I853" s="26">
        <v>25817.77</v>
      </c>
      <c r="J853" s="26">
        <v>25817.77</v>
      </c>
      <c r="K853" s="26">
        <v>25817.77</v>
      </c>
      <c r="L853" s="26">
        <v>25817.77</v>
      </c>
      <c r="M853" s="26">
        <v>25817.77</v>
      </c>
      <c r="N853" s="26">
        <v>25817.77</v>
      </c>
      <c r="O853" s="26">
        <v>25817.77</v>
      </c>
      <c r="P853" s="26">
        <v>25817.77</v>
      </c>
      <c r="Q853" s="26">
        <v>25817.77</v>
      </c>
      <c r="R853" s="39">
        <v>25817.77</v>
      </c>
      <c r="S853" s="26">
        <f>SUM(G853:R853)</f>
        <v>309813.24</v>
      </c>
    </row>
    <row r="854" spans="3:19" ht="13.5" customHeight="1" thickBot="1">
      <c r="C854" s="6" t="s">
        <v>257</v>
      </c>
      <c r="G854" s="27">
        <f aca="true" t="shared" si="134" ref="G854:S854">SUM(G851:G853)</f>
        <v>26067.77</v>
      </c>
      <c r="H854" s="27">
        <f t="shared" si="134"/>
        <v>25817.77</v>
      </c>
      <c r="I854" s="27">
        <f t="shared" si="134"/>
        <v>25817.77</v>
      </c>
      <c r="J854" s="27">
        <f t="shared" si="134"/>
        <v>25817.77</v>
      </c>
      <c r="K854" s="27">
        <f t="shared" si="134"/>
        <v>25817.77</v>
      </c>
      <c r="L854" s="27">
        <f t="shared" si="134"/>
        <v>25817.77</v>
      </c>
      <c r="M854" s="27">
        <f t="shared" si="134"/>
        <v>25817.77</v>
      </c>
      <c r="N854" s="27">
        <f t="shared" si="134"/>
        <v>25817.77</v>
      </c>
      <c r="O854" s="27">
        <f t="shared" si="134"/>
        <v>25817.77</v>
      </c>
      <c r="P854" s="27">
        <f t="shared" si="134"/>
        <v>25817.77</v>
      </c>
      <c r="Q854" s="27">
        <f t="shared" si="134"/>
        <v>25817.77</v>
      </c>
      <c r="R854" s="40">
        <f t="shared" si="134"/>
        <v>25817.77</v>
      </c>
      <c r="S854" s="27">
        <f t="shared" si="134"/>
        <v>310063.24</v>
      </c>
    </row>
    <row r="855" spans="3:19" ht="13.5" customHeight="1">
      <c r="C855" s="12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7"/>
      <c r="S855" s="46"/>
    </row>
    <row r="856" spans="1:19" ht="13.5" customHeight="1">
      <c r="A856" s="1">
        <f>A850+1</f>
        <v>73</v>
      </c>
      <c r="B856" s="21"/>
      <c r="C856" s="5" t="s">
        <v>259</v>
      </c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7"/>
      <c r="S856" s="46"/>
    </row>
    <row r="857" spans="3:19" ht="13.5" customHeight="1">
      <c r="C857" s="4" t="s">
        <v>3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39">
        <v>0</v>
      </c>
      <c r="S857" s="26">
        <f>SUM(G857:R857)</f>
        <v>0</v>
      </c>
    </row>
    <row r="858" spans="3:19" ht="13.5" customHeight="1">
      <c r="C858" s="4" t="s">
        <v>4</v>
      </c>
      <c r="G858" s="48">
        <v>250</v>
      </c>
      <c r="H858" s="48"/>
      <c r="I858" s="48"/>
      <c r="J858" s="48"/>
      <c r="M858" s="48"/>
      <c r="P858" s="48"/>
      <c r="Q858" s="48"/>
      <c r="S858" s="26">
        <f>SUM(G858:R858)</f>
        <v>250</v>
      </c>
    </row>
    <row r="859" spans="3:19" ht="13.5" customHeight="1" thickBot="1">
      <c r="C859" s="4" t="s">
        <v>5</v>
      </c>
      <c r="G859" s="26">
        <v>57617.01</v>
      </c>
      <c r="H859" s="26">
        <v>57617.01</v>
      </c>
      <c r="I859" s="26">
        <v>57617.01</v>
      </c>
      <c r="J859" s="26">
        <v>57617.01</v>
      </c>
      <c r="K859" s="26">
        <v>57617.01</v>
      </c>
      <c r="L859" s="26">
        <v>57617.01</v>
      </c>
      <c r="M859" s="26">
        <v>57617.01</v>
      </c>
      <c r="N859" s="26">
        <v>57617.01</v>
      </c>
      <c r="O859" s="26">
        <v>72894.79</v>
      </c>
      <c r="P859" s="26">
        <v>72894.79</v>
      </c>
      <c r="Q859" s="26">
        <v>72894.79</v>
      </c>
      <c r="R859" s="39">
        <v>72894.79</v>
      </c>
      <c r="S859" s="26">
        <f>SUM(G859:R859)</f>
        <v>752515.2400000001</v>
      </c>
    </row>
    <row r="860" spans="3:19" ht="13.5" customHeight="1" thickBot="1">
      <c r="C860" s="6" t="s">
        <v>89</v>
      </c>
      <c r="G860" s="27">
        <f aca="true" t="shared" si="135" ref="G860:S860">SUM(G857:G859)</f>
        <v>57867.01</v>
      </c>
      <c r="H860" s="27">
        <f t="shared" si="135"/>
        <v>57617.01</v>
      </c>
      <c r="I860" s="27">
        <f t="shared" si="135"/>
        <v>57617.01</v>
      </c>
      <c r="J860" s="27">
        <f t="shared" si="135"/>
        <v>57617.01</v>
      </c>
      <c r="K860" s="27">
        <f t="shared" si="135"/>
        <v>57617.01</v>
      </c>
      <c r="L860" s="27">
        <f t="shared" si="135"/>
        <v>57617.01</v>
      </c>
      <c r="M860" s="27">
        <f t="shared" si="135"/>
        <v>57617.01</v>
      </c>
      <c r="N860" s="27">
        <f t="shared" si="135"/>
        <v>57617.01</v>
      </c>
      <c r="O860" s="27">
        <f t="shared" si="135"/>
        <v>72894.79</v>
      </c>
      <c r="P860" s="27">
        <f t="shared" si="135"/>
        <v>72894.79</v>
      </c>
      <c r="Q860" s="27">
        <f t="shared" si="135"/>
        <v>72894.79</v>
      </c>
      <c r="R860" s="40">
        <f t="shared" si="135"/>
        <v>72894.79</v>
      </c>
      <c r="S860" s="27">
        <f t="shared" si="135"/>
        <v>752765.2400000001</v>
      </c>
    </row>
    <row r="861" spans="3:19" ht="13.5" customHeight="1">
      <c r="C861" s="12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7"/>
      <c r="S861" s="46"/>
    </row>
    <row r="862" spans="1:19" ht="13.5" customHeight="1">
      <c r="A862" s="1">
        <f>A856+1</f>
        <v>74</v>
      </c>
      <c r="B862" s="21"/>
      <c r="C862" s="5" t="s">
        <v>260</v>
      </c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  <c r="S862" s="46"/>
    </row>
    <row r="863" spans="3:19" ht="13.5" customHeight="1">
      <c r="C863" s="4" t="s">
        <v>3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39">
        <v>0</v>
      </c>
      <c r="S863" s="26">
        <f>SUM(G863:R863)</f>
        <v>0</v>
      </c>
    </row>
    <row r="864" spans="3:19" ht="13.5" customHeight="1">
      <c r="C864" s="4" t="s">
        <v>4</v>
      </c>
      <c r="G864" s="48">
        <v>250</v>
      </c>
      <c r="H864" s="48"/>
      <c r="I864" s="48"/>
      <c r="J864" s="48"/>
      <c r="M864" s="48"/>
      <c r="P864" s="48"/>
      <c r="Q864" s="48"/>
      <c r="S864" s="26">
        <f>SUM(G864:R864)</f>
        <v>250</v>
      </c>
    </row>
    <row r="865" spans="3:19" ht="13.5" customHeight="1" thickBot="1">
      <c r="C865" s="4" t="s">
        <v>5</v>
      </c>
      <c r="G865" s="26">
        <v>77038.23</v>
      </c>
      <c r="H865" s="26">
        <v>77038.23</v>
      </c>
      <c r="I865" s="26">
        <v>77038.23</v>
      </c>
      <c r="J865" s="26">
        <v>77038.23</v>
      </c>
      <c r="K865" s="26">
        <v>77038.23</v>
      </c>
      <c r="L865" s="26">
        <f>7083.33+140080.17</f>
        <v>147163.5</v>
      </c>
      <c r="M865" s="26">
        <f aca="true" t="shared" si="136" ref="M865:R865">7083.33+140080.17</f>
        <v>147163.5</v>
      </c>
      <c r="N865" s="26">
        <f t="shared" si="136"/>
        <v>147163.5</v>
      </c>
      <c r="O865" s="26">
        <f t="shared" si="136"/>
        <v>147163.5</v>
      </c>
      <c r="P865" s="26">
        <f t="shared" si="136"/>
        <v>147163.5</v>
      </c>
      <c r="Q865" s="26">
        <f t="shared" si="136"/>
        <v>147163.5</v>
      </c>
      <c r="R865" s="39">
        <f t="shared" si="136"/>
        <v>147163.5</v>
      </c>
      <c r="S865" s="26">
        <f>SUM(G865:R865)</f>
        <v>1415335.65</v>
      </c>
    </row>
    <row r="866" spans="3:19" ht="13.5" customHeight="1" thickBot="1">
      <c r="C866" s="6" t="s">
        <v>65</v>
      </c>
      <c r="G866" s="27">
        <f aca="true" t="shared" si="137" ref="G866:S866">SUM(G863:G865)</f>
        <v>77288.23</v>
      </c>
      <c r="H866" s="27">
        <f t="shared" si="137"/>
        <v>77038.23</v>
      </c>
      <c r="I866" s="27">
        <f t="shared" si="137"/>
        <v>77038.23</v>
      </c>
      <c r="J866" s="27">
        <f t="shared" si="137"/>
        <v>77038.23</v>
      </c>
      <c r="K866" s="27">
        <f t="shared" si="137"/>
        <v>77038.23</v>
      </c>
      <c r="L866" s="27">
        <f t="shared" si="137"/>
        <v>147163.5</v>
      </c>
      <c r="M866" s="27">
        <f t="shared" si="137"/>
        <v>147163.5</v>
      </c>
      <c r="N866" s="27">
        <f t="shared" si="137"/>
        <v>147163.5</v>
      </c>
      <c r="O866" s="27">
        <f t="shared" si="137"/>
        <v>147163.5</v>
      </c>
      <c r="P866" s="27">
        <f t="shared" si="137"/>
        <v>147163.5</v>
      </c>
      <c r="Q866" s="27">
        <f t="shared" si="137"/>
        <v>147163.5</v>
      </c>
      <c r="R866" s="40">
        <f t="shared" si="137"/>
        <v>147163.5</v>
      </c>
      <c r="S866" s="27">
        <f t="shared" si="137"/>
        <v>1415585.65</v>
      </c>
    </row>
    <row r="867" spans="3:19" ht="13.5" customHeight="1">
      <c r="C867" s="12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/>
      <c r="S867" s="46"/>
    </row>
    <row r="868" spans="1:19" ht="13.5" customHeight="1">
      <c r="A868" s="1">
        <f>A862+1</f>
        <v>75</v>
      </c>
      <c r="B868" s="21"/>
      <c r="C868" s="5" t="s">
        <v>261</v>
      </c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7"/>
      <c r="S868" s="46"/>
    </row>
    <row r="869" spans="3:19" ht="13.5" customHeight="1">
      <c r="C869" s="4" t="s">
        <v>3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39">
        <v>0</v>
      </c>
      <c r="S869" s="26">
        <f>SUM(G869:R869)</f>
        <v>0</v>
      </c>
    </row>
    <row r="870" spans="3:19" ht="13.5" customHeight="1">
      <c r="C870" s="4" t="s">
        <v>4</v>
      </c>
      <c r="G870" s="48">
        <v>250</v>
      </c>
      <c r="H870" s="48"/>
      <c r="I870" s="48"/>
      <c r="J870" s="48"/>
      <c r="M870" s="48"/>
      <c r="P870" s="48"/>
      <c r="Q870" s="48"/>
      <c r="S870" s="26">
        <f>SUM(G870:R870)</f>
        <v>250</v>
      </c>
    </row>
    <row r="871" spans="3:19" ht="13.5" customHeight="1" thickBot="1">
      <c r="C871" s="4" t="s">
        <v>5</v>
      </c>
      <c r="G871" s="26">
        <v>67668.75</v>
      </c>
      <c r="H871" s="26">
        <v>67668.75</v>
      </c>
      <c r="I871" s="26">
        <v>67668.75</v>
      </c>
      <c r="J871" s="26">
        <v>67668.75</v>
      </c>
      <c r="K871" s="26">
        <v>67668.75</v>
      </c>
      <c r="L871" s="26">
        <v>67668.75</v>
      </c>
      <c r="M871" s="26">
        <v>67668.75</v>
      </c>
      <c r="N871" s="26">
        <v>67668.75</v>
      </c>
      <c r="O871" s="26">
        <v>67668.75</v>
      </c>
      <c r="P871" s="26">
        <v>67668.75</v>
      </c>
      <c r="Q871" s="26">
        <v>67668.75</v>
      </c>
      <c r="R871" s="39">
        <f>27916.67+67668.75</f>
        <v>95585.42</v>
      </c>
      <c r="S871" s="26">
        <f>SUM(G871:R871)</f>
        <v>839941.67</v>
      </c>
    </row>
    <row r="872" spans="3:19" ht="13.5" customHeight="1" thickBot="1">
      <c r="C872" s="6" t="s">
        <v>262</v>
      </c>
      <c r="G872" s="27">
        <f aca="true" t="shared" si="138" ref="G872:S872">SUM(G869:G871)</f>
        <v>67918.75</v>
      </c>
      <c r="H872" s="27">
        <f t="shared" si="138"/>
        <v>67668.75</v>
      </c>
      <c r="I872" s="27">
        <f t="shared" si="138"/>
        <v>67668.75</v>
      </c>
      <c r="J872" s="27">
        <f t="shared" si="138"/>
        <v>67668.75</v>
      </c>
      <c r="K872" s="27">
        <f t="shared" si="138"/>
        <v>67668.75</v>
      </c>
      <c r="L872" s="27">
        <f t="shared" si="138"/>
        <v>67668.75</v>
      </c>
      <c r="M872" s="27">
        <f t="shared" si="138"/>
        <v>67668.75</v>
      </c>
      <c r="N872" s="27">
        <f t="shared" si="138"/>
        <v>67668.75</v>
      </c>
      <c r="O872" s="27">
        <f t="shared" si="138"/>
        <v>67668.75</v>
      </c>
      <c r="P872" s="27">
        <f t="shared" si="138"/>
        <v>67668.75</v>
      </c>
      <c r="Q872" s="27">
        <f t="shared" si="138"/>
        <v>67668.75</v>
      </c>
      <c r="R872" s="40">
        <f t="shared" si="138"/>
        <v>95585.42</v>
      </c>
      <c r="S872" s="27">
        <f t="shared" si="138"/>
        <v>840191.67</v>
      </c>
    </row>
    <row r="873" spans="3:19" ht="13.5" customHeight="1">
      <c r="C873" s="12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7"/>
      <c r="S873" s="46"/>
    </row>
    <row r="874" spans="1:19" ht="13.5" customHeight="1">
      <c r="A874" s="1">
        <f>A868+1</f>
        <v>76</v>
      </c>
      <c r="B874" s="21"/>
      <c r="C874" s="5" t="s">
        <v>263</v>
      </c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7"/>
      <c r="S874" s="46"/>
    </row>
    <row r="875" spans="3:19" ht="13.5" customHeight="1">
      <c r="C875" s="4" t="s">
        <v>3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39">
        <v>0</v>
      </c>
      <c r="S875" s="26">
        <f>SUM(G875:R875)</f>
        <v>0</v>
      </c>
    </row>
    <row r="876" spans="3:19" ht="13.5" customHeight="1">
      <c r="C876" s="4" t="s">
        <v>4</v>
      </c>
      <c r="G876" s="48">
        <v>250</v>
      </c>
      <c r="H876" s="48"/>
      <c r="I876" s="48"/>
      <c r="J876" s="48"/>
      <c r="K876" s="48"/>
      <c r="M876" s="48"/>
      <c r="P876" s="48"/>
      <c r="Q876" s="48"/>
      <c r="S876" s="26">
        <f>SUM(G876:R876)</f>
        <v>250</v>
      </c>
    </row>
    <row r="877" spans="3:19" ht="13.5" customHeight="1" thickBot="1">
      <c r="C877" s="4" t="s">
        <v>5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6">
        <v>43410.91</v>
      </c>
      <c r="M877" s="26">
        <v>43410.91</v>
      </c>
      <c r="N877" s="26">
        <v>43410.91</v>
      </c>
      <c r="O877" s="26">
        <v>43410.91</v>
      </c>
      <c r="P877" s="26">
        <v>43410.91</v>
      </c>
      <c r="Q877" s="26">
        <v>43410.91</v>
      </c>
      <c r="R877" s="39">
        <v>43410.91</v>
      </c>
      <c r="S877" s="26">
        <f>SUM(G877:R877)</f>
        <v>303876.37</v>
      </c>
    </row>
    <row r="878" spans="3:19" ht="13.5" customHeight="1" thickBot="1">
      <c r="C878" s="6" t="s">
        <v>264</v>
      </c>
      <c r="G878" s="27">
        <f aca="true" t="shared" si="139" ref="G878:S878">SUM(G875:G877)</f>
        <v>250</v>
      </c>
      <c r="H878" s="27">
        <f t="shared" si="139"/>
        <v>0</v>
      </c>
      <c r="I878" s="27">
        <f t="shared" si="139"/>
        <v>0</v>
      </c>
      <c r="J878" s="27">
        <f t="shared" si="139"/>
        <v>0</v>
      </c>
      <c r="K878" s="27">
        <f t="shared" si="139"/>
        <v>0</v>
      </c>
      <c r="L878" s="27">
        <f t="shared" si="139"/>
        <v>43410.91</v>
      </c>
      <c r="M878" s="27">
        <f t="shared" si="139"/>
        <v>43410.91</v>
      </c>
      <c r="N878" s="27">
        <f t="shared" si="139"/>
        <v>43410.91</v>
      </c>
      <c r="O878" s="27">
        <f t="shared" si="139"/>
        <v>43410.91</v>
      </c>
      <c r="P878" s="27">
        <f t="shared" si="139"/>
        <v>43410.91</v>
      </c>
      <c r="Q878" s="27">
        <f t="shared" si="139"/>
        <v>43410.91</v>
      </c>
      <c r="R878" s="40">
        <f t="shared" si="139"/>
        <v>43410.91</v>
      </c>
      <c r="S878" s="27">
        <f t="shared" si="139"/>
        <v>304126.37</v>
      </c>
    </row>
    <row r="879" spans="3:19" ht="13.5" customHeight="1">
      <c r="C879" s="12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7"/>
      <c r="S879" s="46"/>
    </row>
    <row r="880" spans="1:19" ht="13.5" customHeight="1">
      <c r="A880" s="1">
        <f>A874+1</f>
        <v>77</v>
      </c>
      <c r="B880" s="21"/>
      <c r="C880" s="5" t="s">
        <v>265</v>
      </c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7"/>
      <c r="S880" s="46"/>
    </row>
    <row r="881" spans="3:19" ht="13.5" customHeight="1">
      <c r="C881" s="4" t="s">
        <v>3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39">
        <v>0</v>
      </c>
      <c r="S881" s="26">
        <f>SUM(G881:R881)</f>
        <v>0</v>
      </c>
    </row>
    <row r="882" spans="3:19" ht="13.5" customHeight="1">
      <c r="C882" s="4" t="s">
        <v>4</v>
      </c>
      <c r="G882" s="48">
        <v>250</v>
      </c>
      <c r="H882" s="48"/>
      <c r="I882" s="48"/>
      <c r="J882" s="48"/>
      <c r="K882" s="48"/>
      <c r="M882" s="48"/>
      <c r="P882" s="48"/>
      <c r="Q882" s="48"/>
      <c r="S882" s="26">
        <f>SUM(G882:R882)</f>
        <v>250</v>
      </c>
    </row>
    <row r="883" spans="3:19" ht="13.5" customHeight="1" thickBot="1">
      <c r="C883" s="4" t="s">
        <v>5</v>
      </c>
      <c r="G883" s="26">
        <f>25000+36420.84</f>
        <v>61420.84</v>
      </c>
      <c r="H883" s="26">
        <f>25000+36420.84</f>
        <v>61420.84</v>
      </c>
      <c r="I883" s="26">
        <f>25000+36420.84</f>
        <v>61420.84</v>
      </c>
      <c r="J883" s="26">
        <f>25000+36420.81</f>
        <v>61420.81</v>
      </c>
      <c r="K883" s="26">
        <f>26250+35514.58</f>
        <v>61764.58</v>
      </c>
      <c r="L883" s="26">
        <f aca="true" t="shared" si="140" ref="L883:R883">26250+35514.58</f>
        <v>61764.58</v>
      </c>
      <c r="M883" s="26">
        <f t="shared" si="140"/>
        <v>61764.58</v>
      </c>
      <c r="N883" s="26">
        <f t="shared" si="140"/>
        <v>61764.58</v>
      </c>
      <c r="O883" s="26">
        <f t="shared" si="140"/>
        <v>61764.58</v>
      </c>
      <c r="P883" s="26">
        <f>26250+35514.6</f>
        <v>61764.6</v>
      </c>
      <c r="Q883" s="26">
        <f t="shared" si="140"/>
        <v>61764.58</v>
      </c>
      <c r="R883" s="39">
        <f t="shared" si="140"/>
        <v>61764.58</v>
      </c>
      <c r="S883" s="26">
        <f>SUM(G883:R883)</f>
        <v>739799.9899999999</v>
      </c>
    </row>
    <row r="884" spans="3:19" ht="13.5" customHeight="1" thickBot="1">
      <c r="C884" s="6" t="s">
        <v>266</v>
      </c>
      <c r="G884" s="27">
        <f aca="true" t="shared" si="141" ref="G884:S884">SUM(G881:G883)</f>
        <v>61670.84</v>
      </c>
      <c r="H884" s="27">
        <f t="shared" si="141"/>
        <v>61420.84</v>
      </c>
      <c r="I884" s="27">
        <f t="shared" si="141"/>
        <v>61420.84</v>
      </c>
      <c r="J884" s="27">
        <f t="shared" si="141"/>
        <v>61420.81</v>
      </c>
      <c r="K884" s="27">
        <f t="shared" si="141"/>
        <v>61764.58</v>
      </c>
      <c r="L884" s="27">
        <f t="shared" si="141"/>
        <v>61764.58</v>
      </c>
      <c r="M884" s="27">
        <f t="shared" si="141"/>
        <v>61764.58</v>
      </c>
      <c r="N884" s="27">
        <f t="shared" si="141"/>
        <v>61764.58</v>
      </c>
      <c r="O884" s="27">
        <f t="shared" si="141"/>
        <v>61764.58</v>
      </c>
      <c r="P884" s="27">
        <f t="shared" si="141"/>
        <v>61764.6</v>
      </c>
      <c r="Q884" s="27">
        <f t="shared" si="141"/>
        <v>61764.58</v>
      </c>
      <c r="R884" s="40">
        <f t="shared" si="141"/>
        <v>61764.58</v>
      </c>
      <c r="S884" s="27">
        <f t="shared" si="141"/>
        <v>740049.9899999999</v>
      </c>
    </row>
    <row r="885" spans="3:19" ht="13.5" customHeight="1">
      <c r="C885" s="12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7"/>
      <c r="S885" s="46"/>
    </row>
    <row r="886" spans="1:19" ht="13.5" customHeight="1">
      <c r="A886" s="1">
        <f>A880+1</f>
        <v>78</v>
      </c>
      <c r="B886" s="21"/>
      <c r="C886" s="5" t="s">
        <v>267</v>
      </c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7"/>
      <c r="S886" s="46"/>
    </row>
    <row r="887" spans="3:19" ht="13.5" customHeight="1">
      <c r="C887" s="4" t="s">
        <v>3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39">
        <v>0</v>
      </c>
      <c r="S887" s="26">
        <f>SUM(G887:R887)</f>
        <v>0</v>
      </c>
    </row>
    <row r="888" spans="3:19" ht="13.5" customHeight="1">
      <c r="C888" s="4" t="s">
        <v>4</v>
      </c>
      <c r="G888" s="48">
        <v>250</v>
      </c>
      <c r="H888" s="48"/>
      <c r="I888" s="48"/>
      <c r="J888" s="48"/>
      <c r="K888" s="48"/>
      <c r="M888" s="48"/>
      <c r="P888" s="48"/>
      <c r="Q888" s="48"/>
      <c r="S888" s="26">
        <f>SUM(G888:R888)</f>
        <v>250</v>
      </c>
    </row>
    <row r="889" spans="3:19" ht="13.5" customHeight="1" thickBot="1">
      <c r="C889" s="4" t="s">
        <v>5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42559.8</v>
      </c>
      <c r="M889" s="26">
        <v>43556.25</v>
      </c>
      <c r="N889" s="26">
        <v>43556.25</v>
      </c>
      <c r="O889" s="26">
        <v>43556.25</v>
      </c>
      <c r="P889" s="26">
        <v>43556.25</v>
      </c>
      <c r="Q889" s="26">
        <v>43556.25</v>
      </c>
      <c r="R889" s="39">
        <v>43556.25</v>
      </c>
      <c r="S889" s="26">
        <f>SUM(G889:R889)</f>
        <v>303897.3</v>
      </c>
    </row>
    <row r="890" spans="3:19" ht="13.5" customHeight="1" thickBot="1">
      <c r="C890" s="6" t="s">
        <v>268</v>
      </c>
      <c r="G890" s="27">
        <f aca="true" t="shared" si="142" ref="G890:S890">SUM(G887:G889)</f>
        <v>250</v>
      </c>
      <c r="H890" s="27">
        <f t="shared" si="142"/>
        <v>0</v>
      </c>
      <c r="I890" s="27">
        <f t="shared" si="142"/>
        <v>0</v>
      </c>
      <c r="J890" s="27">
        <f t="shared" si="142"/>
        <v>0</v>
      </c>
      <c r="K890" s="27">
        <f t="shared" si="142"/>
        <v>0</v>
      </c>
      <c r="L890" s="27">
        <f t="shared" si="142"/>
        <v>42559.8</v>
      </c>
      <c r="M890" s="27">
        <f t="shared" si="142"/>
        <v>43556.25</v>
      </c>
      <c r="N890" s="27">
        <f t="shared" si="142"/>
        <v>43556.25</v>
      </c>
      <c r="O890" s="27">
        <f t="shared" si="142"/>
        <v>43556.25</v>
      </c>
      <c r="P890" s="27">
        <f t="shared" si="142"/>
        <v>43556.25</v>
      </c>
      <c r="Q890" s="27">
        <f t="shared" si="142"/>
        <v>43556.25</v>
      </c>
      <c r="R890" s="40">
        <f t="shared" si="142"/>
        <v>43556.25</v>
      </c>
      <c r="S890" s="27">
        <f t="shared" si="142"/>
        <v>304147.3</v>
      </c>
    </row>
    <row r="891" spans="3:19" ht="13.5" customHeight="1">
      <c r="C891" s="12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7"/>
      <c r="S891" s="46"/>
    </row>
    <row r="892" spans="1:19" ht="13.5" customHeight="1">
      <c r="A892" s="1">
        <f>A886+1</f>
        <v>79</v>
      </c>
      <c r="B892" s="21"/>
      <c r="C892" s="5" t="s">
        <v>269</v>
      </c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7"/>
      <c r="S892" s="46"/>
    </row>
    <row r="893" spans="3:19" ht="13.5" customHeight="1">
      <c r="C893" s="4" t="s">
        <v>3</v>
      </c>
      <c r="G893" s="26">
        <v>552.27</v>
      </c>
      <c r="H893" s="26">
        <v>552.27</v>
      </c>
      <c r="I893" s="26">
        <v>552.27</v>
      </c>
      <c r="J893" s="26">
        <v>552.27</v>
      </c>
      <c r="K893" s="26">
        <v>552.27</v>
      </c>
      <c r="L893" s="26">
        <v>552.27</v>
      </c>
      <c r="M893" s="26">
        <v>552.27</v>
      </c>
      <c r="N893" s="26">
        <v>496.67</v>
      </c>
      <c r="O893" s="26">
        <v>496.67</v>
      </c>
      <c r="P893" s="26">
        <v>496.67</v>
      </c>
      <c r="Q893" s="26">
        <v>496.67</v>
      </c>
      <c r="R893" s="39">
        <v>496.67</v>
      </c>
      <c r="S893" s="26">
        <f>SUM(G893:R893)</f>
        <v>6349.24</v>
      </c>
    </row>
    <row r="894" spans="3:19" ht="13.5" customHeight="1">
      <c r="C894" s="4" t="s">
        <v>4</v>
      </c>
      <c r="G894" s="48">
        <v>250</v>
      </c>
      <c r="H894" s="48"/>
      <c r="I894" s="48"/>
      <c r="J894" s="48"/>
      <c r="K894" s="48"/>
      <c r="M894" s="48"/>
      <c r="P894" s="48"/>
      <c r="Q894" s="48"/>
      <c r="S894" s="26">
        <f>SUM(G894:R894)</f>
        <v>250</v>
      </c>
    </row>
    <row r="895" spans="3:19" ht="13.5" customHeight="1" thickBot="1">
      <c r="C895" s="4" t="s">
        <v>5</v>
      </c>
      <c r="G895" s="26">
        <f>9583.33+22323.44</f>
        <v>31906.769999999997</v>
      </c>
      <c r="H895" s="26">
        <f>9583.33+22323.43</f>
        <v>31906.760000000002</v>
      </c>
      <c r="I895" s="26">
        <f>9583.33+21260.42</f>
        <v>30843.75</v>
      </c>
      <c r="J895" s="26">
        <f>9583.33+21260.42</f>
        <v>30843.75</v>
      </c>
      <c r="K895" s="26">
        <f>9583.33+21260.42</f>
        <v>30843.75</v>
      </c>
      <c r="L895" s="26">
        <f>9583.33+21260.42</f>
        <v>30843.75</v>
      </c>
      <c r="M895" s="26">
        <f>9583.33+21260.42</f>
        <v>30843.75</v>
      </c>
      <c r="N895" s="26">
        <f>9583.37+21260.4</f>
        <v>30843.770000000004</v>
      </c>
      <c r="O895" s="26">
        <f>10416.67+21008.33</f>
        <v>31425</v>
      </c>
      <c r="P895" s="26">
        <f>10416.67+21008.33</f>
        <v>31425</v>
      </c>
      <c r="Q895" s="26">
        <f>10416.67+21008.33</f>
        <v>31425</v>
      </c>
      <c r="R895" s="39">
        <f>10416.67+21008.33</f>
        <v>31425</v>
      </c>
      <c r="S895" s="26">
        <f>SUM(G895:R895)</f>
        <v>374576.05</v>
      </c>
    </row>
    <row r="896" spans="3:19" ht="13.5" customHeight="1" thickBot="1">
      <c r="C896" s="6" t="s">
        <v>270</v>
      </c>
      <c r="G896" s="27">
        <f aca="true" t="shared" si="143" ref="G896:S896">SUM(G893:G895)</f>
        <v>32709.039999999997</v>
      </c>
      <c r="H896" s="27">
        <f t="shared" si="143"/>
        <v>32459.030000000002</v>
      </c>
      <c r="I896" s="27">
        <f t="shared" si="143"/>
        <v>31396.02</v>
      </c>
      <c r="J896" s="27">
        <f t="shared" si="143"/>
        <v>31396.02</v>
      </c>
      <c r="K896" s="27">
        <f t="shared" si="143"/>
        <v>31396.02</v>
      </c>
      <c r="L896" s="27">
        <f t="shared" si="143"/>
        <v>31396.02</v>
      </c>
      <c r="M896" s="27">
        <f t="shared" si="143"/>
        <v>31396.02</v>
      </c>
      <c r="N896" s="27">
        <f t="shared" si="143"/>
        <v>31340.440000000002</v>
      </c>
      <c r="O896" s="27">
        <f t="shared" si="143"/>
        <v>31921.67</v>
      </c>
      <c r="P896" s="27">
        <f t="shared" si="143"/>
        <v>31921.67</v>
      </c>
      <c r="Q896" s="27">
        <f t="shared" si="143"/>
        <v>31921.67</v>
      </c>
      <c r="R896" s="40">
        <f t="shared" si="143"/>
        <v>31921.67</v>
      </c>
      <c r="S896" s="27">
        <f t="shared" si="143"/>
        <v>381175.29</v>
      </c>
    </row>
    <row r="897" spans="3:19" ht="13.5" customHeight="1">
      <c r="C897" s="12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7"/>
      <c r="S897" s="46"/>
    </row>
    <row r="898" spans="2:19" ht="13.5" customHeight="1">
      <c r="B898" s="42" t="s">
        <v>105</v>
      </c>
      <c r="C898" s="30" t="s">
        <v>271</v>
      </c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7"/>
      <c r="S898" s="46"/>
    </row>
    <row r="899" spans="3:19" ht="13.5" customHeight="1">
      <c r="C899" s="4" t="s">
        <v>3</v>
      </c>
      <c r="G899" s="26">
        <v>0</v>
      </c>
      <c r="H899" s="26">
        <v>0</v>
      </c>
      <c r="I899" s="26">
        <v>0</v>
      </c>
      <c r="J899" s="26"/>
      <c r="K899" s="26"/>
      <c r="L899" s="26"/>
      <c r="M899" s="26"/>
      <c r="N899" s="26"/>
      <c r="O899" s="26"/>
      <c r="P899" s="26"/>
      <c r="Q899" s="26"/>
      <c r="R899" s="39"/>
      <c r="S899" s="26">
        <f>SUM(G899:R899)</f>
        <v>0</v>
      </c>
    </row>
    <row r="900" spans="3:19" ht="13.5" customHeight="1">
      <c r="C900" s="4" t="s">
        <v>4</v>
      </c>
      <c r="G900" s="48">
        <v>250</v>
      </c>
      <c r="H900" s="48"/>
      <c r="I900" s="48"/>
      <c r="J900" s="48"/>
      <c r="K900" s="48"/>
      <c r="M900" s="48"/>
      <c r="P900" s="48"/>
      <c r="Q900" s="48"/>
      <c r="S900" s="26">
        <f>SUM(G900:R900)</f>
        <v>250</v>
      </c>
    </row>
    <row r="901" spans="3:19" ht="13.5" customHeight="1" thickBot="1">
      <c r="C901" s="4" t="s">
        <v>5</v>
      </c>
      <c r="G901" s="26">
        <v>52687.5</v>
      </c>
      <c r="H901" s="26">
        <v>52687.5</v>
      </c>
      <c r="I901" s="26">
        <v>52687.5</v>
      </c>
      <c r="J901" s="26"/>
      <c r="K901" s="26"/>
      <c r="L901" s="26"/>
      <c r="M901" s="26"/>
      <c r="N901" s="26"/>
      <c r="O901" s="26"/>
      <c r="P901" s="26"/>
      <c r="Q901" s="26"/>
      <c r="R901" s="39"/>
      <c r="S901" s="26">
        <f>SUM(G901:R901)</f>
        <v>158062.5</v>
      </c>
    </row>
    <row r="902" spans="3:19" ht="13.5" customHeight="1" thickBot="1">
      <c r="C902" s="6" t="s">
        <v>272</v>
      </c>
      <c r="G902" s="27">
        <f aca="true" t="shared" si="144" ref="G902:S902">SUM(G899:G901)</f>
        <v>52937.5</v>
      </c>
      <c r="H902" s="27">
        <f t="shared" si="144"/>
        <v>52687.5</v>
      </c>
      <c r="I902" s="27">
        <f t="shared" si="144"/>
        <v>52687.5</v>
      </c>
      <c r="J902" s="27">
        <f t="shared" si="144"/>
        <v>0</v>
      </c>
      <c r="K902" s="27">
        <f t="shared" si="144"/>
        <v>0</v>
      </c>
      <c r="L902" s="27">
        <f t="shared" si="144"/>
        <v>0</v>
      </c>
      <c r="M902" s="27">
        <f t="shared" si="144"/>
        <v>0</v>
      </c>
      <c r="N902" s="27">
        <f t="shared" si="144"/>
        <v>0</v>
      </c>
      <c r="O902" s="27">
        <f t="shared" si="144"/>
        <v>0</v>
      </c>
      <c r="P902" s="27">
        <f t="shared" si="144"/>
        <v>0</v>
      </c>
      <c r="Q902" s="27">
        <f t="shared" si="144"/>
        <v>0</v>
      </c>
      <c r="R902" s="40">
        <f t="shared" si="144"/>
        <v>0</v>
      </c>
      <c r="S902" s="27">
        <f t="shared" si="144"/>
        <v>158312.5</v>
      </c>
    </row>
    <row r="903" spans="3:19" ht="13.5" customHeight="1">
      <c r="C903" s="12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  <c r="S903" s="46"/>
    </row>
    <row r="904" spans="1:19" ht="13.5" customHeight="1">
      <c r="A904" s="1">
        <f>A892+1</f>
        <v>80</v>
      </c>
      <c r="B904" s="21"/>
      <c r="C904" s="5" t="s">
        <v>273</v>
      </c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7"/>
      <c r="S904" s="46"/>
    </row>
    <row r="905" spans="3:19" ht="13.5" customHeight="1">
      <c r="C905" s="4" t="s">
        <v>3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39">
        <v>0</v>
      </c>
      <c r="S905" s="26">
        <f>SUM(G905:R905)</f>
        <v>0</v>
      </c>
    </row>
    <row r="906" spans="3:19" ht="13.5" customHeight="1">
      <c r="C906" s="4" t="s">
        <v>4</v>
      </c>
      <c r="G906" s="48">
        <v>250</v>
      </c>
      <c r="H906" s="48"/>
      <c r="I906" s="48"/>
      <c r="J906" s="48"/>
      <c r="K906" s="48"/>
      <c r="M906" s="48"/>
      <c r="P906" s="48"/>
      <c r="Q906" s="48"/>
      <c r="S906" s="26">
        <f>SUM(G906:R906)</f>
        <v>250</v>
      </c>
    </row>
    <row r="907" spans="3:19" ht="13.5" customHeight="1" thickBot="1">
      <c r="C907" s="4" t="s">
        <v>5</v>
      </c>
      <c r="G907" s="26">
        <v>0</v>
      </c>
      <c r="H907" s="26">
        <v>0</v>
      </c>
      <c r="I907" s="26">
        <v>56250</v>
      </c>
      <c r="J907" s="26">
        <v>56250</v>
      </c>
      <c r="K907" s="26">
        <v>56250</v>
      </c>
      <c r="L907" s="26">
        <v>56250</v>
      </c>
      <c r="M907" s="26">
        <v>56250</v>
      </c>
      <c r="N907" s="26">
        <v>56250</v>
      </c>
      <c r="O907" s="26">
        <f>17916.67+56250</f>
        <v>74166.67</v>
      </c>
      <c r="P907" s="26">
        <f>17916.67+56250</f>
        <v>74166.67</v>
      </c>
      <c r="Q907" s="26">
        <f>17916.67+56250</f>
        <v>74166.67</v>
      </c>
      <c r="R907" s="39">
        <f>17916.67+56250</f>
        <v>74166.67</v>
      </c>
      <c r="S907" s="26">
        <f>SUM(G907:R907)</f>
        <v>634166.68</v>
      </c>
    </row>
    <row r="908" spans="3:19" ht="13.5" customHeight="1" thickBot="1">
      <c r="C908" s="6" t="s">
        <v>183</v>
      </c>
      <c r="G908" s="27">
        <f aca="true" t="shared" si="145" ref="G908:S908">SUM(G905:G907)</f>
        <v>250</v>
      </c>
      <c r="H908" s="27">
        <f t="shared" si="145"/>
        <v>0</v>
      </c>
      <c r="I908" s="27">
        <f t="shared" si="145"/>
        <v>56250</v>
      </c>
      <c r="J908" s="27">
        <f t="shared" si="145"/>
        <v>56250</v>
      </c>
      <c r="K908" s="27">
        <f t="shared" si="145"/>
        <v>56250</v>
      </c>
      <c r="L908" s="27">
        <f t="shared" si="145"/>
        <v>56250</v>
      </c>
      <c r="M908" s="27">
        <f t="shared" si="145"/>
        <v>56250</v>
      </c>
      <c r="N908" s="27">
        <f t="shared" si="145"/>
        <v>56250</v>
      </c>
      <c r="O908" s="27">
        <f t="shared" si="145"/>
        <v>74166.67</v>
      </c>
      <c r="P908" s="27">
        <f t="shared" si="145"/>
        <v>74166.67</v>
      </c>
      <c r="Q908" s="27">
        <f t="shared" si="145"/>
        <v>74166.67</v>
      </c>
      <c r="R908" s="40">
        <f t="shared" si="145"/>
        <v>74166.67</v>
      </c>
      <c r="S908" s="27">
        <f t="shared" si="145"/>
        <v>634416.68</v>
      </c>
    </row>
    <row r="909" spans="3:19" ht="13.5" customHeight="1">
      <c r="C909" s="12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7"/>
      <c r="S909" s="46"/>
    </row>
    <row r="910" spans="1:19" ht="13.5" customHeight="1">
      <c r="A910" s="1">
        <f>A904+1</f>
        <v>81</v>
      </c>
      <c r="B910" s="21"/>
      <c r="C910" s="5" t="s">
        <v>275</v>
      </c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7"/>
      <c r="S910" s="46"/>
    </row>
    <row r="911" spans="3:19" ht="13.5" customHeight="1">
      <c r="C911" s="4" t="s">
        <v>3</v>
      </c>
      <c r="G911" s="26">
        <v>1121.74</v>
      </c>
      <c r="H911" s="26">
        <v>1121.74</v>
      </c>
      <c r="I911" s="26">
        <v>1121.74</v>
      </c>
      <c r="J911" s="26">
        <v>1121.74</v>
      </c>
      <c r="K911" s="26">
        <v>1121.74</v>
      </c>
      <c r="L911" s="26">
        <v>1121.74</v>
      </c>
      <c r="M911" s="26">
        <v>1121.74</v>
      </c>
      <c r="N911" s="26">
        <v>1080.83</v>
      </c>
      <c r="O911" s="26">
        <v>1080.83</v>
      </c>
      <c r="P911" s="26">
        <v>1080.83</v>
      </c>
      <c r="Q911" s="26">
        <v>1080.83</v>
      </c>
      <c r="R911" s="39">
        <v>1060.42</v>
      </c>
      <c r="S911" s="26">
        <f>SUM(G911:R911)</f>
        <v>13235.919999999998</v>
      </c>
    </row>
    <row r="912" spans="3:19" ht="13.5" customHeight="1">
      <c r="C912" s="4" t="s">
        <v>4</v>
      </c>
      <c r="G912" s="48">
        <v>250</v>
      </c>
      <c r="H912" s="48"/>
      <c r="I912" s="48"/>
      <c r="J912" s="48"/>
      <c r="K912" s="48"/>
      <c r="M912" s="48"/>
      <c r="P912" s="48"/>
      <c r="Q912" s="48"/>
      <c r="S912" s="26">
        <f>SUM(G912:R912)</f>
        <v>250</v>
      </c>
    </row>
    <row r="913" spans="3:19" ht="13.5" customHeight="1" thickBot="1">
      <c r="C913" s="4" t="s">
        <v>5</v>
      </c>
      <c r="G913" s="26">
        <v>31595.34</v>
      </c>
      <c r="H913" s="26">
        <v>31595.34</v>
      </c>
      <c r="I913" s="26">
        <f>31595.34+43821.88-22083.31</f>
        <v>53333.91</v>
      </c>
      <c r="J913" s="26">
        <f>31595.34+43821.85</f>
        <v>75417.19</v>
      </c>
      <c r="K913" s="26">
        <f>31666.67+42721.88</f>
        <v>74388.54999999999</v>
      </c>
      <c r="L913" s="26">
        <f aca="true" t="shared" si="146" ref="L913:R913">31666.67+42721.88</f>
        <v>74388.54999999999</v>
      </c>
      <c r="M913" s="26">
        <f t="shared" si="146"/>
        <v>74388.54999999999</v>
      </c>
      <c r="N913" s="26">
        <f t="shared" si="146"/>
        <v>74388.54999999999</v>
      </c>
      <c r="O913" s="26">
        <f t="shared" si="146"/>
        <v>74388.54999999999</v>
      </c>
      <c r="P913" s="26">
        <f>31666.67+42721.85</f>
        <v>74388.51999999999</v>
      </c>
      <c r="Q913" s="26">
        <f t="shared" si="146"/>
        <v>74388.54999999999</v>
      </c>
      <c r="R913" s="39">
        <f t="shared" si="146"/>
        <v>74388.54999999999</v>
      </c>
      <c r="S913" s="26">
        <f>SUM(G913:R913)</f>
        <v>787050.1499999999</v>
      </c>
    </row>
    <row r="914" spans="3:19" ht="13.5" customHeight="1" thickBot="1">
      <c r="C914" s="6" t="s">
        <v>118</v>
      </c>
      <c r="G914" s="27">
        <f aca="true" t="shared" si="147" ref="G914:S914">SUM(G911:G913)</f>
        <v>32967.08</v>
      </c>
      <c r="H914" s="27">
        <f t="shared" si="147"/>
        <v>32717.08</v>
      </c>
      <c r="I914" s="27">
        <f t="shared" si="147"/>
        <v>54455.65</v>
      </c>
      <c r="J914" s="27">
        <f t="shared" si="147"/>
        <v>76538.93000000001</v>
      </c>
      <c r="K914" s="27">
        <f t="shared" si="147"/>
        <v>75510.29</v>
      </c>
      <c r="L914" s="27">
        <f t="shared" si="147"/>
        <v>75510.29</v>
      </c>
      <c r="M914" s="27">
        <f t="shared" si="147"/>
        <v>75510.29</v>
      </c>
      <c r="N914" s="27">
        <f t="shared" si="147"/>
        <v>75469.37999999999</v>
      </c>
      <c r="O914" s="27">
        <f t="shared" si="147"/>
        <v>75469.37999999999</v>
      </c>
      <c r="P914" s="27">
        <f t="shared" si="147"/>
        <v>75469.34999999999</v>
      </c>
      <c r="Q914" s="27">
        <f t="shared" si="147"/>
        <v>75469.37999999999</v>
      </c>
      <c r="R914" s="40">
        <f t="shared" si="147"/>
        <v>75448.96999999999</v>
      </c>
      <c r="S914" s="27">
        <f t="shared" si="147"/>
        <v>800536.07</v>
      </c>
    </row>
    <row r="915" spans="3:19" ht="13.5" customHeight="1">
      <c r="C915" s="12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7"/>
      <c r="S915" s="46"/>
    </row>
    <row r="916" spans="1:19" ht="13.5" customHeight="1">
      <c r="A916" s="1">
        <f>A910+1</f>
        <v>82</v>
      </c>
      <c r="B916" s="21"/>
      <c r="C916" s="5" t="s">
        <v>276</v>
      </c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7"/>
      <c r="S916" s="46"/>
    </row>
    <row r="917" spans="3:19" ht="13.5" customHeight="1">
      <c r="C917" s="4" t="s">
        <v>3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39">
        <v>0</v>
      </c>
      <c r="S917" s="26">
        <f>SUM(G917:R917)</f>
        <v>0</v>
      </c>
    </row>
    <row r="918" spans="3:19" ht="13.5" customHeight="1">
      <c r="C918" s="4" t="s">
        <v>4</v>
      </c>
      <c r="G918" s="48">
        <v>250</v>
      </c>
      <c r="H918" s="48"/>
      <c r="I918" s="48"/>
      <c r="J918" s="48"/>
      <c r="K918" s="48"/>
      <c r="M918" s="48"/>
      <c r="P918" s="48"/>
      <c r="Q918" s="48"/>
      <c r="S918" s="26">
        <f>SUM(G918:R918)</f>
        <v>250</v>
      </c>
    </row>
    <row r="919" spans="3:19" ht="13.5" customHeight="1" thickBot="1">
      <c r="C919" s="4" t="s">
        <v>5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f>8000+57100</f>
        <v>65100</v>
      </c>
      <c r="M919" s="26">
        <f>7000+57056.67</f>
        <v>64056.67</v>
      </c>
      <c r="N919" s="26">
        <f>7000+57018.75</f>
        <v>64018.75</v>
      </c>
      <c r="O919" s="26">
        <f>7000+56980.83</f>
        <v>63980.83</v>
      </c>
      <c r="P919" s="26">
        <f>7000+56942.92</f>
        <v>63942.92</v>
      </c>
      <c r="Q919" s="26">
        <f>9000+56905</f>
        <v>65905</v>
      </c>
      <c r="R919" s="39">
        <f>15900+56856.25</f>
        <v>72756.25</v>
      </c>
      <c r="S919" s="26">
        <f>SUM(G919:R919)</f>
        <v>459760.42</v>
      </c>
    </row>
    <row r="920" spans="3:19" ht="13.5" customHeight="1" thickBot="1">
      <c r="C920" s="6" t="s">
        <v>277</v>
      </c>
      <c r="G920" s="27">
        <f aca="true" t="shared" si="148" ref="G920:S920">SUM(G917:G919)</f>
        <v>250</v>
      </c>
      <c r="H920" s="27">
        <f t="shared" si="148"/>
        <v>0</v>
      </c>
      <c r="I920" s="27">
        <f t="shared" si="148"/>
        <v>0</v>
      </c>
      <c r="J920" s="27">
        <f t="shared" si="148"/>
        <v>0</v>
      </c>
      <c r="K920" s="27">
        <f t="shared" si="148"/>
        <v>0</v>
      </c>
      <c r="L920" s="27">
        <f t="shared" si="148"/>
        <v>65100</v>
      </c>
      <c r="M920" s="27">
        <f t="shared" si="148"/>
        <v>64056.67</v>
      </c>
      <c r="N920" s="27">
        <f t="shared" si="148"/>
        <v>64018.75</v>
      </c>
      <c r="O920" s="27">
        <f t="shared" si="148"/>
        <v>63980.83</v>
      </c>
      <c r="P920" s="27">
        <f t="shared" si="148"/>
        <v>63942.92</v>
      </c>
      <c r="Q920" s="27">
        <f t="shared" si="148"/>
        <v>65905</v>
      </c>
      <c r="R920" s="40">
        <f t="shared" si="148"/>
        <v>72756.25</v>
      </c>
      <c r="S920" s="27">
        <f t="shared" si="148"/>
        <v>460010.42</v>
      </c>
    </row>
    <row r="921" spans="3:19" ht="13.5" customHeight="1">
      <c r="C921" s="12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7"/>
      <c r="S921" s="46"/>
    </row>
    <row r="922" spans="1:19" ht="13.5" customHeight="1">
      <c r="A922" s="1">
        <f>A916+1</f>
        <v>83</v>
      </c>
      <c r="B922" s="21"/>
      <c r="C922" s="5" t="s">
        <v>278</v>
      </c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7"/>
      <c r="S922" s="46"/>
    </row>
    <row r="923" spans="3:19" ht="13.5" customHeight="1">
      <c r="C923" s="4" t="s">
        <v>3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39">
        <v>0</v>
      </c>
      <c r="S923" s="26">
        <f>SUM(G923:R923)</f>
        <v>0</v>
      </c>
    </row>
    <row r="924" spans="3:19" ht="13.5" customHeight="1">
      <c r="C924" s="4" t="s">
        <v>4</v>
      </c>
      <c r="G924" s="48">
        <v>250</v>
      </c>
      <c r="H924" s="48"/>
      <c r="I924" s="48"/>
      <c r="J924" s="48"/>
      <c r="K924" s="48"/>
      <c r="M924" s="48"/>
      <c r="P924" s="48"/>
      <c r="Q924" s="48"/>
      <c r="S924" s="26">
        <f>SUM(G924:R924)</f>
        <v>250</v>
      </c>
    </row>
    <row r="925" spans="3:19" ht="13.5" customHeight="1" thickBot="1">
      <c r="C925" s="4" t="s">
        <v>5</v>
      </c>
      <c r="G925" s="26">
        <v>0</v>
      </c>
      <c r="H925" s="26">
        <v>0</v>
      </c>
      <c r="I925" s="26">
        <v>0</v>
      </c>
      <c r="J925" s="26">
        <v>0</v>
      </c>
      <c r="K925" s="26">
        <v>5532.08</v>
      </c>
      <c r="L925" s="26">
        <v>28000</v>
      </c>
      <c r="M925" s="26">
        <v>28000</v>
      </c>
      <c r="N925" s="26">
        <v>28000</v>
      </c>
      <c r="O925" s="26">
        <v>28000</v>
      </c>
      <c r="P925" s="26">
        <v>28000</v>
      </c>
      <c r="Q925" s="26">
        <v>28000</v>
      </c>
      <c r="R925" s="39">
        <v>28000</v>
      </c>
      <c r="S925" s="26">
        <f>SUM(G925:R925)</f>
        <v>201532.08000000002</v>
      </c>
    </row>
    <row r="926" spans="3:19" ht="13.5" customHeight="1" thickBot="1">
      <c r="C926" s="6" t="s">
        <v>89</v>
      </c>
      <c r="G926" s="27">
        <f aca="true" t="shared" si="149" ref="G926:S926">SUM(G923:G925)</f>
        <v>250</v>
      </c>
      <c r="H926" s="27">
        <f t="shared" si="149"/>
        <v>0</v>
      </c>
      <c r="I926" s="27">
        <f t="shared" si="149"/>
        <v>0</v>
      </c>
      <c r="J926" s="27">
        <f t="shared" si="149"/>
        <v>0</v>
      </c>
      <c r="K926" s="27">
        <f t="shared" si="149"/>
        <v>5532.08</v>
      </c>
      <c r="L926" s="27">
        <f t="shared" si="149"/>
        <v>28000</v>
      </c>
      <c r="M926" s="27">
        <f t="shared" si="149"/>
        <v>28000</v>
      </c>
      <c r="N926" s="27">
        <f t="shared" si="149"/>
        <v>28000</v>
      </c>
      <c r="O926" s="27">
        <f t="shared" si="149"/>
        <v>28000</v>
      </c>
      <c r="P926" s="27">
        <f t="shared" si="149"/>
        <v>28000</v>
      </c>
      <c r="Q926" s="27">
        <f t="shared" si="149"/>
        <v>28000</v>
      </c>
      <c r="R926" s="40">
        <f t="shared" si="149"/>
        <v>28000</v>
      </c>
      <c r="S926" s="27">
        <f t="shared" si="149"/>
        <v>201782.08000000002</v>
      </c>
    </row>
    <row r="927" spans="3:19" ht="13.5" customHeight="1">
      <c r="C927" s="12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7"/>
      <c r="S927" s="46"/>
    </row>
    <row r="928" spans="1:19" ht="13.5" customHeight="1">
      <c r="A928" s="1">
        <f>A922+1</f>
        <v>84</v>
      </c>
      <c r="B928" s="21"/>
      <c r="C928" s="5" t="s">
        <v>279</v>
      </c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7"/>
      <c r="S928" s="46"/>
    </row>
    <row r="929" spans="3:19" ht="13.5" customHeight="1">
      <c r="C929" s="4" t="s">
        <v>3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39">
        <v>0</v>
      </c>
      <c r="S929" s="26">
        <f>SUM(G929:R929)</f>
        <v>0</v>
      </c>
    </row>
    <row r="930" spans="3:19" ht="13.5" customHeight="1">
      <c r="C930" s="4" t="s">
        <v>4</v>
      </c>
      <c r="G930" s="48">
        <v>250</v>
      </c>
      <c r="H930" s="48"/>
      <c r="I930" s="48"/>
      <c r="J930" s="48"/>
      <c r="K930" s="48"/>
      <c r="M930" s="48"/>
      <c r="P930" s="48"/>
      <c r="Q930" s="48"/>
      <c r="S930" s="26">
        <f>SUM(G930:R930)</f>
        <v>250</v>
      </c>
    </row>
    <row r="931" spans="3:19" ht="13.5" customHeight="1" thickBot="1">
      <c r="C931" s="4" t="s">
        <v>5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30890.63</v>
      </c>
      <c r="M931" s="26">
        <v>30890.63</v>
      </c>
      <c r="N931" s="26">
        <v>30890.63</v>
      </c>
      <c r="O931" s="26">
        <v>30890.63</v>
      </c>
      <c r="P931" s="26">
        <v>30890.63</v>
      </c>
      <c r="Q931" s="26">
        <v>30890.6</v>
      </c>
      <c r="R931" s="39">
        <v>25656.25</v>
      </c>
      <c r="S931" s="26">
        <f>SUM(G931:R931)</f>
        <v>211000</v>
      </c>
    </row>
    <row r="932" spans="3:19" ht="13.5" customHeight="1" thickBot="1">
      <c r="C932" s="6" t="s">
        <v>280</v>
      </c>
      <c r="G932" s="27">
        <f aca="true" t="shared" si="150" ref="G932:S932">SUM(G929:G931)</f>
        <v>250</v>
      </c>
      <c r="H932" s="27">
        <f t="shared" si="150"/>
        <v>0</v>
      </c>
      <c r="I932" s="27">
        <f t="shared" si="150"/>
        <v>0</v>
      </c>
      <c r="J932" s="27">
        <f t="shared" si="150"/>
        <v>0</v>
      </c>
      <c r="K932" s="27">
        <f t="shared" si="150"/>
        <v>0</v>
      </c>
      <c r="L932" s="27">
        <f t="shared" si="150"/>
        <v>30890.63</v>
      </c>
      <c r="M932" s="27">
        <f t="shared" si="150"/>
        <v>30890.63</v>
      </c>
      <c r="N932" s="27">
        <f t="shared" si="150"/>
        <v>30890.63</v>
      </c>
      <c r="O932" s="27">
        <f t="shared" si="150"/>
        <v>30890.63</v>
      </c>
      <c r="P932" s="27">
        <f t="shared" si="150"/>
        <v>30890.63</v>
      </c>
      <c r="Q932" s="27">
        <f t="shared" si="150"/>
        <v>30890.6</v>
      </c>
      <c r="R932" s="40">
        <f t="shared" si="150"/>
        <v>25656.25</v>
      </c>
      <c r="S932" s="27">
        <f t="shared" si="150"/>
        <v>211250</v>
      </c>
    </row>
    <row r="933" spans="3:19" ht="13.5" customHeight="1">
      <c r="C933" s="12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7"/>
      <c r="S933" s="46"/>
    </row>
    <row r="934" spans="1:19" ht="13.5" customHeight="1">
      <c r="A934" s="1">
        <f>A928+1</f>
        <v>85</v>
      </c>
      <c r="B934" s="21"/>
      <c r="C934" s="5" t="s">
        <v>281</v>
      </c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7"/>
      <c r="S934" s="46"/>
    </row>
    <row r="935" spans="3:19" ht="13.5" customHeight="1">
      <c r="C935" s="4" t="s">
        <v>3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39">
        <v>0</v>
      </c>
      <c r="S935" s="26">
        <f>SUM(G935:R935)</f>
        <v>0</v>
      </c>
    </row>
    <row r="936" spans="3:19" ht="13.5" customHeight="1">
      <c r="C936" s="4" t="s">
        <v>4</v>
      </c>
      <c r="G936" s="48">
        <v>250</v>
      </c>
      <c r="H936" s="48"/>
      <c r="I936" s="48"/>
      <c r="J936" s="48"/>
      <c r="K936" s="48"/>
      <c r="M936" s="48"/>
      <c r="P936" s="48"/>
      <c r="Q936" s="48"/>
      <c r="S936" s="26">
        <f>SUM(G936:R936)</f>
        <v>250</v>
      </c>
    </row>
    <row r="937" spans="3:19" ht="13.5" customHeight="1" thickBot="1">
      <c r="C937" s="4" t="s">
        <v>5</v>
      </c>
      <c r="G937" s="26">
        <f>12282+17866.34</f>
        <v>30148.34</v>
      </c>
      <c r="H937" s="26">
        <f>12281.99+17271.21</f>
        <v>29553.199999999997</v>
      </c>
      <c r="I937" s="26">
        <f>12281.99+16678.46</f>
        <v>28960.449999999997</v>
      </c>
      <c r="J937" s="26">
        <f>12281.99+17197.6</f>
        <v>29479.589999999997</v>
      </c>
      <c r="K937" s="26">
        <f>12281.99+16607.22</f>
        <v>28889.21</v>
      </c>
      <c r="L937" s="26">
        <f>12281.99+17123.99</f>
        <v>29405.980000000003</v>
      </c>
      <c r="M937" s="26">
        <f>12281.99+17087.18</f>
        <v>29369.17</v>
      </c>
      <c r="N937" s="26">
        <f>12281.99+15400.34</f>
        <v>27682.33</v>
      </c>
      <c r="O937" s="26">
        <f>12281.99+17013.57</f>
        <v>29295.559999999998</v>
      </c>
      <c r="P937" s="26">
        <f>12281.99+16429.13</f>
        <v>28711.120000000003</v>
      </c>
      <c r="Q937" s="26">
        <f>12282+16939.96</f>
        <v>29221.96</v>
      </c>
      <c r="R937" s="39">
        <f>12687.73+16357.9</f>
        <v>29045.629999999997</v>
      </c>
      <c r="S937" s="26">
        <f>SUM(G937:R937)</f>
        <v>349762.54000000004</v>
      </c>
    </row>
    <row r="938" spans="3:19" ht="13.5" customHeight="1" thickBot="1">
      <c r="C938" s="6" t="s">
        <v>18</v>
      </c>
      <c r="G938" s="27">
        <f aca="true" t="shared" si="151" ref="G938:S938">SUM(G935:G937)</f>
        <v>30398.34</v>
      </c>
      <c r="H938" s="27">
        <f t="shared" si="151"/>
        <v>29553.199999999997</v>
      </c>
      <c r="I938" s="27">
        <f t="shared" si="151"/>
        <v>28960.449999999997</v>
      </c>
      <c r="J938" s="27">
        <f t="shared" si="151"/>
        <v>29479.589999999997</v>
      </c>
      <c r="K938" s="27">
        <f t="shared" si="151"/>
        <v>28889.21</v>
      </c>
      <c r="L938" s="27">
        <f t="shared" si="151"/>
        <v>29405.980000000003</v>
      </c>
      <c r="M938" s="27">
        <f t="shared" si="151"/>
        <v>29369.17</v>
      </c>
      <c r="N938" s="27">
        <f t="shared" si="151"/>
        <v>27682.33</v>
      </c>
      <c r="O938" s="27">
        <f t="shared" si="151"/>
        <v>29295.559999999998</v>
      </c>
      <c r="P938" s="27">
        <f t="shared" si="151"/>
        <v>28711.120000000003</v>
      </c>
      <c r="Q938" s="27">
        <f t="shared" si="151"/>
        <v>29221.96</v>
      </c>
      <c r="R938" s="40">
        <f t="shared" si="151"/>
        <v>29045.629999999997</v>
      </c>
      <c r="S938" s="27">
        <f t="shared" si="151"/>
        <v>350012.54000000004</v>
      </c>
    </row>
    <row r="939" spans="3:19" ht="13.5" customHeight="1">
      <c r="C939" s="12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7"/>
      <c r="S939" s="46"/>
    </row>
    <row r="940" spans="1:19" ht="13.5" customHeight="1">
      <c r="A940" s="1">
        <f>A934+1</f>
        <v>86</v>
      </c>
      <c r="B940" s="21"/>
      <c r="C940" s="5" t="s">
        <v>282</v>
      </c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7"/>
      <c r="S940" s="46"/>
    </row>
    <row r="941" spans="3:19" ht="13.5" customHeight="1">
      <c r="C941" s="4" t="s">
        <v>3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39">
        <v>0</v>
      </c>
      <c r="S941" s="26">
        <f>SUM(G941:R941)</f>
        <v>0</v>
      </c>
    </row>
    <row r="942" spans="3:19" ht="13.5" customHeight="1">
      <c r="C942" s="4" t="s">
        <v>4</v>
      </c>
      <c r="G942" s="48">
        <v>250</v>
      </c>
      <c r="H942" s="48"/>
      <c r="I942" s="48"/>
      <c r="J942" s="48"/>
      <c r="K942" s="48"/>
      <c r="M942" s="48"/>
      <c r="P942" s="48"/>
      <c r="Q942" s="48"/>
      <c r="S942" s="26">
        <f>SUM(G942:R942)</f>
        <v>250</v>
      </c>
    </row>
    <row r="943" spans="3:19" ht="13.5" customHeight="1" thickBot="1">
      <c r="C943" s="4" t="s">
        <v>5</v>
      </c>
      <c r="G943" s="26">
        <v>37191.99</v>
      </c>
      <c r="H943" s="26">
        <v>37191.99</v>
      </c>
      <c r="I943" s="26">
        <v>37191.99</v>
      </c>
      <c r="J943" s="26">
        <v>37191.99</v>
      </c>
      <c r="K943" s="26">
        <v>37191.99</v>
      </c>
      <c r="L943" s="26">
        <v>37192.03</v>
      </c>
      <c r="M943" s="26">
        <v>36582.29</v>
      </c>
      <c r="N943" s="26">
        <v>36582.29</v>
      </c>
      <c r="O943" s="26">
        <v>36582.29</v>
      </c>
      <c r="P943" s="26">
        <v>36582.29</v>
      </c>
      <c r="Q943" s="26">
        <v>36582.29</v>
      </c>
      <c r="R943" s="39">
        <v>36582.3</v>
      </c>
      <c r="S943" s="26">
        <f>SUM(G943:R943)</f>
        <v>442645.7299999999</v>
      </c>
    </row>
    <row r="944" spans="3:19" ht="13.5" customHeight="1" thickBot="1">
      <c r="C944" s="6" t="s">
        <v>283</v>
      </c>
      <c r="G944" s="27">
        <f aca="true" t="shared" si="152" ref="G944:S944">SUM(G941:G943)</f>
        <v>37441.99</v>
      </c>
      <c r="H944" s="27">
        <f t="shared" si="152"/>
        <v>37191.99</v>
      </c>
      <c r="I944" s="27">
        <f t="shared" si="152"/>
        <v>37191.99</v>
      </c>
      <c r="J944" s="27">
        <f t="shared" si="152"/>
        <v>37191.99</v>
      </c>
      <c r="K944" s="27">
        <f t="shared" si="152"/>
        <v>37191.99</v>
      </c>
      <c r="L944" s="27">
        <f t="shared" si="152"/>
        <v>37192.03</v>
      </c>
      <c r="M944" s="27">
        <f t="shared" si="152"/>
        <v>36582.29</v>
      </c>
      <c r="N944" s="27">
        <f t="shared" si="152"/>
        <v>36582.29</v>
      </c>
      <c r="O944" s="27">
        <f t="shared" si="152"/>
        <v>36582.29</v>
      </c>
      <c r="P944" s="27">
        <f t="shared" si="152"/>
        <v>36582.29</v>
      </c>
      <c r="Q944" s="27">
        <f t="shared" si="152"/>
        <v>36582.29</v>
      </c>
      <c r="R944" s="40">
        <f t="shared" si="152"/>
        <v>36582.3</v>
      </c>
      <c r="S944" s="27">
        <f t="shared" si="152"/>
        <v>442895.7299999999</v>
      </c>
    </row>
    <row r="945" spans="3:19" ht="13.5" customHeight="1">
      <c r="C945" s="12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7"/>
      <c r="S945" s="46"/>
    </row>
    <row r="946" spans="1:19" ht="13.5" customHeight="1">
      <c r="A946" s="1">
        <f>A940+1</f>
        <v>87</v>
      </c>
      <c r="B946" s="21"/>
      <c r="C946" s="5" t="s">
        <v>285</v>
      </c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  <c r="S946" s="46"/>
    </row>
    <row r="947" spans="3:19" ht="13.5" customHeight="1">
      <c r="C947" s="4" t="s">
        <v>3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39">
        <v>0</v>
      </c>
      <c r="S947" s="26">
        <f>SUM(G947:R947)</f>
        <v>0</v>
      </c>
    </row>
    <row r="948" spans="3:19" ht="13.5" customHeight="1">
      <c r="C948" s="4" t="s">
        <v>4</v>
      </c>
      <c r="G948" s="48"/>
      <c r="H948" s="48"/>
      <c r="I948" s="48"/>
      <c r="J948" s="48"/>
      <c r="K948" s="48">
        <v>166.67</v>
      </c>
      <c r="M948" s="48"/>
      <c r="P948" s="48"/>
      <c r="Q948" s="48"/>
      <c r="S948" s="26">
        <f>SUM(G948:R948)</f>
        <v>166.67</v>
      </c>
    </row>
    <row r="949" spans="3:19" ht="13.5" customHeight="1" thickBot="1">
      <c r="C949" s="4" t="s">
        <v>5</v>
      </c>
      <c r="G949" s="26">
        <v>0</v>
      </c>
      <c r="H949" s="26">
        <v>0</v>
      </c>
      <c r="I949" s="26">
        <v>0</v>
      </c>
      <c r="J949" s="26">
        <v>0</v>
      </c>
      <c r="K949" s="26">
        <v>59716.11</v>
      </c>
      <c r="L949" s="26">
        <v>29858.06</v>
      </c>
      <c r="M949" s="26">
        <v>29858.06</v>
      </c>
      <c r="N949" s="26">
        <v>29858.06</v>
      </c>
      <c r="O949" s="26">
        <v>29858.06</v>
      </c>
      <c r="P949" s="26">
        <v>62859.06</v>
      </c>
      <c r="Q949" s="26">
        <v>62859.06</v>
      </c>
      <c r="R949" s="39">
        <v>62859.06</v>
      </c>
      <c r="S949" s="26">
        <f>SUM(G949:R949)</f>
        <v>367725.52999999997</v>
      </c>
    </row>
    <row r="950" spans="3:19" ht="13.5" customHeight="1" thickBot="1">
      <c r="C950" s="6" t="s">
        <v>272</v>
      </c>
      <c r="G950" s="27">
        <f aca="true" t="shared" si="153" ref="G950:S950">SUM(G947:G949)</f>
        <v>0</v>
      </c>
      <c r="H950" s="27">
        <f t="shared" si="153"/>
        <v>0</v>
      </c>
      <c r="I950" s="27">
        <f t="shared" si="153"/>
        <v>0</v>
      </c>
      <c r="J950" s="27">
        <f t="shared" si="153"/>
        <v>0</v>
      </c>
      <c r="K950" s="27">
        <f t="shared" si="153"/>
        <v>59882.78</v>
      </c>
      <c r="L950" s="27">
        <f t="shared" si="153"/>
        <v>29858.06</v>
      </c>
      <c r="M950" s="27">
        <f t="shared" si="153"/>
        <v>29858.06</v>
      </c>
      <c r="N950" s="27">
        <f t="shared" si="153"/>
        <v>29858.06</v>
      </c>
      <c r="O950" s="27">
        <f t="shared" si="153"/>
        <v>29858.06</v>
      </c>
      <c r="P950" s="27">
        <f t="shared" si="153"/>
        <v>62859.06</v>
      </c>
      <c r="Q950" s="27">
        <f t="shared" si="153"/>
        <v>62859.06</v>
      </c>
      <c r="R950" s="40">
        <f t="shared" si="153"/>
        <v>62859.06</v>
      </c>
      <c r="S950" s="27">
        <f t="shared" si="153"/>
        <v>367892.19999999995</v>
      </c>
    </row>
    <row r="951" spans="3:19" ht="13.5" customHeight="1">
      <c r="C951" s="12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7"/>
      <c r="S951" s="46"/>
    </row>
    <row r="952" spans="1:19" ht="13.5" customHeight="1">
      <c r="A952" s="1">
        <f>A946+1</f>
        <v>88</v>
      </c>
      <c r="B952" s="21"/>
      <c r="C952" s="5" t="s">
        <v>286</v>
      </c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7"/>
      <c r="S952" s="46"/>
    </row>
    <row r="953" spans="3:19" ht="13.5" customHeight="1">
      <c r="C953" s="4" t="s">
        <v>3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39">
        <v>0</v>
      </c>
      <c r="S953" s="26">
        <f>SUM(G953:R953)</f>
        <v>0</v>
      </c>
    </row>
    <row r="954" spans="3:19" ht="13.5" customHeight="1">
      <c r="C954" s="4" t="s">
        <v>4</v>
      </c>
      <c r="G954" s="48"/>
      <c r="H954" s="48"/>
      <c r="I954" s="48"/>
      <c r="J954" s="48"/>
      <c r="K954" s="48"/>
      <c r="L954">
        <v>145.83</v>
      </c>
      <c r="M954" s="48"/>
      <c r="P954" s="48"/>
      <c r="Q954" s="48"/>
      <c r="S954" s="26">
        <f>SUM(G954:R954)</f>
        <v>145.83</v>
      </c>
    </row>
    <row r="955" spans="3:19" ht="13.5" customHeight="1" thickBot="1">
      <c r="C955" s="4" t="s">
        <v>5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f>6584.28+13185.76</f>
        <v>19770.04</v>
      </c>
      <c r="M955" s="26">
        <f>6604.12+13165.92</f>
        <v>19770.04</v>
      </c>
      <c r="N955" s="26">
        <f>7896.22+11873.82</f>
        <v>19770.04</v>
      </c>
      <c r="O955" s="26">
        <f>6647.82+13122.22</f>
        <v>19770.04</v>
      </c>
      <c r="P955" s="26">
        <f>7090.51+12679.53</f>
        <v>19770.04</v>
      </c>
      <c r="Q955" s="26">
        <f>6689.23+13080.81</f>
        <v>19770.04</v>
      </c>
      <c r="R955" s="39">
        <f>7130.7+12639.34</f>
        <v>19770.04</v>
      </c>
      <c r="S955" s="26">
        <f>SUM(G955:R955)</f>
        <v>138390.28000000003</v>
      </c>
    </row>
    <row r="956" spans="3:19" ht="13.5" customHeight="1" thickBot="1">
      <c r="C956" s="6" t="s">
        <v>71</v>
      </c>
      <c r="G956" s="27">
        <f aca="true" t="shared" si="154" ref="G956:S956">SUM(G953:G955)</f>
        <v>0</v>
      </c>
      <c r="H956" s="27">
        <f t="shared" si="154"/>
        <v>0</v>
      </c>
      <c r="I956" s="27">
        <f t="shared" si="154"/>
        <v>0</v>
      </c>
      <c r="J956" s="27">
        <f t="shared" si="154"/>
        <v>0</v>
      </c>
      <c r="K956" s="27">
        <f t="shared" si="154"/>
        <v>0</v>
      </c>
      <c r="L956" s="27">
        <f t="shared" si="154"/>
        <v>19915.870000000003</v>
      </c>
      <c r="M956" s="27">
        <f t="shared" si="154"/>
        <v>19770.04</v>
      </c>
      <c r="N956" s="27">
        <f t="shared" si="154"/>
        <v>19770.04</v>
      </c>
      <c r="O956" s="27">
        <f t="shared" si="154"/>
        <v>19770.04</v>
      </c>
      <c r="P956" s="27">
        <f t="shared" si="154"/>
        <v>19770.04</v>
      </c>
      <c r="Q956" s="27">
        <f t="shared" si="154"/>
        <v>19770.04</v>
      </c>
      <c r="R956" s="40">
        <f t="shared" si="154"/>
        <v>19770.04</v>
      </c>
      <c r="S956" s="27">
        <f t="shared" si="154"/>
        <v>138536.11000000002</v>
      </c>
    </row>
    <row r="957" spans="3:19" ht="13.5" customHeight="1">
      <c r="C957" s="12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7"/>
      <c r="S957" s="46"/>
    </row>
    <row r="958" spans="1:19" ht="13.5" customHeight="1">
      <c r="A958" s="1">
        <f>A952+1</f>
        <v>89</v>
      </c>
      <c r="B958" s="21"/>
      <c r="C958" s="5" t="s">
        <v>287</v>
      </c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7"/>
      <c r="S958" s="46"/>
    </row>
    <row r="959" spans="3:19" ht="13.5" customHeight="1">
      <c r="C959" s="4" t="s">
        <v>3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39">
        <v>0</v>
      </c>
      <c r="S959" s="26">
        <f>SUM(G959:R959)</f>
        <v>0</v>
      </c>
    </row>
    <row r="960" spans="3:19" ht="13.5" customHeight="1">
      <c r="C960" s="4" t="s">
        <v>4</v>
      </c>
      <c r="G960" s="48"/>
      <c r="H960" s="48"/>
      <c r="I960" s="48"/>
      <c r="J960" s="48"/>
      <c r="K960" s="48"/>
      <c r="L960" s="48"/>
      <c r="M960" s="48"/>
      <c r="N960" s="48"/>
      <c r="O960" s="48"/>
      <c r="P960" s="48">
        <v>62.5</v>
      </c>
      <c r="Q960" s="48"/>
      <c r="R960" s="49"/>
      <c r="S960" s="26">
        <f>SUM(G960:R960)</f>
        <v>62.5</v>
      </c>
    </row>
    <row r="961" spans="3:19" ht="13.5" customHeight="1" thickBot="1">
      <c r="C961" s="4" t="s">
        <v>5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74533.38</v>
      </c>
      <c r="Q961" s="26">
        <v>74533.38</v>
      </c>
      <c r="R961" s="39">
        <v>74533.38</v>
      </c>
      <c r="S961" s="26">
        <f>SUM(G961:R961)</f>
        <v>223600.14</v>
      </c>
    </row>
    <row r="962" spans="3:19" ht="13.5" customHeight="1" thickBot="1">
      <c r="C962" s="6" t="s">
        <v>288</v>
      </c>
      <c r="G962" s="27">
        <f aca="true" t="shared" si="155" ref="G962:S962">SUM(G959:G961)</f>
        <v>0</v>
      </c>
      <c r="H962" s="27">
        <f t="shared" si="155"/>
        <v>0</v>
      </c>
      <c r="I962" s="27">
        <f t="shared" si="155"/>
        <v>0</v>
      </c>
      <c r="J962" s="27">
        <f t="shared" si="155"/>
        <v>0</v>
      </c>
      <c r="K962" s="27">
        <f t="shared" si="155"/>
        <v>0</v>
      </c>
      <c r="L962" s="27">
        <f t="shared" si="155"/>
        <v>0</v>
      </c>
      <c r="M962" s="27">
        <f t="shared" si="155"/>
        <v>0</v>
      </c>
      <c r="N962" s="27">
        <f t="shared" si="155"/>
        <v>0</v>
      </c>
      <c r="O962" s="27">
        <f t="shared" si="155"/>
        <v>0</v>
      </c>
      <c r="P962" s="27">
        <f t="shared" si="155"/>
        <v>74595.88</v>
      </c>
      <c r="Q962" s="27">
        <f t="shared" si="155"/>
        <v>74533.38</v>
      </c>
      <c r="R962" s="40">
        <f t="shared" si="155"/>
        <v>74533.38</v>
      </c>
      <c r="S962" s="27">
        <f t="shared" si="155"/>
        <v>223662.64</v>
      </c>
    </row>
    <row r="963" spans="3:19" ht="13.5" customHeight="1">
      <c r="C963" s="12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7"/>
      <c r="S963" s="46"/>
    </row>
    <row r="964" spans="1:19" ht="13.5" customHeight="1">
      <c r="A964" s="1">
        <f>A958+1</f>
        <v>90</v>
      </c>
      <c r="B964" s="21"/>
      <c r="C964" s="5" t="s">
        <v>289</v>
      </c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7"/>
      <c r="S964" s="46"/>
    </row>
    <row r="965" spans="3:19" ht="13.5" customHeight="1">
      <c r="C965" s="4" t="s">
        <v>3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39">
        <v>0</v>
      </c>
      <c r="S965" s="26">
        <f>SUM(G965:R965)</f>
        <v>0</v>
      </c>
    </row>
    <row r="966" spans="3:19" ht="13.5" customHeight="1">
      <c r="C966" s="4" t="s">
        <v>4</v>
      </c>
      <c r="G966" s="48"/>
      <c r="H966" s="48"/>
      <c r="I966" s="48"/>
      <c r="J966" s="48"/>
      <c r="K966" s="48"/>
      <c r="L966" s="48"/>
      <c r="M966" s="48"/>
      <c r="N966" s="48"/>
      <c r="O966" s="48"/>
      <c r="P966" s="48">
        <v>62.5</v>
      </c>
      <c r="Q966" s="48"/>
      <c r="R966" s="49"/>
      <c r="S966" s="26">
        <f>SUM(G966:R966)</f>
        <v>62.5</v>
      </c>
    </row>
    <row r="967" spans="3:19" ht="13.5" customHeight="1" thickBot="1">
      <c r="C967" s="4" t="s">
        <v>5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15484.65</v>
      </c>
      <c r="Q967" s="26">
        <v>16347.15</v>
      </c>
      <c r="R967" s="39">
        <v>18129.65</v>
      </c>
      <c r="S967" s="26">
        <f>SUM(G967:R967)</f>
        <v>49961.45</v>
      </c>
    </row>
    <row r="968" spans="3:19" ht="13.5" customHeight="1" thickBot="1">
      <c r="C968" s="6" t="s">
        <v>290</v>
      </c>
      <c r="G968" s="27">
        <f aca="true" t="shared" si="156" ref="G968:S968">SUM(G965:G967)</f>
        <v>0</v>
      </c>
      <c r="H968" s="27">
        <f t="shared" si="156"/>
        <v>0</v>
      </c>
      <c r="I968" s="27">
        <f t="shared" si="156"/>
        <v>0</v>
      </c>
      <c r="J968" s="27">
        <f t="shared" si="156"/>
        <v>0</v>
      </c>
      <c r="K968" s="27">
        <f t="shared" si="156"/>
        <v>0</v>
      </c>
      <c r="L968" s="27">
        <f t="shared" si="156"/>
        <v>0</v>
      </c>
      <c r="M968" s="27">
        <f t="shared" si="156"/>
        <v>0</v>
      </c>
      <c r="N968" s="27">
        <f t="shared" si="156"/>
        <v>0</v>
      </c>
      <c r="O968" s="27">
        <f t="shared" si="156"/>
        <v>0</v>
      </c>
      <c r="P968" s="27">
        <f t="shared" si="156"/>
        <v>15547.15</v>
      </c>
      <c r="Q968" s="27">
        <f t="shared" si="156"/>
        <v>16347.15</v>
      </c>
      <c r="R968" s="40">
        <f t="shared" si="156"/>
        <v>18129.65</v>
      </c>
      <c r="S968" s="27">
        <f t="shared" si="156"/>
        <v>50023.95</v>
      </c>
    </row>
    <row r="969" spans="3:19" ht="13.5" customHeight="1">
      <c r="C969" s="12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  <c r="S969" s="46"/>
    </row>
    <row r="970" spans="3:19" ht="13.5" customHeight="1">
      <c r="C970" s="12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7"/>
      <c r="S970" s="46"/>
    </row>
    <row r="971" ht="13.5" customHeight="1">
      <c r="C971" s="5" t="s">
        <v>41</v>
      </c>
    </row>
    <row r="972" spans="3:19" ht="13.5" customHeight="1">
      <c r="C972" s="4" t="s">
        <v>196</v>
      </c>
      <c r="G972" s="28">
        <f>SUM(G5,G11,G17,G23,G29,G35,G41,G47,G53,G59,G65,G71,G77,G83,G89,G95,G101,G107,G113,G119,G125,G131,G137,G143,G149,G155,G161,G167,G173,G179)+SUM(G185,G191,G197,G203,G209,G215,G221,G227,G233,G239,G245,G251,G257,G263,G269,G275,G281,G287,G293,G299,G305,G311,G317,G323,G329,G335,G341,G347,G353,G359)+SUM(G365,G371,G377,G383,G389,G395,G401,G407,G413,G419,G425,G431,G437,G443,G449,G455,G461,G467,G473,G479,G485,G491,G497,G503,G509,G515,G521,G527,G533,G539)+SUM(G545,G551,G557,G563,G569,G575,G581,G587,G593,G599,G605,G611,G617,G623,G629,G635,G641,G647,G653,G659,G665,G671,G677,G683,G689)+SUM(G695,G701,G707,G713,G719,G725,G731,G737,G743,G749,G755,G761,G767,G773,G779,G785,G791,G797,G803,G809,G815,G821,G827,G833,G839,G845,G851,G857,G863,G869)+SUM(G875,G881,G887,G893,G899,G905,G911,G917,G923,G929,G935,G941,G947,G953,G959,G965)</f>
        <v>31809.359999999997</v>
      </c>
      <c r="H972" s="28">
        <f aca="true" t="shared" si="157" ref="H972:R972">SUM(H5,H11,H17,H23,H29,H35,H41,H47,H53,H59,H65,H71,H77,H83,H89,H95,H101,H107,H113,H119,H125,H131,H137,H143,H149,H155,H161,H167,H173,H179)+SUM(H185,H191,H197,H203,H209,H215,H221,H227,H233,H239,H245,H251,H257,H263,H269,H275,H281,H287,H293,H299,H305,H311,H317,H323,H329,H335,H341,H347,H353,H359)+SUM(H365,H371,H377,H383,H389,H395,H401,H407,H413,H419,H425,H431,H437,H443,H449,H455,H461,H467,H473,H479,H485,H491,H497,H503,H509,H515,H521,H527,H533,H539)+SUM(H545,H551,H557,H563,H569,H575,H581,H587,H593,H599,H605,H611,H617,H623,H629,H635,H641,H647,H653,H659,H665,H671,H677,H683,H689)+SUM(H695,H701,H707,H713,H719,H725,H731,H737,H743,H749,H755,H761,H767,H773,H779,H785,H791,H797,H803,H809,H815,H821,H827,H833,H839,H845,H851,H857,H863,H869)+SUM(H875,H881,H887,H893,H899,H905,H911,H917,H923,H929,H935,H941,H947,H953,H959,H965)</f>
        <v>31714.329999999998</v>
      </c>
      <c r="I972" s="28">
        <f t="shared" si="157"/>
        <v>31714.319999999996</v>
      </c>
      <c r="J972" s="28">
        <f t="shared" si="157"/>
        <v>31700.989999999994</v>
      </c>
      <c r="K972" s="28">
        <f t="shared" si="157"/>
        <v>31649.73</v>
      </c>
      <c r="L972" s="28">
        <f t="shared" si="157"/>
        <v>31643.899999999998</v>
      </c>
      <c r="M972" s="28">
        <f t="shared" si="157"/>
        <v>31500.989999999998</v>
      </c>
      <c r="N972" s="28">
        <f t="shared" si="157"/>
        <v>31353.829999999998</v>
      </c>
      <c r="O972" s="28">
        <f t="shared" si="157"/>
        <v>31239.29</v>
      </c>
      <c r="P972" s="28">
        <f t="shared" si="157"/>
        <v>31194.25</v>
      </c>
      <c r="Q972" s="28">
        <f t="shared" si="157"/>
        <v>31058.409999999996</v>
      </c>
      <c r="R972" s="41">
        <f t="shared" si="157"/>
        <v>30986.76</v>
      </c>
      <c r="S972" s="28">
        <f>SUM(G972:R972)</f>
        <v>377566.1599999999</v>
      </c>
    </row>
    <row r="973" spans="3:19" ht="13.5" customHeight="1">
      <c r="C973" s="4" t="s">
        <v>197</v>
      </c>
      <c r="G973" s="28">
        <f>SUM(G6,G12,G18,G24,G30,G36,G42,G48,G54,G60,G66,G72,G78,G84,G90,G96,G102,G108,G114,G120,G126,G132,G138,G144,G150,G156,G162,G168,G174,G180)+SUM(G186,G192,G198,G204,G210,G216,G222,G228,G234,G240,G246,G252,G258,G264,G270,G276,G282,G288,G294,G300,G306,G312,G318,G324,G330,G336,G342,G348,G354,G360)+SUM(G366,G372,G378,G384,G390,G396,G402,G408,,G414,G420,G426,G432,G438,G444,G450,G456,G462,G468,G474,G480,G486,G492,G498,G504,G510,G516,G522,G528,G534)+SUM(G540,G546,G552,G558,G564,G570,G576,G582,G588,G594,G600,G606,G612,G618,G624,G630,G636,G642,G648,G654,G660,G666,G672,G678,G684,G690)+SUM(G696,G702,G708,G714,G720,G726,G732,G738,G744,G750,G756,G762,G768,G774,G780,G786,G792,G798,G804,G810,G816,G822,G828,G834,G840,G846,G852,G858,G864,G870)+SUM(G876,G882,G888,G894,G900,G906,G912,G918,G924,G930,G936,G942,G948,G954,G960,G966)</f>
        <v>23000</v>
      </c>
      <c r="H973" s="28">
        <f aca="true" t="shared" si="158" ref="H973:R973">SUM(H6,H12,H18,H24,H30,H36,H42,H48,H54,H60,H66,H72,H78,H84,H90,H96,H102,H108,H114,H120,H126,H132,H138,H144,H150,H156,H162,H168,H174,H180)+SUM(H186,H192,H198,H204,H210,H216,H222,H228,H234,H240,H246,H252,H258,H264,H270,H276,H282,H288,H294,H300,H306,H312,H318,H324,H330,H336,H342,H348,H354,H360)+SUM(H366,H372,H378,H384,H390,H396,H402,H408,,H414,H420,H426,H432,H438,H444,H450,H456,H462,H468,H474,H480,H486,H492,H498,H504,H510,H516,H522,H528,H534)+SUM(H540,H546,H552,H558,H564,H570,H576,H582,H588,H594,H600,H606,H612,H618,H624,H630,H636,H642,H648,H654,H660,H666,H672,H678,H684,H690)+SUM(H696,H702,H708,H714,H720,H726,H732,H738,H744,H750,H756,H762,H768,H774,H780,H786,H792,H798,H804,H810,H816,H822,H828,H834,H840,H846,H852,H858,H864,H870)+SUM(H876,H882,H888,H894,H900,H906,H912,H918,H924,H930,H936,H942,H948,H954,H960,H966)</f>
        <v>0</v>
      </c>
      <c r="I973" s="28">
        <f t="shared" si="158"/>
        <v>0</v>
      </c>
      <c r="J973" s="28">
        <f t="shared" si="158"/>
        <v>0</v>
      </c>
      <c r="K973" s="28">
        <f t="shared" si="158"/>
        <v>166.67</v>
      </c>
      <c r="L973" s="28">
        <f t="shared" si="158"/>
        <v>145.83</v>
      </c>
      <c r="M973" s="28">
        <f t="shared" si="158"/>
        <v>0</v>
      </c>
      <c r="N973" s="28">
        <f t="shared" si="158"/>
        <v>0</v>
      </c>
      <c r="O973" s="28">
        <f t="shared" si="158"/>
        <v>0</v>
      </c>
      <c r="P973" s="28">
        <f t="shared" si="158"/>
        <v>125</v>
      </c>
      <c r="Q973" s="28">
        <f t="shared" si="158"/>
        <v>0</v>
      </c>
      <c r="R973" s="41">
        <f t="shared" si="158"/>
        <v>0</v>
      </c>
      <c r="S973" s="28">
        <f>SUM(G973:R973)</f>
        <v>23437.5</v>
      </c>
    </row>
    <row r="974" spans="3:19" ht="13.5" customHeight="1">
      <c r="C974" s="4" t="s">
        <v>198</v>
      </c>
      <c r="G974" s="28">
        <f>SUM(G7,G13,G19,G25,G31,G37,G43,G49,G55,G61,G67,G73,G79,G85,G91,G97,G103,G109,G115,G121,G127,G133,G139,G145,G151,G157,G163,G169,G175,G181)+SUM(G187,G193,G199,G205,G211,G217,G223,G229,G235,G241,G247,G253,G259,G265,G271,G277,G283,G289,G295,G301,G307,G313,G319,G325,G331,G337,G343,G349,G355,G361)+SUM(G367,G373,G379,G385,G391,G397,G403,G409,G415,G421,G427,G433,G439,G445,G451,G457,G463,G469,G475,G481,G487,G493,G499,G505,G511,G517,G523,G529,G535,G541)+SUM(G547,G553,G559,G565,G571,G577,G583,G589,G595,G601,G607,G613,G619,G625,G631,G637,G643,G649,G655,G661,G667,G673,G679,G685,G691)+SUM(G697,G703,G709,G715,G721,G727,G733,G739,G745,G751,G757,G763,G769,G775,G781,G787,G793,G799,G805,G811,G817,G823,G829,G835,G841,G847,G853,G859,G865,G871)+SUM(G877,G883,G889,G895,G901,G907,G913,G919,G925,G931,G937,G943,G949,G955,G961,G967)</f>
        <v>5707373.580000001</v>
      </c>
      <c r="H974" s="28">
        <f aca="true" t="shared" si="159" ref="H974:R975">SUM(H7,H13,H19,H25,H31,H37,H43,H49,H55,H61,H67,H73,H79,H85,H91,H97,H103,H109,H115,H121,H127,H133,H139,H145,H151,H157,H163,H169,H175,H181)+SUM(H187,H193,H199,H205,H211,H217,H223,H229,H235,H241,H247,H253,H259,H265,H271,H277,H283,H289,H295,H301,H307,H313,H319,H325,H331,H337,H343,H349,H355,H361)+SUM(H367,H373,H379,H385,H391,H397,H403,H409,H415,H421,H427,H433,H439,H445,H451,H457,H463,H469,H475,H481,H487,H493,H499,H505,H511,H517,H523,H529,H535,H541)+SUM(H547,H553,H559,H565,H571,H577,H583,H589,H595,H601,H607,H613,H619,H625,H631,H637,H643,H649,H655,H661,H667,H673,H679,H685,H691)+SUM(H697,H703,H709,H715,H721,H727,H733,H739,H745,H751,H757,H763,H769,H775,H781,H787,H793,H799,H805,H811,H817,H823,H829,H835,H841,H847,H853,H859,H865,H871)+SUM(H877,H883,H889,H895,H901,H907,H913,H919,H925,H931,H937,H943,H949,H955,H961,H967)</f>
        <v>5706766.070000001</v>
      </c>
      <c r="I974" s="28">
        <f t="shared" si="159"/>
        <v>5782736.240000001</v>
      </c>
      <c r="J974" s="28">
        <f t="shared" si="159"/>
        <v>5553422.300000001</v>
      </c>
      <c r="K974" s="28">
        <f t="shared" si="159"/>
        <v>5618823.63</v>
      </c>
      <c r="L974" s="28">
        <f t="shared" si="159"/>
        <v>5860137.84</v>
      </c>
      <c r="M974" s="28">
        <f t="shared" si="159"/>
        <v>5861468.200000001</v>
      </c>
      <c r="N974" s="28">
        <f t="shared" si="159"/>
        <v>5859764.16</v>
      </c>
      <c r="O974" s="28">
        <f t="shared" si="159"/>
        <v>5896945.16</v>
      </c>
      <c r="P974" s="28">
        <f t="shared" si="159"/>
        <v>5907194.000000001</v>
      </c>
      <c r="Q974" s="28">
        <f t="shared" si="159"/>
        <v>5907387.389999999</v>
      </c>
      <c r="R974" s="41">
        <f t="shared" si="159"/>
        <v>5993246.970000001</v>
      </c>
      <c r="S974" s="28">
        <f>SUM(G974:R974)</f>
        <v>69655265.54</v>
      </c>
    </row>
    <row r="975" spans="3:19" ht="13.5" customHeight="1">
      <c r="C975" s="22" t="s">
        <v>199</v>
      </c>
      <c r="G975" s="28">
        <f>SUM(G8,G14,G20,G26,G32,G38,G44,G50,G56,G62,G68,G74,G80,G86,G92,G98,G104,G110,G116,G122,G128,G134,G140,G146,G152,G158,G164,G170,G176,G182)+SUM(G188,G194,G200,G206,G212,G218,G224,G230,G236,G242,G248,G254,G260,G266,G272,G278,G284,G290,G296,G302,G308,G314,G320,G326,G332,G338,G344,G350,G356,G362)+SUM(G368,G374,G380,G386,G392,G398,G404,G410,G416,G422,G428,G434,G440,G446,G452,G458,G464,G470,G476,G482,G488,G494,G500,G506,G512,G518,G524,G530,G536,G542)+SUM(G548,G554,G560,G566,G572,G578,G584,G590,G596,G602,G608,G614,G620,G626,G632,G638,G644,G650,G656,G662,G668,G674,G680,G686,G692)+SUM(G698,G704,G710,G716,G722,G728,G734,G740,G746,G752,G758,G764,G770,G776,G782,G788,G794,G800,G806,G812,G818,G824,G830,G836,G842,G848,G854,G860,G866,G872)+SUM(G878,G884,G890,G896,G902,G908,G914,G920,G926,G932,G938,G944,G950,G956,G962,G968)</f>
        <v>5762182.94</v>
      </c>
      <c r="H975" s="28">
        <f t="shared" si="159"/>
        <v>5738480.4</v>
      </c>
      <c r="I975" s="28">
        <f t="shared" si="159"/>
        <v>5814450.5600000005</v>
      </c>
      <c r="J975" s="28">
        <f t="shared" si="159"/>
        <v>5585123.290000001</v>
      </c>
      <c r="K975" s="28">
        <f t="shared" si="159"/>
        <v>5650640.03</v>
      </c>
      <c r="L975" s="28">
        <f t="shared" si="159"/>
        <v>5891927.57</v>
      </c>
      <c r="M975" s="28">
        <f t="shared" si="159"/>
        <v>5892969.19</v>
      </c>
      <c r="N975" s="28">
        <f t="shared" si="159"/>
        <v>5891117.99</v>
      </c>
      <c r="O975" s="28">
        <f t="shared" si="159"/>
        <v>5928184.45</v>
      </c>
      <c r="P975" s="28">
        <f t="shared" si="159"/>
        <v>5938513.25</v>
      </c>
      <c r="Q975" s="28">
        <f t="shared" si="159"/>
        <v>5938445.799999999</v>
      </c>
      <c r="R975" s="41">
        <f t="shared" si="159"/>
        <v>6024233.73</v>
      </c>
      <c r="S975" s="28">
        <f>SUM(G975:R975)</f>
        <v>70056269.2</v>
      </c>
    </row>
    <row r="976" ht="13.5" customHeight="1">
      <c r="C976" s="4"/>
    </row>
    <row r="977" spans="2:3" ht="13.5" customHeight="1">
      <c r="B977" s="7" t="s">
        <v>104</v>
      </c>
      <c r="C977" s="23" t="s">
        <v>84</v>
      </c>
    </row>
    <row r="978" spans="2:3" ht="13.5" customHeight="1">
      <c r="B978" s="9" t="s">
        <v>105</v>
      </c>
      <c r="C978" s="24" t="s">
        <v>61</v>
      </c>
    </row>
    <row r="979" spans="2:3" ht="13.5" customHeight="1">
      <c r="B979" s="31" t="s">
        <v>103</v>
      </c>
      <c r="C979" s="34" t="s">
        <v>56</v>
      </c>
    </row>
    <row r="980" ht="5.25" customHeight="1">
      <c r="C980" s="4"/>
    </row>
    <row r="981" ht="5.25" customHeight="1">
      <c r="C981" s="4"/>
    </row>
    <row r="982" ht="5.25" customHeight="1">
      <c r="C982" s="4"/>
    </row>
    <row r="983" ht="5.25" customHeight="1">
      <c r="C983" s="4"/>
    </row>
    <row r="984" ht="5.25" customHeight="1">
      <c r="C984" s="4"/>
    </row>
    <row r="985" ht="5.25" customHeight="1">
      <c r="C985" s="4"/>
    </row>
    <row r="986" ht="5.25" customHeight="1">
      <c r="C986" s="4"/>
    </row>
    <row r="987" ht="5.25" customHeight="1">
      <c r="C987" s="4"/>
    </row>
    <row r="988" ht="5.25" customHeight="1">
      <c r="C988" s="4"/>
    </row>
    <row r="989" ht="5.25" customHeight="1">
      <c r="C989" s="4"/>
    </row>
    <row r="990" ht="5.25" customHeight="1">
      <c r="C990" s="4"/>
    </row>
    <row r="991" ht="5.25" customHeight="1">
      <c r="C991" s="4"/>
    </row>
    <row r="992" ht="5.25" customHeight="1">
      <c r="C992" s="4"/>
    </row>
    <row r="993" ht="5.25" customHeight="1">
      <c r="C993" s="4"/>
    </row>
    <row r="994" ht="5.25" customHeight="1">
      <c r="C994" s="4"/>
    </row>
    <row r="995" ht="5.25" customHeight="1">
      <c r="C995" s="4"/>
    </row>
    <row r="996" ht="5.25" customHeight="1">
      <c r="C996" s="4"/>
    </row>
    <row r="997" ht="5.25" customHeight="1">
      <c r="C997" s="4"/>
    </row>
    <row r="998" ht="5.25" customHeight="1">
      <c r="C998" s="4"/>
    </row>
    <row r="999" ht="5.25" customHeight="1">
      <c r="C999" s="4"/>
    </row>
    <row r="1000" ht="5.25" customHeight="1">
      <c r="C1000" s="4"/>
    </row>
    <row r="1001" ht="5.25" customHeight="1">
      <c r="C1001" s="4"/>
    </row>
    <row r="1002" ht="5.25" customHeight="1">
      <c r="C1002" s="4"/>
    </row>
    <row r="1003" ht="5.25" customHeight="1">
      <c r="C1003" s="4"/>
    </row>
    <row r="1004" ht="5.25" customHeight="1">
      <c r="C1004" s="4"/>
    </row>
    <row r="1005" ht="5.25" customHeight="1">
      <c r="C1005" s="4"/>
    </row>
    <row r="1006" ht="5.25" customHeight="1">
      <c r="C1006" s="4"/>
    </row>
    <row r="1007" ht="5.25" customHeight="1">
      <c r="C1007" s="4"/>
    </row>
    <row r="1008" ht="5.25" customHeight="1">
      <c r="C1008" s="4"/>
    </row>
    <row r="1009" ht="5.25" customHeight="1">
      <c r="C1009" s="4"/>
    </row>
    <row r="1010" ht="5.25" customHeight="1">
      <c r="C1010" s="4"/>
    </row>
    <row r="1011" ht="5.25" customHeight="1">
      <c r="C1011" s="4"/>
    </row>
    <row r="1012" ht="5.25" customHeight="1">
      <c r="C1012" s="4"/>
    </row>
    <row r="1013" ht="5.25" customHeight="1">
      <c r="C1013" s="4"/>
    </row>
    <row r="1014" ht="5.25" customHeight="1">
      <c r="C1014" s="4"/>
    </row>
    <row r="1015" ht="5.25" customHeight="1">
      <c r="C1015" s="4"/>
    </row>
    <row r="1016" ht="5.25" customHeight="1">
      <c r="C1016" s="4"/>
    </row>
    <row r="1017" ht="5.25" customHeight="1">
      <c r="C1017" s="4"/>
    </row>
    <row r="1018" ht="5.25" customHeight="1">
      <c r="C1018" s="4"/>
    </row>
    <row r="1019" ht="5.25" customHeight="1">
      <c r="C1019" s="4"/>
    </row>
    <row r="1020" ht="5.25" customHeight="1">
      <c r="C1020" s="4"/>
    </row>
    <row r="1021" ht="5.25" customHeight="1">
      <c r="C1021" s="4"/>
    </row>
    <row r="1022" ht="5.25" customHeight="1">
      <c r="C1022" s="4"/>
    </row>
    <row r="1023" ht="5.25" customHeight="1">
      <c r="C1023" s="4"/>
    </row>
    <row r="1024" ht="5.25" customHeight="1">
      <c r="C1024" s="4"/>
    </row>
    <row r="1025" ht="5.25" customHeight="1">
      <c r="C1025" s="4"/>
    </row>
    <row r="1026" ht="5.25" customHeight="1">
      <c r="C1026" s="4"/>
    </row>
    <row r="1027" ht="5.25" customHeight="1">
      <c r="C1027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Tim Kahle</cp:lastModifiedBy>
  <cp:lastPrinted>2005-05-31T15:38:03Z</cp:lastPrinted>
  <dcterms:created xsi:type="dcterms:W3CDTF">2005-05-31T15:34:27Z</dcterms:created>
  <dcterms:modified xsi:type="dcterms:W3CDTF">2018-06-06T14:47:05Z</dcterms:modified>
  <cp:category/>
  <cp:version/>
  <cp:contentType/>
  <cp:contentStatus/>
</cp:coreProperties>
</file>