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Competitive Grants\Title I - SI\EASI - All Competitive Grants\"/>
    </mc:Choice>
  </mc:AlternateContent>
  <xr:revisionPtr revIDLastSave="0" documentId="8_{AEB63218-EB42-40BC-A39A-DE26C6B49922}" xr6:coauthVersionLast="47" xr6:coauthVersionMax="47" xr10:uidLastSave="{00000000-0000-0000-0000-000000000000}"/>
  <workbookProtection workbookAlgorithmName="SHA-512" workbookHashValue="5YO2CfW/22A11s2ZR8gCci8Ut3jeBWbLeVlZDpm9cZZco+K1qIHIjr6e/UtaZTlu3sLMAxSYQNU7ETUBxFhjZw==" workbookSaltValue="i1w3E5n8RK8fk+RsQBtsqw==" workbookSpinCount="100000" lockStructure="1"/>
  <bookViews>
    <workbookView xWindow="-120" yWindow="-120" windowWidth="29040" windowHeight="15960" firstSheet="2" activeTab="2" xr2:uid="{00000000-000D-0000-FFFF-FFFF00000000}"/>
  </bookViews>
  <sheets>
    <sheet name="70XC" sheetId="1" state="hidden" r:id="rId1"/>
    <sheet name="Sheet1" sheetId="4" state="hidden" r:id="rId2"/>
    <sheet name="Distribution Report" sheetId="3" r:id="rId3"/>
    <sheet name="Sheet2" sheetId="7" state="hidden" r:id="rId4"/>
    <sheet name="Notes" sheetId="8" state="hidden" r:id="rId5"/>
    <sheet name="FAIN Award Amounts" sheetId="2" state="hidden" r:id="rId6"/>
  </sheets>
  <externalReferences>
    <externalReference r:id="rId7"/>
  </externalReferences>
  <definedNames>
    <definedName name="_xlnm._FilterDatabase" localSheetId="0" hidden="1">'70XC'!$A$2:$FO$458</definedName>
    <definedName name="_xlnm._FilterDatabase" localSheetId="2" hidden="1">'Distribution Report'!$A$1:$CE$435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138" i="3" l="1"/>
  <c r="FE138" i="1"/>
  <c r="BY174" i="3"/>
  <c r="FE177" i="1"/>
  <c r="FD325" i="1" l="1"/>
  <c r="BX398" i="3"/>
  <c r="CC242" i="3"/>
  <c r="G12" i="3"/>
  <c r="H12" i="3"/>
  <c r="I12" i="3"/>
  <c r="J12" i="3"/>
  <c r="L12" i="3"/>
  <c r="Q12" i="3"/>
  <c r="AF12" i="3" s="1"/>
  <c r="AW12" i="3" s="1"/>
  <c r="BM12" i="3" s="1"/>
  <c r="CC12" i="3" s="1"/>
  <c r="K12" i="3" l="1"/>
  <c r="FI247" i="1" l="1"/>
  <c r="BV270" i="3" l="1"/>
  <c r="BV266" i="3"/>
  <c r="EY274" i="1"/>
  <c r="EY278" i="1"/>
  <c r="CC252" i="3"/>
  <c r="BW390" i="3"/>
  <c r="BT391" i="3"/>
  <c r="CC425" i="3" l="1"/>
  <c r="CC426" i="3"/>
  <c r="CC232" i="3"/>
  <c r="CC233" i="3"/>
  <c r="CC234" i="3"/>
  <c r="FB120" i="1" l="1"/>
  <c r="FC120" i="1"/>
  <c r="FB458" i="1"/>
  <c r="FB382" i="1"/>
  <c r="FB378" i="1"/>
  <c r="FB374" i="1"/>
  <c r="FB328" i="1"/>
  <c r="FB317" i="1"/>
  <c r="FB311" i="1"/>
  <c r="FB160" i="1"/>
  <c r="FB74" i="1"/>
  <c r="FB22" i="1"/>
  <c r="FB11" i="1"/>
  <c r="EE414" i="1"/>
  <c r="FI3" i="1"/>
  <c r="FJ3" i="1"/>
  <c r="FK3" i="1"/>
  <c r="FC57" i="1"/>
  <c r="FI413" i="1"/>
  <c r="EV458" i="1"/>
  <c r="EV382" i="1"/>
  <c r="EV378" i="1"/>
  <c r="EV374" i="1"/>
  <c r="EV328" i="1"/>
  <c r="EV317" i="1"/>
  <c r="EV311" i="1"/>
  <c r="EV160" i="1"/>
  <c r="EV74" i="1"/>
  <c r="EV67" i="1"/>
  <c r="EV22" i="1"/>
  <c r="EV11" i="1"/>
  <c r="ET414" i="1"/>
  <c r="ES254" i="1"/>
  <c r="ET57" i="1"/>
  <c r="EX240" i="1"/>
  <c r="EX363" i="1"/>
  <c r="EX347" i="1"/>
  <c r="EX56" i="1"/>
  <c r="FB67" i="1" l="1"/>
  <c r="FB461" i="1" s="1"/>
  <c r="EV461" i="1"/>
  <c r="EX50" i="1"/>
  <c r="EX48" i="1"/>
  <c r="EX42" i="1"/>
  <c r="EX335" i="1" l="1"/>
  <c r="FA458" i="1" l="1"/>
  <c r="FA382" i="1"/>
  <c r="FA378" i="1"/>
  <c r="FA374" i="1"/>
  <c r="FA328" i="1"/>
  <c r="FA317" i="1"/>
  <c r="FA311" i="1"/>
  <c r="FA160" i="1"/>
  <c r="FA74" i="1"/>
  <c r="FA67" i="1"/>
  <c r="FA22" i="1"/>
  <c r="FA11" i="1"/>
  <c r="FI386" i="1"/>
  <c r="FJ386" i="1"/>
  <c r="FK386" i="1"/>
  <c r="FI387" i="1"/>
  <c r="FJ387" i="1"/>
  <c r="FK387" i="1"/>
  <c r="FI388" i="1"/>
  <c r="FJ388" i="1"/>
  <c r="FK388" i="1"/>
  <c r="FI389" i="1"/>
  <c r="FJ389" i="1"/>
  <c r="FK389" i="1"/>
  <c r="FI390" i="1"/>
  <c r="FJ390" i="1"/>
  <c r="FK390" i="1"/>
  <c r="FI391" i="1"/>
  <c r="FJ391" i="1"/>
  <c r="FK391" i="1"/>
  <c r="FI392" i="1"/>
  <c r="FJ392" i="1"/>
  <c r="FK392" i="1"/>
  <c r="FI393" i="1"/>
  <c r="FJ393" i="1"/>
  <c r="FK393" i="1"/>
  <c r="FI394" i="1"/>
  <c r="FJ394" i="1"/>
  <c r="FK394" i="1"/>
  <c r="FI395" i="1"/>
  <c r="FJ395" i="1"/>
  <c r="FK395" i="1"/>
  <c r="FI396" i="1"/>
  <c r="FJ396" i="1"/>
  <c r="FK396" i="1"/>
  <c r="FI397" i="1"/>
  <c r="FJ397" i="1"/>
  <c r="FK397" i="1"/>
  <c r="FI398" i="1"/>
  <c r="FJ398" i="1"/>
  <c r="FK398" i="1"/>
  <c r="FI399" i="1"/>
  <c r="FJ399" i="1"/>
  <c r="FK399" i="1"/>
  <c r="FI400" i="1"/>
  <c r="FJ400" i="1"/>
  <c r="FK400" i="1"/>
  <c r="FI401" i="1"/>
  <c r="FJ401" i="1"/>
  <c r="FK401" i="1"/>
  <c r="FI402" i="1"/>
  <c r="FJ402" i="1"/>
  <c r="FK402" i="1"/>
  <c r="FI403" i="1"/>
  <c r="FJ403" i="1"/>
  <c r="FK403" i="1"/>
  <c r="FI404" i="1"/>
  <c r="FJ404" i="1"/>
  <c r="FK404" i="1"/>
  <c r="FI405" i="1"/>
  <c r="FJ405" i="1"/>
  <c r="FK405" i="1"/>
  <c r="FI406" i="1"/>
  <c r="FJ406" i="1"/>
  <c r="FK406" i="1"/>
  <c r="FI407" i="1"/>
  <c r="FJ407" i="1"/>
  <c r="FK407" i="1"/>
  <c r="FI408" i="1"/>
  <c r="FJ408" i="1"/>
  <c r="FK408" i="1"/>
  <c r="FI409" i="1"/>
  <c r="FJ409" i="1"/>
  <c r="FK409" i="1"/>
  <c r="FI410" i="1"/>
  <c r="FJ410" i="1"/>
  <c r="FK410" i="1"/>
  <c r="FI411" i="1"/>
  <c r="FJ411" i="1"/>
  <c r="FI412" i="1"/>
  <c r="FJ412" i="1"/>
  <c r="FK412" i="1"/>
  <c r="FJ413" i="1"/>
  <c r="FK413" i="1"/>
  <c r="FI414" i="1"/>
  <c r="FJ414" i="1"/>
  <c r="FK414" i="1"/>
  <c r="FI415" i="1"/>
  <c r="FJ415" i="1"/>
  <c r="FI416" i="1"/>
  <c r="FJ416" i="1"/>
  <c r="FK416" i="1"/>
  <c r="FI417" i="1"/>
  <c r="FJ417" i="1"/>
  <c r="FK417" i="1"/>
  <c r="FI418" i="1"/>
  <c r="FJ418" i="1"/>
  <c r="FK418" i="1"/>
  <c r="FI419" i="1"/>
  <c r="FJ419" i="1"/>
  <c r="FK419" i="1"/>
  <c r="FI420" i="1"/>
  <c r="FJ420" i="1"/>
  <c r="FK420" i="1"/>
  <c r="FI421" i="1"/>
  <c r="FJ421" i="1"/>
  <c r="FK421" i="1"/>
  <c r="FI422" i="1"/>
  <c r="FJ422" i="1"/>
  <c r="FK422" i="1"/>
  <c r="FI423" i="1"/>
  <c r="FJ423" i="1"/>
  <c r="FK423" i="1"/>
  <c r="FI424" i="1"/>
  <c r="FJ424" i="1"/>
  <c r="FK424" i="1"/>
  <c r="FI425" i="1"/>
  <c r="FJ425" i="1"/>
  <c r="FK425" i="1"/>
  <c r="FI426" i="1"/>
  <c r="FJ426" i="1"/>
  <c r="FK426" i="1"/>
  <c r="FI427" i="1"/>
  <c r="FJ427" i="1"/>
  <c r="FK427" i="1"/>
  <c r="FI428" i="1"/>
  <c r="FJ428" i="1"/>
  <c r="FK428" i="1"/>
  <c r="FI429" i="1"/>
  <c r="FJ429" i="1"/>
  <c r="FK429" i="1"/>
  <c r="FI430" i="1"/>
  <c r="FJ430" i="1"/>
  <c r="FK430" i="1"/>
  <c r="FI431" i="1"/>
  <c r="FJ431" i="1"/>
  <c r="FK431" i="1"/>
  <c r="FI432" i="1"/>
  <c r="FJ432" i="1"/>
  <c r="FK432" i="1"/>
  <c r="FI433" i="1"/>
  <c r="FJ433" i="1"/>
  <c r="FK433" i="1"/>
  <c r="FI434" i="1"/>
  <c r="FJ434" i="1"/>
  <c r="FK434" i="1"/>
  <c r="FI435" i="1"/>
  <c r="FJ435" i="1"/>
  <c r="FK435" i="1"/>
  <c r="FI436" i="1"/>
  <c r="FJ436" i="1"/>
  <c r="FK436" i="1"/>
  <c r="FI437" i="1"/>
  <c r="FJ437" i="1"/>
  <c r="FK437" i="1"/>
  <c r="FI438" i="1"/>
  <c r="FJ438" i="1"/>
  <c r="FK438" i="1"/>
  <c r="FI439" i="1"/>
  <c r="FJ439" i="1"/>
  <c r="FK439" i="1"/>
  <c r="FI440" i="1"/>
  <c r="FJ440" i="1"/>
  <c r="FK440" i="1"/>
  <c r="FI441" i="1"/>
  <c r="FJ441" i="1"/>
  <c r="FK441" i="1"/>
  <c r="FI442" i="1"/>
  <c r="FJ442" i="1"/>
  <c r="FK442" i="1"/>
  <c r="FI443" i="1"/>
  <c r="FJ443" i="1"/>
  <c r="FK443" i="1"/>
  <c r="FI444" i="1"/>
  <c r="FJ444" i="1"/>
  <c r="FK444" i="1"/>
  <c r="FI445" i="1"/>
  <c r="FJ445" i="1"/>
  <c r="FK445" i="1"/>
  <c r="FI446" i="1"/>
  <c r="FJ446" i="1"/>
  <c r="FK446" i="1"/>
  <c r="FI447" i="1"/>
  <c r="FJ447" i="1"/>
  <c r="FK447" i="1"/>
  <c r="FI448" i="1"/>
  <c r="FJ448" i="1"/>
  <c r="FK448" i="1"/>
  <c r="FI449" i="1"/>
  <c r="FJ449" i="1"/>
  <c r="FK449" i="1"/>
  <c r="FI450" i="1"/>
  <c r="FJ450" i="1"/>
  <c r="FK450" i="1"/>
  <c r="FI451" i="1"/>
  <c r="FJ451" i="1"/>
  <c r="FK451" i="1"/>
  <c r="FI452" i="1"/>
  <c r="FJ452" i="1"/>
  <c r="FK452" i="1"/>
  <c r="FI453" i="1"/>
  <c r="FJ453" i="1"/>
  <c r="FK453" i="1"/>
  <c r="FI454" i="1"/>
  <c r="FJ454" i="1"/>
  <c r="FK454" i="1"/>
  <c r="FI455" i="1"/>
  <c r="FJ455" i="1"/>
  <c r="FK455" i="1"/>
  <c r="FI456" i="1"/>
  <c r="FJ456" i="1"/>
  <c r="FK456" i="1"/>
  <c r="FI457" i="1"/>
  <c r="FJ457" i="1"/>
  <c r="FK457" i="1"/>
  <c r="FK385" i="1"/>
  <c r="FJ385" i="1"/>
  <c r="FI385" i="1"/>
  <c r="FK384" i="1"/>
  <c r="FJ384" i="1"/>
  <c r="FI384" i="1"/>
  <c r="FK381" i="1"/>
  <c r="FJ381" i="1"/>
  <c r="FI381" i="1"/>
  <c r="FK380" i="1"/>
  <c r="FJ380" i="1"/>
  <c r="FI380" i="1"/>
  <c r="FI377" i="1"/>
  <c r="FJ377" i="1"/>
  <c r="FK377" i="1"/>
  <c r="FK376" i="1"/>
  <c r="FJ376" i="1"/>
  <c r="FI376" i="1"/>
  <c r="FK330" i="1"/>
  <c r="FI331" i="1"/>
  <c r="FJ331" i="1"/>
  <c r="FK331" i="1"/>
  <c r="FI332" i="1"/>
  <c r="FJ332" i="1"/>
  <c r="FK332" i="1"/>
  <c r="FI333" i="1"/>
  <c r="FJ333" i="1"/>
  <c r="FK333" i="1"/>
  <c r="FI334" i="1"/>
  <c r="FJ334" i="1"/>
  <c r="FK334" i="1"/>
  <c r="FI335" i="1"/>
  <c r="FJ335" i="1"/>
  <c r="FI336" i="1"/>
  <c r="FJ336" i="1"/>
  <c r="FK336" i="1"/>
  <c r="FI337" i="1"/>
  <c r="FJ337" i="1"/>
  <c r="FK337" i="1"/>
  <c r="FI338" i="1"/>
  <c r="FJ338" i="1"/>
  <c r="FK338" i="1"/>
  <c r="FI339" i="1"/>
  <c r="FJ339" i="1"/>
  <c r="FI340" i="1"/>
  <c r="FJ340" i="1"/>
  <c r="FK340" i="1"/>
  <c r="FI341" i="1"/>
  <c r="FJ341" i="1"/>
  <c r="FK341" i="1"/>
  <c r="FI342" i="1"/>
  <c r="FJ342" i="1"/>
  <c r="FK342" i="1"/>
  <c r="FI343" i="1"/>
  <c r="FJ343" i="1"/>
  <c r="FK343" i="1"/>
  <c r="FI344" i="1"/>
  <c r="FJ344" i="1"/>
  <c r="FK344" i="1"/>
  <c r="FI345" i="1"/>
  <c r="FJ345" i="1"/>
  <c r="FK345" i="1"/>
  <c r="FI346" i="1"/>
  <c r="FJ346" i="1"/>
  <c r="FK346" i="1"/>
  <c r="FI347" i="1"/>
  <c r="FJ347" i="1"/>
  <c r="FK347" i="1"/>
  <c r="FI348" i="1"/>
  <c r="FJ348" i="1"/>
  <c r="FK348" i="1"/>
  <c r="FI349" i="1"/>
  <c r="FJ349" i="1"/>
  <c r="FK349" i="1"/>
  <c r="FI350" i="1"/>
  <c r="FJ350" i="1"/>
  <c r="FK350" i="1"/>
  <c r="FI351" i="1"/>
  <c r="FJ351" i="1"/>
  <c r="FK351" i="1"/>
  <c r="FI352" i="1"/>
  <c r="FJ352" i="1"/>
  <c r="FK352" i="1"/>
  <c r="FI353" i="1"/>
  <c r="FJ353" i="1"/>
  <c r="FK353" i="1"/>
  <c r="FI354" i="1"/>
  <c r="FJ354" i="1"/>
  <c r="FK354" i="1"/>
  <c r="FI355" i="1"/>
  <c r="FJ355" i="1"/>
  <c r="FK355" i="1"/>
  <c r="FI356" i="1"/>
  <c r="FJ356" i="1"/>
  <c r="FK356" i="1"/>
  <c r="FI357" i="1"/>
  <c r="FJ357" i="1"/>
  <c r="FK357" i="1"/>
  <c r="FI358" i="1"/>
  <c r="FJ358" i="1"/>
  <c r="FK358" i="1"/>
  <c r="FI359" i="1"/>
  <c r="FJ359" i="1"/>
  <c r="FK359" i="1"/>
  <c r="FI360" i="1"/>
  <c r="FJ360" i="1"/>
  <c r="FK360" i="1"/>
  <c r="FI361" i="1"/>
  <c r="FJ361" i="1"/>
  <c r="FK361" i="1"/>
  <c r="FI362" i="1"/>
  <c r="FJ362" i="1"/>
  <c r="FK362" i="1"/>
  <c r="FI363" i="1"/>
  <c r="FJ363" i="1"/>
  <c r="FI364" i="1"/>
  <c r="FJ364" i="1"/>
  <c r="FK364" i="1"/>
  <c r="FI365" i="1"/>
  <c r="FJ365" i="1"/>
  <c r="FK365" i="1"/>
  <c r="FI366" i="1"/>
  <c r="FJ366" i="1"/>
  <c r="FK366" i="1"/>
  <c r="FI367" i="1"/>
  <c r="FJ367" i="1"/>
  <c r="FK367" i="1"/>
  <c r="FI368" i="1"/>
  <c r="FJ368" i="1"/>
  <c r="FK368" i="1"/>
  <c r="FI369" i="1"/>
  <c r="FJ369" i="1"/>
  <c r="FK369" i="1"/>
  <c r="FI370" i="1"/>
  <c r="FJ370" i="1"/>
  <c r="FK370" i="1"/>
  <c r="FI371" i="1"/>
  <c r="FJ371" i="1"/>
  <c r="FK371" i="1"/>
  <c r="FI372" i="1"/>
  <c r="FJ372" i="1"/>
  <c r="FK372" i="1"/>
  <c r="FI373" i="1"/>
  <c r="FJ373" i="1"/>
  <c r="FK373" i="1"/>
  <c r="FJ330" i="1"/>
  <c r="FI330" i="1"/>
  <c r="FI320" i="1"/>
  <c r="FJ320" i="1"/>
  <c r="FK320" i="1"/>
  <c r="FI321" i="1"/>
  <c r="FJ321" i="1"/>
  <c r="FK321" i="1"/>
  <c r="FI322" i="1"/>
  <c r="FJ322" i="1"/>
  <c r="FK322" i="1"/>
  <c r="FI323" i="1"/>
  <c r="FJ323" i="1"/>
  <c r="FK323" i="1"/>
  <c r="FI324" i="1"/>
  <c r="FJ324" i="1"/>
  <c r="FK324" i="1"/>
  <c r="FI325" i="1"/>
  <c r="FJ325" i="1"/>
  <c r="FK325" i="1"/>
  <c r="FI326" i="1"/>
  <c r="FJ326" i="1"/>
  <c r="FK326" i="1"/>
  <c r="FI327" i="1"/>
  <c r="FJ327" i="1"/>
  <c r="FK327" i="1"/>
  <c r="FK319" i="1"/>
  <c r="FJ319" i="1"/>
  <c r="FI319" i="1"/>
  <c r="FI314" i="1"/>
  <c r="FJ314" i="1"/>
  <c r="FK314" i="1"/>
  <c r="FI315" i="1"/>
  <c r="FJ315" i="1"/>
  <c r="FK315" i="1"/>
  <c r="FI316" i="1"/>
  <c r="FJ316" i="1"/>
  <c r="FK316" i="1"/>
  <c r="FK313" i="1"/>
  <c r="FJ313" i="1"/>
  <c r="FI313" i="1"/>
  <c r="FK307" i="1"/>
  <c r="FI163" i="1"/>
  <c r="FJ163" i="1"/>
  <c r="FK163" i="1"/>
  <c r="FI164" i="1"/>
  <c r="FJ164" i="1"/>
  <c r="FK164" i="1"/>
  <c r="FI165" i="1"/>
  <c r="FJ165" i="1"/>
  <c r="FK165" i="1"/>
  <c r="FI166" i="1"/>
  <c r="FJ166" i="1"/>
  <c r="FK166" i="1"/>
  <c r="FI167" i="1"/>
  <c r="FJ167" i="1"/>
  <c r="FK167" i="1"/>
  <c r="FI168" i="1"/>
  <c r="FJ168" i="1"/>
  <c r="FK168" i="1"/>
  <c r="FI169" i="1"/>
  <c r="FJ169" i="1"/>
  <c r="FI170" i="1"/>
  <c r="FJ170" i="1"/>
  <c r="FK170" i="1"/>
  <c r="FI171" i="1"/>
  <c r="FJ171" i="1"/>
  <c r="FK171" i="1"/>
  <c r="FI172" i="1"/>
  <c r="FJ172" i="1"/>
  <c r="FK172" i="1"/>
  <c r="FI173" i="1"/>
  <c r="FJ173" i="1"/>
  <c r="FK173" i="1"/>
  <c r="FI174" i="1"/>
  <c r="FJ174" i="1"/>
  <c r="FK174" i="1"/>
  <c r="FI175" i="1"/>
  <c r="FJ175" i="1"/>
  <c r="FK175" i="1"/>
  <c r="FI176" i="1"/>
  <c r="FJ176" i="1"/>
  <c r="FK176" i="1"/>
  <c r="FI177" i="1"/>
  <c r="FJ177" i="1"/>
  <c r="FI178" i="1"/>
  <c r="FJ178" i="1"/>
  <c r="FK178" i="1"/>
  <c r="FI179" i="1"/>
  <c r="FJ179" i="1"/>
  <c r="FK179" i="1"/>
  <c r="FI180" i="1"/>
  <c r="FJ180" i="1"/>
  <c r="FK180" i="1"/>
  <c r="FI181" i="1"/>
  <c r="FJ181" i="1"/>
  <c r="FK181" i="1"/>
  <c r="FI182" i="1"/>
  <c r="FJ182" i="1"/>
  <c r="FI183" i="1"/>
  <c r="FJ183" i="1"/>
  <c r="FI184" i="1"/>
  <c r="FJ184" i="1"/>
  <c r="FI185" i="1"/>
  <c r="FJ185" i="1"/>
  <c r="FI186" i="1"/>
  <c r="FJ186" i="1"/>
  <c r="FI187" i="1"/>
  <c r="FJ187" i="1"/>
  <c r="FK187" i="1"/>
  <c r="FI188" i="1"/>
  <c r="FJ188" i="1"/>
  <c r="FI189" i="1"/>
  <c r="FJ189" i="1"/>
  <c r="FK189" i="1"/>
  <c r="FI190" i="1"/>
  <c r="FJ190" i="1"/>
  <c r="FK190" i="1"/>
  <c r="FI191" i="1"/>
  <c r="FJ191" i="1"/>
  <c r="FK191" i="1"/>
  <c r="FI192" i="1"/>
  <c r="FJ192" i="1"/>
  <c r="FI193" i="1"/>
  <c r="FJ193" i="1"/>
  <c r="FK193" i="1"/>
  <c r="FI194" i="1"/>
  <c r="FJ194" i="1"/>
  <c r="FK194" i="1"/>
  <c r="FI195" i="1"/>
  <c r="FJ195" i="1"/>
  <c r="FI196" i="1"/>
  <c r="FJ196" i="1"/>
  <c r="FI197" i="1"/>
  <c r="FJ197" i="1"/>
  <c r="FI198" i="1"/>
  <c r="FJ198" i="1"/>
  <c r="FK198" i="1"/>
  <c r="FI199" i="1"/>
  <c r="FJ199" i="1"/>
  <c r="FI200" i="1"/>
  <c r="FJ200" i="1"/>
  <c r="FK200" i="1"/>
  <c r="FI201" i="1"/>
  <c r="FJ201" i="1"/>
  <c r="FK201" i="1"/>
  <c r="FI202" i="1"/>
  <c r="FJ202" i="1"/>
  <c r="FK202" i="1"/>
  <c r="FI203" i="1"/>
  <c r="FJ203" i="1"/>
  <c r="FI204" i="1"/>
  <c r="FJ204" i="1"/>
  <c r="FI205" i="1"/>
  <c r="FJ205" i="1"/>
  <c r="FK205" i="1"/>
  <c r="FI206" i="1"/>
  <c r="FJ206" i="1"/>
  <c r="FI207" i="1"/>
  <c r="FJ207" i="1"/>
  <c r="FK207" i="1"/>
  <c r="FI208" i="1"/>
  <c r="FJ208" i="1"/>
  <c r="FI209" i="1"/>
  <c r="FJ209" i="1"/>
  <c r="FK209" i="1"/>
  <c r="FI210" i="1"/>
  <c r="FJ210" i="1"/>
  <c r="FI211" i="1"/>
  <c r="FJ211" i="1"/>
  <c r="FI212" i="1"/>
  <c r="FJ212" i="1"/>
  <c r="FK212" i="1"/>
  <c r="FI213" i="1"/>
  <c r="FJ213" i="1"/>
  <c r="FK213" i="1"/>
  <c r="FI214" i="1"/>
  <c r="FJ214" i="1"/>
  <c r="FI215" i="1"/>
  <c r="FJ215" i="1"/>
  <c r="FK215" i="1"/>
  <c r="FI216" i="1"/>
  <c r="FJ216" i="1"/>
  <c r="FK216" i="1"/>
  <c r="FI217" i="1"/>
  <c r="FJ217" i="1"/>
  <c r="FK217" i="1"/>
  <c r="FI218" i="1"/>
  <c r="FJ218" i="1"/>
  <c r="FK218" i="1"/>
  <c r="FI219" i="1"/>
  <c r="FJ219" i="1"/>
  <c r="FK219" i="1"/>
  <c r="FI220" i="1"/>
  <c r="FJ220" i="1"/>
  <c r="FK220" i="1"/>
  <c r="FI221" i="1"/>
  <c r="FJ221" i="1"/>
  <c r="FK221" i="1"/>
  <c r="FI222" i="1"/>
  <c r="FJ222" i="1"/>
  <c r="FK222" i="1"/>
  <c r="FI223" i="1"/>
  <c r="FJ223" i="1"/>
  <c r="FK223" i="1"/>
  <c r="FI224" i="1"/>
  <c r="FJ224" i="1"/>
  <c r="FK224" i="1"/>
  <c r="FI225" i="1"/>
  <c r="FJ225" i="1"/>
  <c r="FK225" i="1"/>
  <c r="FI226" i="1"/>
  <c r="FJ226" i="1"/>
  <c r="FK226" i="1"/>
  <c r="FI227" i="1"/>
  <c r="FJ227" i="1"/>
  <c r="FK227" i="1"/>
  <c r="FI228" i="1"/>
  <c r="FJ228" i="1"/>
  <c r="FK228" i="1"/>
  <c r="FI229" i="1"/>
  <c r="FJ229" i="1"/>
  <c r="FK229" i="1"/>
  <c r="FI230" i="1"/>
  <c r="FJ230" i="1"/>
  <c r="FK230" i="1"/>
  <c r="FI231" i="1"/>
  <c r="FJ231" i="1"/>
  <c r="FI232" i="1"/>
  <c r="FJ232" i="1"/>
  <c r="FK232" i="1"/>
  <c r="FI233" i="1"/>
  <c r="FJ233" i="1"/>
  <c r="FK233" i="1"/>
  <c r="FI234" i="1"/>
  <c r="FJ234" i="1"/>
  <c r="FI235" i="1"/>
  <c r="FJ235" i="1"/>
  <c r="FK235" i="1"/>
  <c r="FI236" i="1"/>
  <c r="FJ236" i="1"/>
  <c r="FK236" i="1"/>
  <c r="FI237" i="1"/>
  <c r="FJ237" i="1"/>
  <c r="FK237" i="1"/>
  <c r="FI238" i="1"/>
  <c r="FJ238" i="1"/>
  <c r="FI239" i="1"/>
  <c r="FJ239" i="1"/>
  <c r="FK239" i="1"/>
  <c r="FI240" i="1"/>
  <c r="FJ240" i="1"/>
  <c r="FI241" i="1"/>
  <c r="FJ241" i="1"/>
  <c r="FK241" i="1"/>
  <c r="FI242" i="1"/>
  <c r="FJ242" i="1"/>
  <c r="FK242" i="1"/>
  <c r="FI243" i="1"/>
  <c r="FJ243" i="1"/>
  <c r="FK243" i="1"/>
  <c r="FI244" i="1"/>
  <c r="FJ244" i="1"/>
  <c r="FK244" i="1"/>
  <c r="FI245" i="1"/>
  <c r="FJ245" i="1"/>
  <c r="FK245" i="1"/>
  <c r="FI246" i="1"/>
  <c r="FJ246" i="1"/>
  <c r="FJ247" i="1"/>
  <c r="FK247" i="1"/>
  <c r="FI248" i="1"/>
  <c r="FJ248" i="1"/>
  <c r="FK248" i="1"/>
  <c r="FI249" i="1"/>
  <c r="FJ249" i="1"/>
  <c r="FK249" i="1"/>
  <c r="FI250" i="1"/>
  <c r="FJ250" i="1"/>
  <c r="FK250" i="1"/>
  <c r="FI251" i="1"/>
  <c r="FJ251" i="1"/>
  <c r="FK251" i="1"/>
  <c r="FI252" i="1"/>
  <c r="FJ252" i="1"/>
  <c r="FK252" i="1"/>
  <c r="FI253" i="1"/>
  <c r="FJ253" i="1"/>
  <c r="FK253" i="1"/>
  <c r="FI254" i="1"/>
  <c r="FJ254" i="1"/>
  <c r="FK254" i="1"/>
  <c r="FI255" i="1"/>
  <c r="FJ255" i="1"/>
  <c r="FK255" i="1"/>
  <c r="FI256" i="1"/>
  <c r="FJ256" i="1"/>
  <c r="FK256" i="1"/>
  <c r="FI257" i="1"/>
  <c r="FJ257" i="1"/>
  <c r="FK257" i="1"/>
  <c r="FI258" i="1"/>
  <c r="FJ258" i="1"/>
  <c r="FK258" i="1"/>
  <c r="FI259" i="1"/>
  <c r="FJ259" i="1"/>
  <c r="FK259" i="1"/>
  <c r="FI260" i="1"/>
  <c r="FJ260" i="1"/>
  <c r="FK260" i="1"/>
  <c r="FI261" i="1"/>
  <c r="FJ261" i="1"/>
  <c r="FK261" i="1"/>
  <c r="FI262" i="1"/>
  <c r="FJ262" i="1"/>
  <c r="FK262" i="1"/>
  <c r="FI263" i="1"/>
  <c r="FJ263" i="1"/>
  <c r="FK263" i="1"/>
  <c r="FI264" i="1"/>
  <c r="FJ264" i="1"/>
  <c r="FK264" i="1"/>
  <c r="FI265" i="1"/>
  <c r="FJ265" i="1"/>
  <c r="FK265" i="1"/>
  <c r="FI266" i="1"/>
  <c r="FJ266" i="1"/>
  <c r="FK266" i="1"/>
  <c r="FI267" i="1"/>
  <c r="FJ267" i="1"/>
  <c r="FK267" i="1"/>
  <c r="FI268" i="1"/>
  <c r="FJ268" i="1"/>
  <c r="FK268" i="1"/>
  <c r="FI269" i="1"/>
  <c r="FJ269" i="1"/>
  <c r="FK269" i="1"/>
  <c r="FI270" i="1"/>
  <c r="FJ270" i="1"/>
  <c r="FK270" i="1"/>
  <c r="FI271" i="1"/>
  <c r="FJ271" i="1"/>
  <c r="FI272" i="1"/>
  <c r="FJ272" i="1"/>
  <c r="FK272" i="1"/>
  <c r="FI273" i="1"/>
  <c r="FJ273" i="1"/>
  <c r="FK273" i="1"/>
  <c r="FI274" i="1"/>
  <c r="FJ274" i="1"/>
  <c r="FK274" i="1"/>
  <c r="FI275" i="1"/>
  <c r="FJ275" i="1"/>
  <c r="FK275" i="1"/>
  <c r="FI276" i="1"/>
  <c r="FJ276" i="1"/>
  <c r="FK276" i="1"/>
  <c r="FI277" i="1"/>
  <c r="FJ277" i="1"/>
  <c r="FK277" i="1"/>
  <c r="FI278" i="1"/>
  <c r="FJ278" i="1"/>
  <c r="FI279" i="1"/>
  <c r="FJ279" i="1"/>
  <c r="FK279" i="1"/>
  <c r="FI280" i="1"/>
  <c r="FJ280" i="1"/>
  <c r="FK280" i="1"/>
  <c r="FI281" i="1"/>
  <c r="FJ281" i="1"/>
  <c r="FK281" i="1"/>
  <c r="FI282" i="1"/>
  <c r="FJ282" i="1"/>
  <c r="FK282" i="1"/>
  <c r="FI283" i="1"/>
  <c r="FJ283" i="1"/>
  <c r="FK283" i="1"/>
  <c r="FI284" i="1"/>
  <c r="FJ284" i="1"/>
  <c r="FK284" i="1"/>
  <c r="FI285" i="1"/>
  <c r="FJ285" i="1"/>
  <c r="FK285" i="1"/>
  <c r="FI286" i="1"/>
  <c r="FJ286" i="1"/>
  <c r="FK286" i="1"/>
  <c r="FI287" i="1"/>
  <c r="FJ287" i="1"/>
  <c r="FK287" i="1"/>
  <c r="FI288" i="1"/>
  <c r="FJ288" i="1"/>
  <c r="FK288" i="1"/>
  <c r="FI289" i="1"/>
  <c r="FJ289" i="1"/>
  <c r="FK289" i="1"/>
  <c r="FI290" i="1"/>
  <c r="FJ290" i="1"/>
  <c r="FK290" i="1"/>
  <c r="FI291" i="1"/>
  <c r="FJ291" i="1"/>
  <c r="FK291" i="1"/>
  <c r="FI292" i="1"/>
  <c r="FJ292" i="1"/>
  <c r="FK292" i="1"/>
  <c r="FI293" i="1"/>
  <c r="FJ293" i="1"/>
  <c r="FK293" i="1"/>
  <c r="FI294" i="1"/>
  <c r="FJ294" i="1"/>
  <c r="FK294" i="1"/>
  <c r="FI295" i="1"/>
  <c r="FJ295" i="1"/>
  <c r="FK295" i="1"/>
  <c r="FI296" i="1"/>
  <c r="FJ296" i="1"/>
  <c r="FK296" i="1"/>
  <c r="FI297" i="1"/>
  <c r="FJ297" i="1"/>
  <c r="FK297" i="1"/>
  <c r="FI298" i="1"/>
  <c r="FJ298" i="1"/>
  <c r="FK298" i="1"/>
  <c r="FI299" i="1"/>
  <c r="FJ299" i="1"/>
  <c r="FK299" i="1"/>
  <c r="FI300" i="1"/>
  <c r="FJ300" i="1"/>
  <c r="FK300" i="1"/>
  <c r="FI301" i="1"/>
  <c r="FJ301" i="1"/>
  <c r="FK301" i="1"/>
  <c r="FI302" i="1"/>
  <c r="FJ302" i="1"/>
  <c r="FK302" i="1"/>
  <c r="FI303" i="1"/>
  <c r="FJ303" i="1"/>
  <c r="FK303" i="1"/>
  <c r="FI304" i="1"/>
  <c r="FJ304" i="1"/>
  <c r="FK304" i="1"/>
  <c r="FI305" i="1"/>
  <c r="FJ305" i="1"/>
  <c r="FK305" i="1"/>
  <c r="FI306" i="1"/>
  <c r="FJ306" i="1"/>
  <c r="FK306" i="1"/>
  <c r="FI307" i="1"/>
  <c r="FJ307" i="1"/>
  <c r="FI308" i="1"/>
  <c r="FJ308" i="1"/>
  <c r="FK308" i="1"/>
  <c r="FI309" i="1"/>
  <c r="FJ309" i="1"/>
  <c r="FK309" i="1"/>
  <c r="FI310" i="1"/>
  <c r="FJ310" i="1"/>
  <c r="FK310" i="1"/>
  <c r="FK162" i="1"/>
  <c r="FJ162" i="1"/>
  <c r="FI162" i="1"/>
  <c r="FI77" i="1"/>
  <c r="FJ77" i="1"/>
  <c r="FK77" i="1"/>
  <c r="FI78" i="1"/>
  <c r="FJ78" i="1"/>
  <c r="FK78" i="1"/>
  <c r="FI79" i="1"/>
  <c r="FJ79" i="1"/>
  <c r="FK79" i="1"/>
  <c r="FI80" i="1"/>
  <c r="FJ80" i="1"/>
  <c r="FK80" i="1"/>
  <c r="FI81" i="1"/>
  <c r="FJ81" i="1"/>
  <c r="FK81" i="1"/>
  <c r="FI82" i="1"/>
  <c r="FJ82" i="1"/>
  <c r="FK82" i="1"/>
  <c r="FI83" i="1"/>
  <c r="FJ83" i="1"/>
  <c r="FK83" i="1"/>
  <c r="FI84" i="1"/>
  <c r="FJ84" i="1"/>
  <c r="FK84" i="1"/>
  <c r="FI85" i="1"/>
  <c r="FJ85" i="1"/>
  <c r="FK85" i="1"/>
  <c r="FI86" i="1"/>
  <c r="FJ86" i="1"/>
  <c r="FK86" i="1"/>
  <c r="FI87" i="1"/>
  <c r="FJ87" i="1"/>
  <c r="FK87" i="1"/>
  <c r="FI88" i="1"/>
  <c r="FJ88" i="1"/>
  <c r="FK88" i="1"/>
  <c r="FI89" i="1"/>
  <c r="FJ89" i="1"/>
  <c r="FK89" i="1"/>
  <c r="FI90" i="1"/>
  <c r="FJ90" i="1"/>
  <c r="FK90" i="1"/>
  <c r="FI91" i="1"/>
  <c r="FJ91" i="1"/>
  <c r="FK91" i="1"/>
  <c r="FI92" i="1"/>
  <c r="FJ92" i="1"/>
  <c r="FK92" i="1"/>
  <c r="FI93" i="1"/>
  <c r="FJ93" i="1"/>
  <c r="FK93" i="1"/>
  <c r="FI94" i="1"/>
  <c r="FJ94" i="1"/>
  <c r="FK94" i="1"/>
  <c r="FI95" i="1"/>
  <c r="FJ95" i="1"/>
  <c r="FK95" i="1"/>
  <c r="FI96" i="1"/>
  <c r="FJ96" i="1"/>
  <c r="FK96" i="1"/>
  <c r="FI97" i="1"/>
  <c r="FJ97" i="1"/>
  <c r="FK97" i="1"/>
  <c r="FI98" i="1"/>
  <c r="FJ98" i="1"/>
  <c r="FK98" i="1"/>
  <c r="FI99" i="1"/>
  <c r="FJ99" i="1"/>
  <c r="FK99" i="1"/>
  <c r="FI100" i="1"/>
  <c r="FJ100" i="1"/>
  <c r="FK100" i="1"/>
  <c r="FI101" i="1"/>
  <c r="FJ101" i="1"/>
  <c r="FK101" i="1"/>
  <c r="FI102" i="1"/>
  <c r="FJ102" i="1"/>
  <c r="FK102" i="1"/>
  <c r="FI103" i="1"/>
  <c r="FJ103" i="1"/>
  <c r="FK103" i="1"/>
  <c r="FI104" i="1"/>
  <c r="FJ104" i="1"/>
  <c r="FK104" i="1"/>
  <c r="FI105" i="1"/>
  <c r="FJ105" i="1"/>
  <c r="FK105" i="1"/>
  <c r="FI106" i="1"/>
  <c r="FJ106" i="1"/>
  <c r="FK106" i="1"/>
  <c r="FI107" i="1"/>
  <c r="FJ107" i="1"/>
  <c r="FK107" i="1"/>
  <c r="FI108" i="1"/>
  <c r="FJ108" i="1"/>
  <c r="FK108" i="1"/>
  <c r="FI109" i="1"/>
  <c r="FJ109" i="1"/>
  <c r="FK109" i="1"/>
  <c r="FI110" i="1"/>
  <c r="FJ110" i="1"/>
  <c r="FK110" i="1"/>
  <c r="FI111" i="1"/>
  <c r="FJ111" i="1"/>
  <c r="FK111" i="1"/>
  <c r="FI112" i="1"/>
  <c r="FJ112" i="1"/>
  <c r="FK112" i="1"/>
  <c r="FI113" i="1"/>
  <c r="FJ113" i="1"/>
  <c r="FK113" i="1"/>
  <c r="FI114" i="1"/>
  <c r="FJ114" i="1"/>
  <c r="FK114" i="1"/>
  <c r="FI115" i="1"/>
  <c r="FJ115" i="1"/>
  <c r="FK115" i="1"/>
  <c r="FI116" i="1"/>
  <c r="FJ116" i="1"/>
  <c r="FK116" i="1"/>
  <c r="FI117" i="1"/>
  <c r="FJ117" i="1"/>
  <c r="FK117" i="1"/>
  <c r="FI118" i="1"/>
  <c r="FJ118" i="1"/>
  <c r="FK118" i="1"/>
  <c r="FI119" i="1"/>
  <c r="FJ119" i="1"/>
  <c r="FK119" i="1"/>
  <c r="FI120" i="1"/>
  <c r="FJ120" i="1"/>
  <c r="FK120" i="1"/>
  <c r="FI121" i="1"/>
  <c r="FJ121" i="1"/>
  <c r="FK121" i="1"/>
  <c r="FI122" i="1"/>
  <c r="FJ122" i="1"/>
  <c r="FK122" i="1"/>
  <c r="FI123" i="1"/>
  <c r="FJ123" i="1"/>
  <c r="FK123" i="1"/>
  <c r="FI124" i="1"/>
  <c r="FJ124" i="1"/>
  <c r="FK124" i="1"/>
  <c r="FI125" i="1"/>
  <c r="FJ125" i="1"/>
  <c r="FK125" i="1"/>
  <c r="FI126" i="1"/>
  <c r="FJ126" i="1"/>
  <c r="FK126" i="1"/>
  <c r="FI127" i="1"/>
  <c r="FJ127" i="1"/>
  <c r="FK127" i="1"/>
  <c r="FI128" i="1"/>
  <c r="FJ128" i="1"/>
  <c r="FK128" i="1"/>
  <c r="FI129" i="1"/>
  <c r="FJ129" i="1"/>
  <c r="FK129" i="1"/>
  <c r="FI130" i="1"/>
  <c r="FJ130" i="1"/>
  <c r="FK130" i="1"/>
  <c r="FI131" i="1"/>
  <c r="FJ131" i="1"/>
  <c r="FK131" i="1"/>
  <c r="FI132" i="1"/>
  <c r="FJ132" i="1"/>
  <c r="FK132" i="1"/>
  <c r="FI133" i="1"/>
  <c r="FJ133" i="1"/>
  <c r="FK133" i="1"/>
  <c r="FI134" i="1"/>
  <c r="FJ134" i="1"/>
  <c r="FK134" i="1"/>
  <c r="FI135" i="1"/>
  <c r="FJ135" i="1"/>
  <c r="FK135" i="1"/>
  <c r="FI136" i="1"/>
  <c r="FJ136" i="1"/>
  <c r="FK136" i="1"/>
  <c r="FI137" i="1"/>
  <c r="FJ137" i="1"/>
  <c r="FK137" i="1"/>
  <c r="FI138" i="1"/>
  <c r="FJ138" i="1"/>
  <c r="FK138" i="1"/>
  <c r="FI139" i="1"/>
  <c r="FJ139" i="1"/>
  <c r="FK139" i="1"/>
  <c r="FI140" i="1"/>
  <c r="FJ140" i="1"/>
  <c r="FK140" i="1"/>
  <c r="FI141" i="1"/>
  <c r="FJ141" i="1"/>
  <c r="FK141" i="1"/>
  <c r="FI142" i="1"/>
  <c r="FJ142" i="1"/>
  <c r="FK142" i="1"/>
  <c r="FI143" i="1"/>
  <c r="FJ143" i="1"/>
  <c r="FK143" i="1"/>
  <c r="FI144" i="1"/>
  <c r="FJ144" i="1"/>
  <c r="FK144" i="1"/>
  <c r="FI145" i="1"/>
  <c r="FJ145" i="1"/>
  <c r="FK145" i="1"/>
  <c r="FI146" i="1"/>
  <c r="FJ146" i="1"/>
  <c r="FK146" i="1"/>
  <c r="FI147" i="1"/>
  <c r="FJ147" i="1"/>
  <c r="FK147" i="1"/>
  <c r="FI148" i="1"/>
  <c r="FJ148" i="1"/>
  <c r="FK148" i="1"/>
  <c r="FI149" i="1"/>
  <c r="FJ149" i="1"/>
  <c r="FK149" i="1"/>
  <c r="FI150" i="1"/>
  <c r="FJ150" i="1"/>
  <c r="FK150" i="1"/>
  <c r="FI151" i="1"/>
  <c r="FJ151" i="1"/>
  <c r="FK151" i="1"/>
  <c r="FI152" i="1"/>
  <c r="FJ152" i="1"/>
  <c r="FK152" i="1"/>
  <c r="FI153" i="1"/>
  <c r="FJ153" i="1"/>
  <c r="FK153" i="1"/>
  <c r="FI154" i="1"/>
  <c r="FJ154" i="1"/>
  <c r="FK154" i="1"/>
  <c r="FI155" i="1"/>
  <c r="FJ155" i="1"/>
  <c r="FK155" i="1"/>
  <c r="FI156" i="1"/>
  <c r="FJ156" i="1"/>
  <c r="FK156" i="1"/>
  <c r="FI157" i="1"/>
  <c r="FJ157" i="1"/>
  <c r="FK157" i="1"/>
  <c r="FI158" i="1"/>
  <c r="FJ158" i="1"/>
  <c r="FK158" i="1"/>
  <c r="FI159" i="1"/>
  <c r="FJ159" i="1"/>
  <c r="FK159" i="1"/>
  <c r="FK76" i="1"/>
  <c r="FJ76" i="1"/>
  <c r="FI76" i="1"/>
  <c r="FI70" i="1"/>
  <c r="FJ70" i="1"/>
  <c r="FK70" i="1"/>
  <c r="FI71" i="1"/>
  <c r="FJ71" i="1"/>
  <c r="FK71" i="1"/>
  <c r="FI72" i="1"/>
  <c r="FJ72" i="1"/>
  <c r="FK72" i="1"/>
  <c r="FI73" i="1"/>
  <c r="FJ73" i="1"/>
  <c r="FK73" i="1"/>
  <c r="FK69" i="1"/>
  <c r="FJ69" i="1"/>
  <c r="FI69" i="1"/>
  <c r="FI25" i="1"/>
  <c r="FJ25" i="1"/>
  <c r="FK25" i="1"/>
  <c r="FI26" i="1"/>
  <c r="FJ26" i="1"/>
  <c r="FK26" i="1"/>
  <c r="FI27" i="1"/>
  <c r="FJ27" i="1"/>
  <c r="FK27" i="1"/>
  <c r="FI28" i="1"/>
  <c r="FJ28" i="1"/>
  <c r="FK28" i="1"/>
  <c r="FI29" i="1"/>
  <c r="FJ29" i="1"/>
  <c r="FK29" i="1"/>
  <c r="FI30" i="1"/>
  <c r="FJ30" i="1"/>
  <c r="FK30" i="1"/>
  <c r="FI31" i="1"/>
  <c r="FJ31" i="1"/>
  <c r="FK31" i="1"/>
  <c r="FI32" i="1"/>
  <c r="FJ32" i="1"/>
  <c r="FK32" i="1"/>
  <c r="FI33" i="1"/>
  <c r="FJ33" i="1"/>
  <c r="FK33" i="1"/>
  <c r="FI34" i="1"/>
  <c r="FJ34" i="1"/>
  <c r="FK34" i="1"/>
  <c r="FI35" i="1"/>
  <c r="FJ35" i="1"/>
  <c r="FK35" i="1"/>
  <c r="FI36" i="1"/>
  <c r="FJ36" i="1"/>
  <c r="FK36" i="1"/>
  <c r="FI37" i="1"/>
  <c r="FJ37" i="1"/>
  <c r="FK37" i="1"/>
  <c r="FI38" i="1"/>
  <c r="FJ38" i="1"/>
  <c r="FK38" i="1"/>
  <c r="FI39" i="1"/>
  <c r="FJ39" i="1"/>
  <c r="FK39" i="1"/>
  <c r="FI40" i="1"/>
  <c r="FJ40" i="1"/>
  <c r="FK40" i="1"/>
  <c r="FI41" i="1"/>
  <c r="FJ41" i="1"/>
  <c r="FK41" i="1"/>
  <c r="FI42" i="1"/>
  <c r="FJ42" i="1"/>
  <c r="FI43" i="1"/>
  <c r="FJ43" i="1"/>
  <c r="FK43" i="1"/>
  <c r="FI44" i="1"/>
  <c r="FJ44" i="1"/>
  <c r="FI45" i="1"/>
  <c r="FJ45" i="1"/>
  <c r="FI46" i="1"/>
  <c r="FJ46" i="1"/>
  <c r="FK46" i="1"/>
  <c r="FI47" i="1"/>
  <c r="FJ47" i="1"/>
  <c r="FK47" i="1"/>
  <c r="FI48" i="1"/>
  <c r="FJ48" i="1"/>
  <c r="FI49" i="1"/>
  <c r="FJ49" i="1"/>
  <c r="FK49" i="1"/>
  <c r="FI50" i="1"/>
  <c r="FJ50" i="1"/>
  <c r="FK50" i="1"/>
  <c r="FI51" i="1"/>
  <c r="FJ51" i="1"/>
  <c r="FK51" i="1"/>
  <c r="FI52" i="1"/>
  <c r="FJ52" i="1"/>
  <c r="FI53" i="1"/>
  <c r="FJ53" i="1"/>
  <c r="FK53" i="1"/>
  <c r="FI54" i="1"/>
  <c r="FJ54" i="1"/>
  <c r="FK54" i="1"/>
  <c r="FI55" i="1"/>
  <c r="FJ55" i="1"/>
  <c r="FK55" i="1"/>
  <c r="FI56" i="1"/>
  <c r="FJ56" i="1"/>
  <c r="FK56" i="1"/>
  <c r="FI57" i="1"/>
  <c r="FJ57" i="1"/>
  <c r="FK57" i="1"/>
  <c r="FI58" i="1"/>
  <c r="FJ58" i="1"/>
  <c r="FK58" i="1"/>
  <c r="FI59" i="1"/>
  <c r="FJ59" i="1"/>
  <c r="FK59" i="1"/>
  <c r="FI60" i="1"/>
  <c r="FJ60" i="1"/>
  <c r="FK60" i="1"/>
  <c r="FI61" i="1"/>
  <c r="FJ61" i="1"/>
  <c r="FK61" i="1"/>
  <c r="FI62" i="1"/>
  <c r="FJ62" i="1"/>
  <c r="FK62" i="1"/>
  <c r="FI63" i="1"/>
  <c r="FJ63" i="1"/>
  <c r="FK63" i="1"/>
  <c r="FI64" i="1"/>
  <c r="FJ64" i="1"/>
  <c r="FK64" i="1"/>
  <c r="FI65" i="1"/>
  <c r="FJ65" i="1"/>
  <c r="FK65" i="1"/>
  <c r="FI66" i="1"/>
  <c r="FJ66" i="1"/>
  <c r="FK66" i="1"/>
  <c r="FK24" i="1"/>
  <c r="FJ24" i="1"/>
  <c r="FI24" i="1"/>
  <c r="FI14" i="1"/>
  <c r="FJ14" i="1"/>
  <c r="FK14" i="1"/>
  <c r="FI15" i="1"/>
  <c r="FJ15" i="1"/>
  <c r="FK15" i="1"/>
  <c r="FI16" i="1"/>
  <c r="FJ16" i="1"/>
  <c r="FK16" i="1"/>
  <c r="FI17" i="1"/>
  <c r="FJ17" i="1"/>
  <c r="FK17" i="1"/>
  <c r="FI18" i="1"/>
  <c r="FJ18" i="1"/>
  <c r="FK18" i="1"/>
  <c r="FI19" i="1"/>
  <c r="FJ19" i="1"/>
  <c r="FK19" i="1"/>
  <c r="FI20" i="1"/>
  <c r="FJ20" i="1"/>
  <c r="FK20" i="1"/>
  <c r="FI21" i="1"/>
  <c r="FJ21" i="1"/>
  <c r="FK21" i="1"/>
  <c r="FK13" i="1"/>
  <c r="FJ13" i="1"/>
  <c r="FI13" i="1"/>
  <c r="FI4" i="1"/>
  <c r="FJ4" i="1"/>
  <c r="FK4" i="1"/>
  <c r="FI5" i="1"/>
  <c r="FI466" i="1" s="1"/>
  <c r="FJ5" i="1"/>
  <c r="FJ466" i="1" s="1"/>
  <c r="FK5" i="1"/>
  <c r="FI6" i="1"/>
  <c r="FJ6" i="1"/>
  <c r="FK6" i="1"/>
  <c r="FI7" i="1"/>
  <c r="FJ7" i="1"/>
  <c r="FK7" i="1"/>
  <c r="FI8" i="1"/>
  <c r="FJ8" i="1"/>
  <c r="FK8" i="1"/>
  <c r="FI9" i="1"/>
  <c r="FJ9" i="1"/>
  <c r="FK9" i="1"/>
  <c r="FI10" i="1"/>
  <c r="FJ10" i="1"/>
  <c r="FK10" i="1"/>
  <c r="EZ458" i="1"/>
  <c r="EZ382" i="1"/>
  <c r="EZ378" i="1"/>
  <c r="EZ374" i="1"/>
  <c r="EZ328" i="1"/>
  <c r="EZ317" i="1"/>
  <c r="EZ311" i="1"/>
  <c r="EZ160" i="1"/>
  <c r="EZ74" i="1"/>
  <c r="EZ67" i="1"/>
  <c r="EZ22" i="1"/>
  <c r="EZ11" i="1"/>
  <c r="E573" i="1"/>
  <c r="F573" i="1"/>
  <c r="G573" i="1"/>
  <c r="H573" i="1"/>
  <c r="I573" i="1"/>
  <c r="J573" i="1"/>
  <c r="K573" i="1"/>
  <c r="L573" i="1"/>
  <c r="M573" i="1"/>
  <c r="N573" i="1"/>
  <c r="O573" i="1"/>
  <c r="CC349" i="3"/>
  <c r="CC414" i="3"/>
  <c r="CC415" i="3"/>
  <c r="CC437" i="3"/>
  <c r="L414" i="3"/>
  <c r="L415" i="3"/>
  <c r="L413" i="3"/>
  <c r="L416" i="3"/>
  <c r="G416" i="3"/>
  <c r="H416" i="3"/>
  <c r="I416" i="3"/>
  <c r="J416" i="3"/>
  <c r="AF416" i="3"/>
  <c r="AW416" i="3" s="1"/>
  <c r="BM416" i="3" s="1"/>
  <c r="CC416" i="3" s="1"/>
  <c r="BP438" i="3"/>
  <c r="BO438" i="3"/>
  <c r="BN438" i="3"/>
  <c r="FC169" i="1"/>
  <c r="FB473" i="1" l="1"/>
  <c r="FB465" i="1"/>
  <c r="FB470" i="1"/>
  <c r="FB488" i="1"/>
  <c r="FB480" i="1"/>
  <c r="FB474" i="1"/>
  <c r="FB487" i="1"/>
  <c r="FB479" i="1"/>
  <c r="FB471" i="1"/>
  <c r="FB486" i="1"/>
  <c r="FB478" i="1"/>
  <c r="FB485" i="1"/>
  <c r="FB469" i="1"/>
  <c r="FB482" i="1"/>
  <c r="FB484" i="1"/>
  <c r="FB476" i="1"/>
  <c r="FB468" i="1"/>
  <c r="FB466" i="1"/>
  <c r="FB483" i="1"/>
  <c r="FB475" i="1"/>
  <c r="FB467" i="1"/>
  <c r="FB472" i="1"/>
  <c r="FB477" i="1"/>
  <c r="FB481" i="1"/>
  <c r="EZ469" i="1"/>
  <c r="EZ470" i="1"/>
  <c r="FL437" i="1"/>
  <c r="EZ473" i="1"/>
  <c r="EV481" i="1"/>
  <c r="EV473" i="1"/>
  <c r="EV465" i="1"/>
  <c r="EV470" i="1"/>
  <c r="EV488" i="1"/>
  <c r="EV480" i="1"/>
  <c r="EV472" i="1"/>
  <c r="EV487" i="1"/>
  <c r="EV479" i="1"/>
  <c r="EV471" i="1"/>
  <c r="EV486" i="1"/>
  <c r="EV478" i="1"/>
  <c r="EV485" i="1"/>
  <c r="EV477" i="1"/>
  <c r="EV469" i="1"/>
  <c r="EV482" i="1"/>
  <c r="EV484" i="1"/>
  <c r="EV476" i="1"/>
  <c r="EV468" i="1"/>
  <c r="EV474" i="1"/>
  <c r="EV483" i="1"/>
  <c r="EV475" i="1"/>
  <c r="EV467" i="1"/>
  <c r="EV466" i="1"/>
  <c r="FA466" i="1"/>
  <c r="FA481" i="1"/>
  <c r="FA474" i="1"/>
  <c r="FL222" i="1"/>
  <c r="FA482" i="1"/>
  <c r="FL325" i="1"/>
  <c r="FL219" i="1"/>
  <c r="FL439" i="1"/>
  <c r="FL252" i="1"/>
  <c r="FL232" i="1"/>
  <c r="FI487" i="1"/>
  <c r="FJ382" i="1"/>
  <c r="FI483" i="1"/>
  <c r="FJ485" i="1"/>
  <c r="FI473" i="1"/>
  <c r="FJ472" i="1"/>
  <c r="FJ317" i="1"/>
  <c r="FJ378" i="1"/>
  <c r="FI317" i="1"/>
  <c r="FJ478" i="1"/>
  <c r="FJ484" i="1"/>
  <c r="FJ465" i="1"/>
  <c r="FJ473" i="1"/>
  <c r="FI74" i="1"/>
  <c r="FJ476" i="1"/>
  <c r="FI467" i="1"/>
  <c r="FJ11" i="1"/>
  <c r="FJ470" i="1"/>
  <c r="FA461" i="1"/>
  <c r="FA467" i="1"/>
  <c r="FA475" i="1"/>
  <c r="FA483" i="1"/>
  <c r="FJ487" i="1"/>
  <c r="FA468" i="1"/>
  <c r="FA476" i="1"/>
  <c r="FA484" i="1"/>
  <c r="FJ475" i="1"/>
  <c r="FJ160" i="1"/>
  <c r="FA469" i="1"/>
  <c r="FA477" i="1"/>
  <c r="FA485" i="1"/>
  <c r="FI474" i="1"/>
  <c r="FI475" i="1"/>
  <c r="FK169" i="1"/>
  <c r="FA470" i="1"/>
  <c r="FA478" i="1"/>
  <c r="FA486" i="1"/>
  <c r="FA471" i="1"/>
  <c r="FA479" i="1"/>
  <c r="FA487" i="1"/>
  <c r="FJ22" i="1"/>
  <c r="FA472" i="1"/>
  <c r="FA480" i="1"/>
  <c r="FA488" i="1"/>
  <c r="FJ74" i="1"/>
  <c r="FA465" i="1"/>
  <c r="FA473" i="1"/>
  <c r="FJ474" i="1"/>
  <c r="FJ468" i="1"/>
  <c r="EZ482" i="1"/>
  <c r="FI472" i="1"/>
  <c r="FI160" i="1"/>
  <c r="FJ328" i="1"/>
  <c r="FJ467" i="1"/>
  <c r="FJ483" i="1"/>
  <c r="EZ484" i="1"/>
  <c r="FI476" i="1"/>
  <c r="FJ477" i="1"/>
  <c r="FI484" i="1"/>
  <c r="FI11" i="1"/>
  <c r="FI22" i="1"/>
  <c r="FI465" i="1"/>
  <c r="FI485" i="1"/>
  <c r="FJ482" i="1"/>
  <c r="FI478" i="1"/>
  <c r="FI470" i="1"/>
  <c r="FI378" i="1"/>
  <c r="FI328" i="1"/>
  <c r="EZ471" i="1"/>
  <c r="FI468" i="1"/>
  <c r="EZ472" i="1"/>
  <c r="FI382" i="1"/>
  <c r="FI477" i="1"/>
  <c r="EZ485" i="1"/>
  <c r="EZ474" i="1"/>
  <c r="EZ466" i="1"/>
  <c r="EZ476" i="1"/>
  <c r="FI482" i="1"/>
  <c r="EZ481" i="1"/>
  <c r="EZ467" i="1"/>
  <c r="EZ477" i="1"/>
  <c r="EZ468" i="1"/>
  <c r="EZ479" i="1"/>
  <c r="EZ461" i="1"/>
  <c r="EZ475" i="1"/>
  <c r="EZ483" i="1"/>
  <c r="EZ478" i="1"/>
  <c r="EZ486" i="1"/>
  <c r="EZ487" i="1"/>
  <c r="EZ480" i="1"/>
  <c r="EZ488" i="1"/>
  <c r="EZ465" i="1"/>
  <c r="K416" i="3"/>
  <c r="FC177" i="1"/>
  <c r="FK177" i="1" s="1"/>
  <c r="FB490" i="1" l="1"/>
  <c r="EV490" i="1"/>
  <c r="FA490" i="1"/>
  <c r="EZ490" i="1"/>
  <c r="EX415" i="1"/>
  <c r="FK415" i="1" s="1"/>
  <c r="BU323" i="3"/>
  <c r="BU226" i="3"/>
  <c r="BU211" i="3"/>
  <c r="BU207" i="3"/>
  <c r="BU201" i="3"/>
  <c r="BU194" i="3"/>
  <c r="BU189" i="3"/>
  <c r="BU40" i="3"/>
  <c r="EX339" i="1"/>
  <c r="FK339" i="1" s="1"/>
  <c r="EX203" i="1" l="1"/>
  <c r="FK203" i="1" s="1"/>
  <c r="EX182" i="1"/>
  <c r="FK182" i="1" s="1"/>
  <c r="EX183" i="1"/>
  <c r="FK183" i="1" s="1"/>
  <c r="FK363" i="1" l="1"/>
  <c r="FK240" i="1"/>
  <c r="EX238" i="1"/>
  <c r="FK238" i="1" s="1"/>
  <c r="EX234" i="1"/>
  <c r="FK234" i="1" s="1"/>
  <c r="EX231" i="1"/>
  <c r="FK231" i="1" s="1"/>
  <c r="FK48" i="1"/>
  <c r="EX45" i="1"/>
  <c r="FK45" i="1" s="1"/>
  <c r="EX206" i="1"/>
  <c r="FK206" i="1" s="1"/>
  <c r="EX197" i="1"/>
  <c r="FK197" i="1" s="1"/>
  <c r="EX192" i="1"/>
  <c r="FK192" i="1" s="1"/>
  <c r="FK42" i="1"/>
  <c r="FK335" i="1"/>
  <c r="FI481" i="1" l="1"/>
  <c r="FJ481" i="1"/>
  <c r="FI374" i="1"/>
  <c r="EX52" i="1"/>
  <c r="FK52" i="1" s="1"/>
  <c r="EX214" i="1"/>
  <c r="FK214" i="1" s="1"/>
  <c r="EX211" i="1"/>
  <c r="FK211" i="1" s="1"/>
  <c r="EX210" i="1"/>
  <c r="FK210" i="1" s="1"/>
  <c r="EX208" i="1"/>
  <c r="FK208" i="1" s="1"/>
  <c r="EX204" i="1"/>
  <c r="FK204" i="1" s="1"/>
  <c r="EX44" i="1"/>
  <c r="FK44" i="1" s="1"/>
  <c r="EX199" i="1"/>
  <c r="FK199" i="1" s="1"/>
  <c r="EX196" i="1"/>
  <c r="FK196" i="1" s="1"/>
  <c r="EX195" i="1"/>
  <c r="FK195" i="1" s="1"/>
  <c r="EX188" i="1"/>
  <c r="FK188" i="1" s="1"/>
  <c r="EX186" i="1"/>
  <c r="FK186" i="1" s="1"/>
  <c r="EX185" i="1"/>
  <c r="FK185" i="1" s="1"/>
  <c r="EX184" i="1"/>
  <c r="FK184" i="1" s="1"/>
  <c r="B569" i="1"/>
  <c r="B567" i="1"/>
  <c r="EH179" i="1"/>
  <c r="EH178" i="1"/>
  <c r="EG435" i="1"/>
  <c r="EG423" i="1"/>
  <c r="EG254" i="1"/>
  <c r="EG176" i="1"/>
  <c r="EG72" i="1"/>
  <c r="EG52" i="1"/>
  <c r="EG49" i="1"/>
  <c r="EG47" i="1"/>
  <c r="EG44" i="1"/>
  <c r="EG36" i="1"/>
  <c r="EF458" i="1"/>
  <c r="EF382" i="1"/>
  <c r="EF378" i="1"/>
  <c r="EF374" i="1"/>
  <c r="EF328" i="1"/>
  <c r="EF311" i="1"/>
  <c r="EF160" i="1"/>
  <c r="EF74" i="1"/>
  <c r="EF67" i="1"/>
  <c r="EF22" i="1"/>
  <c r="EG22" i="1"/>
  <c r="EF11" i="1"/>
  <c r="EG11" i="1"/>
  <c r="EJ444" i="1"/>
  <c r="EP67" i="1"/>
  <c r="EQ67" i="1"/>
  <c r="EQ160" i="1"/>
  <c r="EM294" i="1"/>
  <c r="FL294" i="1" s="1"/>
  <c r="M294" i="1"/>
  <c r="EM148" i="1"/>
  <c r="FL148" i="1" s="1"/>
  <c r="M148" i="1"/>
  <c r="EM146" i="1"/>
  <c r="FL146" i="1" s="1"/>
  <c r="M146" i="1"/>
  <c r="EM138" i="1"/>
  <c r="FL138" i="1" s="1"/>
  <c r="M138" i="1"/>
  <c r="EM130" i="1"/>
  <c r="FL130" i="1" s="1"/>
  <c r="M130" i="1"/>
  <c r="EM122" i="1"/>
  <c r="FL122" i="1" s="1"/>
  <c r="M122" i="1"/>
  <c r="EM126" i="1"/>
  <c r="FL126" i="1" s="1"/>
  <c r="M126" i="1"/>
  <c r="EM107" i="1"/>
  <c r="FL107" i="1" s="1"/>
  <c r="M107" i="1"/>
  <c r="EM102" i="1"/>
  <c r="FL102" i="1" s="1"/>
  <c r="M102" i="1"/>
  <c r="EM306" i="1"/>
  <c r="FL306" i="1" s="1"/>
  <c r="M306" i="1"/>
  <c r="EM300" i="1"/>
  <c r="FL300" i="1" s="1"/>
  <c r="M300" i="1"/>
  <c r="EM299" i="1"/>
  <c r="FL299" i="1" s="1"/>
  <c r="M299" i="1"/>
  <c r="EM261" i="1"/>
  <c r="FL261" i="1" s="1"/>
  <c r="M261" i="1"/>
  <c r="EM257" i="1"/>
  <c r="FL257" i="1" s="1"/>
  <c r="M257" i="1"/>
  <c r="M252" i="1"/>
  <c r="EK250" i="1"/>
  <c r="EM250" i="1" s="1"/>
  <c r="FL250" i="1" s="1"/>
  <c r="M250" i="1"/>
  <c r="EM244" i="1"/>
  <c r="FL244" i="1" s="1"/>
  <c r="M244" i="1"/>
  <c r="EM241" i="1"/>
  <c r="FL241" i="1" s="1"/>
  <c r="M241" i="1"/>
  <c r="EM175" i="1"/>
  <c r="FL175" i="1" s="1"/>
  <c r="M175" i="1"/>
  <c r="J175" i="1"/>
  <c r="I175" i="1"/>
  <c r="H175" i="1"/>
  <c r="G175" i="1"/>
  <c r="M174" i="1"/>
  <c r="EM174" i="1"/>
  <c r="FL174" i="1" s="1"/>
  <c r="EM169" i="1"/>
  <c r="FL169" i="1" s="1"/>
  <c r="M169" i="1"/>
  <c r="EM165" i="1"/>
  <c r="FL165" i="1" s="1"/>
  <c r="M165" i="1"/>
  <c r="M232" i="1"/>
  <c r="M222" i="1"/>
  <c r="M219" i="1"/>
  <c r="EP160" i="1"/>
  <c r="M437" i="1"/>
  <c r="EN458" i="1"/>
  <c r="EO458" i="1"/>
  <c r="EP458" i="1"/>
  <c r="EQ458" i="1"/>
  <c r="ER458" i="1"/>
  <c r="EN382" i="1"/>
  <c r="EO382" i="1"/>
  <c r="EP382" i="1"/>
  <c r="EQ382" i="1"/>
  <c r="ER382" i="1"/>
  <c r="EN378" i="1"/>
  <c r="EO378" i="1"/>
  <c r="EP378" i="1"/>
  <c r="EQ378" i="1"/>
  <c r="ER378" i="1"/>
  <c r="EN374" i="1"/>
  <c r="EO374" i="1"/>
  <c r="EP374" i="1"/>
  <c r="EQ374" i="1"/>
  <c r="ER374" i="1"/>
  <c r="EN328" i="1"/>
  <c r="EO328" i="1"/>
  <c r="EP328" i="1"/>
  <c r="EQ328" i="1"/>
  <c r="ER328" i="1"/>
  <c r="EN317" i="1"/>
  <c r="EO317" i="1"/>
  <c r="EP317" i="1"/>
  <c r="EQ317" i="1"/>
  <c r="ER317" i="1"/>
  <c r="EN311" i="1"/>
  <c r="EO311" i="1"/>
  <c r="EP311" i="1"/>
  <c r="EQ311" i="1"/>
  <c r="ER311" i="1"/>
  <c r="EN160" i="1"/>
  <c r="EO160" i="1"/>
  <c r="ER160" i="1"/>
  <c r="EN74" i="1"/>
  <c r="EO74" i="1"/>
  <c r="EP74" i="1"/>
  <c r="EQ74" i="1"/>
  <c r="ER74" i="1"/>
  <c r="EN67" i="1"/>
  <c r="EO67" i="1"/>
  <c r="ER67" i="1"/>
  <c r="EN22" i="1"/>
  <c r="EO22" i="1"/>
  <c r="EP22" i="1"/>
  <c r="EQ22" i="1"/>
  <c r="ER22" i="1"/>
  <c r="EN11" i="1"/>
  <c r="EO11" i="1"/>
  <c r="EP11" i="1"/>
  <c r="EQ11" i="1"/>
  <c r="ER11" i="1"/>
  <c r="FI471" i="1" l="1"/>
  <c r="FI486" i="1"/>
  <c r="FJ486" i="1"/>
  <c r="FJ374" i="1"/>
  <c r="FI479" i="1"/>
  <c r="FI469" i="1"/>
  <c r="FJ469" i="1"/>
  <c r="FJ67" i="1"/>
  <c r="FJ471" i="1"/>
  <c r="FI67" i="1"/>
  <c r="EF461" i="1"/>
  <c r="K175" i="1"/>
  <c r="L175" i="1" s="1"/>
  <c r="ER461" i="1"/>
  <c r="EN461" i="1"/>
  <c r="EQ461" i="1"/>
  <c r="EO461" i="1"/>
  <c r="EP461" i="1"/>
  <c r="FJ479" i="1" l="1"/>
  <c r="M325" i="1" l="1"/>
  <c r="M439" i="1"/>
  <c r="BM77" i="3" l="1"/>
  <c r="CC77" i="3" s="1"/>
  <c r="BM400" i="3"/>
  <c r="CC400" i="3" s="1"/>
  <c r="BM240" i="3"/>
  <c r="CC240" i="3" s="1"/>
  <c r="BM93" i="3"/>
  <c r="CC93" i="3" s="1"/>
  <c r="BM97" i="3"/>
  <c r="CC97" i="3" s="1"/>
  <c r="BM102" i="3"/>
  <c r="CC102" i="3" s="1"/>
  <c r="BM111" i="3"/>
  <c r="CC111" i="3" s="1"/>
  <c r="BM115" i="3"/>
  <c r="CC115" i="3" s="1"/>
  <c r="BM119" i="3"/>
  <c r="CC119" i="3" s="1"/>
  <c r="BM120" i="3"/>
  <c r="CC120" i="3" s="1"/>
  <c r="BM122" i="3"/>
  <c r="CC122" i="3" s="1"/>
  <c r="BM128" i="3"/>
  <c r="CC128" i="3" s="1"/>
  <c r="BM130" i="3"/>
  <c r="CC130" i="3" s="1"/>
  <c r="BM131" i="3"/>
  <c r="CC131" i="3" s="1"/>
  <c r="BM138" i="3"/>
  <c r="CC138" i="3" s="1"/>
  <c r="BM146" i="3"/>
  <c r="CC146" i="3" s="1"/>
  <c r="BM147" i="3"/>
  <c r="CC147" i="3" s="1"/>
  <c r="BM149" i="3"/>
  <c r="CC149" i="3" s="1"/>
  <c r="BM150" i="3"/>
  <c r="CC150" i="3" s="1"/>
  <c r="BM156" i="3"/>
  <c r="CC156" i="3" s="1"/>
  <c r="BM198" i="3"/>
  <c r="BM264" i="3"/>
  <c r="CC264" i="3" s="1"/>
  <c r="AW226" i="3"/>
  <c r="BM226" i="3" s="1"/>
  <c r="BM320" i="3"/>
  <c r="CC320" i="3" s="1"/>
  <c r="BM324" i="3"/>
  <c r="CC324" i="3" s="1"/>
  <c r="BM328" i="3"/>
  <c r="CC328" i="3" s="1"/>
  <c r="BM329" i="3"/>
  <c r="CC329" i="3" s="1"/>
  <c r="BM334" i="3"/>
  <c r="CC334" i="3" s="1"/>
  <c r="BM338" i="3"/>
  <c r="CC338" i="3" s="1"/>
  <c r="BM339" i="3"/>
  <c r="CC339" i="3" s="1"/>
  <c r="BM345" i="3"/>
  <c r="CC345" i="3" s="1"/>
  <c r="BM346" i="3"/>
  <c r="CC346" i="3" s="1"/>
  <c r="BM351" i="3"/>
  <c r="CC351" i="3" s="1"/>
  <c r="BM354" i="3"/>
  <c r="CC354" i="3" s="1"/>
  <c r="BM356" i="3"/>
  <c r="CC356" i="3" s="1"/>
  <c r="BM314" i="3"/>
  <c r="CC314" i="3" s="1"/>
  <c r="BM301" i="3"/>
  <c r="CC301" i="3" s="1"/>
  <c r="BM316" i="3"/>
  <c r="CC316" i="3" s="1"/>
  <c r="BM317" i="3"/>
  <c r="CC317" i="3" s="1"/>
  <c r="EM398" i="1"/>
  <c r="FL398" i="1" s="1"/>
  <c r="BM375" i="3"/>
  <c r="CC375" i="3" s="1"/>
  <c r="BM308" i="3"/>
  <c r="CC308" i="3" s="1"/>
  <c r="BM309" i="3"/>
  <c r="CC309" i="3" s="1"/>
  <c r="BM303" i="3"/>
  <c r="CC303" i="3" s="1"/>
  <c r="BM305" i="3"/>
  <c r="CC305" i="3" s="1"/>
  <c r="BM48" i="3"/>
  <c r="CC48" i="3" s="1"/>
  <c r="BM49" i="3"/>
  <c r="CC49" i="3" s="1"/>
  <c r="BM46" i="3"/>
  <c r="CC46" i="3" s="1"/>
  <c r="BM35" i="3"/>
  <c r="CC35" i="3" s="1"/>
  <c r="BM28" i="3"/>
  <c r="CC28" i="3" s="1"/>
  <c r="BM22" i="3"/>
  <c r="CC22" i="3" s="1"/>
  <c r="BM13" i="3"/>
  <c r="CC13" i="3" s="1"/>
  <c r="BM14" i="3"/>
  <c r="CC14" i="3" s="1"/>
  <c r="BM17" i="3"/>
  <c r="CC17" i="3" s="1"/>
  <c r="BQ438" i="3"/>
  <c r="BR438" i="3"/>
  <c r="BS438" i="3"/>
  <c r="BT438" i="3"/>
  <c r="BU438" i="3"/>
  <c r="BV438" i="3"/>
  <c r="BW438" i="3"/>
  <c r="BX438" i="3"/>
  <c r="BY438" i="3"/>
  <c r="BZ438" i="3"/>
  <c r="CA438" i="3"/>
  <c r="CB438" i="3"/>
  <c r="ES278" i="1"/>
  <c r="FK278" i="1" s="1"/>
  <c r="ES271" i="1"/>
  <c r="FK271" i="1" s="1"/>
  <c r="CC226" i="3" l="1"/>
  <c r="CE226" i="3" s="1"/>
  <c r="CC198" i="3"/>
  <c r="CE198" i="3" s="1"/>
  <c r="ES246" i="1"/>
  <c r="FK246" i="1" s="1"/>
  <c r="ES411" i="1"/>
  <c r="FK411" i="1" s="1"/>
  <c r="FI311" i="1" l="1"/>
  <c r="FJ311" i="1"/>
  <c r="FI458" i="1"/>
  <c r="FI488" i="1"/>
  <c r="EM438" i="1"/>
  <c r="FL438" i="1" s="1"/>
  <c r="EM333" i="1"/>
  <c r="FL333" i="1" s="1"/>
  <c r="EM330" i="1"/>
  <c r="FL330" i="1" s="1"/>
  <c r="EM331" i="1"/>
  <c r="FL331" i="1" s="1"/>
  <c r="EM332" i="1"/>
  <c r="FL332" i="1" s="1"/>
  <c r="EM336" i="1"/>
  <c r="FL336" i="1" s="1"/>
  <c r="EM340" i="1"/>
  <c r="FL340" i="1" s="1"/>
  <c r="EM344" i="1"/>
  <c r="FL344" i="1" s="1"/>
  <c r="EM345" i="1"/>
  <c r="FL345" i="1" s="1"/>
  <c r="EM350" i="1"/>
  <c r="FL350" i="1" s="1"/>
  <c r="EM354" i="1"/>
  <c r="FL354" i="1" s="1"/>
  <c r="EM355" i="1"/>
  <c r="FL355" i="1" s="1"/>
  <c r="EM361" i="1"/>
  <c r="FL361" i="1" s="1"/>
  <c r="EM362" i="1"/>
  <c r="FL362" i="1" s="1"/>
  <c r="EM366" i="1"/>
  <c r="FL366" i="1" s="1"/>
  <c r="EM369" i="1"/>
  <c r="FL369" i="1" s="1"/>
  <c r="EM370" i="1"/>
  <c r="FL370" i="1" s="1"/>
  <c r="EM322" i="1"/>
  <c r="FL322" i="1" s="1"/>
  <c r="EM324" i="1"/>
  <c r="FL324" i="1" s="1"/>
  <c r="EM313" i="1"/>
  <c r="FL313" i="1" s="1"/>
  <c r="EM314" i="1"/>
  <c r="FL314" i="1" s="1"/>
  <c r="EM272" i="1"/>
  <c r="FL272" i="1" s="1"/>
  <c r="EM51" i="1"/>
  <c r="FL51" i="1" s="1"/>
  <c r="EM53" i="1"/>
  <c r="FL53" i="1" s="1"/>
  <c r="EM54" i="1"/>
  <c r="FL54" i="1" s="1"/>
  <c r="EM40" i="1"/>
  <c r="FL40" i="1" s="1"/>
  <c r="EM33" i="1"/>
  <c r="FL33" i="1" s="1"/>
  <c r="EM27" i="1"/>
  <c r="FL27" i="1" s="1"/>
  <c r="FI461" i="1" l="1"/>
  <c r="FJ458" i="1"/>
  <c r="FJ461" i="1" s="1"/>
  <c r="FJ488" i="1"/>
  <c r="DJ458" i="1"/>
  <c r="M313" i="1"/>
  <c r="M314" i="1"/>
  <c r="M322" i="1"/>
  <c r="M324" i="1"/>
  <c r="M438" i="1"/>
  <c r="M398" i="1"/>
  <c r="M369" i="1"/>
  <c r="M370" i="1"/>
  <c r="M371" i="1"/>
  <c r="G366" i="1"/>
  <c r="H366" i="1"/>
  <c r="I366" i="1"/>
  <c r="J366" i="1"/>
  <c r="M366" i="1"/>
  <c r="M331" i="1"/>
  <c r="M332" i="1"/>
  <c r="M362" i="1"/>
  <c r="M361" i="1"/>
  <c r="M355" i="1"/>
  <c r="M350" i="1"/>
  <c r="M354" i="1"/>
  <c r="M345" i="1"/>
  <c r="M344" i="1"/>
  <c r="M340" i="1"/>
  <c r="M336" i="1"/>
  <c r="M333" i="1"/>
  <c r="M330" i="1"/>
  <c r="M272" i="1"/>
  <c r="M53" i="1"/>
  <c r="M54" i="1"/>
  <c r="M51" i="1"/>
  <c r="M40" i="1"/>
  <c r="M41" i="1"/>
  <c r="M33" i="1"/>
  <c r="M27" i="1"/>
  <c r="K366" i="1" l="1"/>
  <c r="L366" i="1" s="1"/>
  <c r="FK317" i="1"/>
  <c r="EJ3" i="1"/>
  <c r="ES458" i="1"/>
  <c r="ET458" i="1"/>
  <c r="EU458" i="1"/>
  <c r="EW458" i="1"/>
  <c r="EX458" i="1"/>
  <c r="EY458" i="1"/>
  <c r="FC458" i="1"/>
  <c r="FD458" i="1"/>
  <c r="FE458" i="1"/>
  <c r="FF458" i="1"/>
  <c r="FG458" i="1"/>
  <c r="FH458" i="1"/>
  <c r="ES382" i="1"/>
  <c r="ET382" i="1"/>
  <c r="EU382" i="1"/>
  <c r="EW382" i="1"/>
  <c r="EX382" i="1"/>
  <c r="EY382" i="1"/>
  <c r="FC382" i="1"/>
  <c r="FD382" i="1"/>
  <c r="FE382" i="1"/>
  <c r="FF382" i="1"/>
  <c r="FG382" i="1"/>
  <c r="FH382" i="1"/>
  <c r="ES378" i="1"/>
  <c r="ET378" i="1"/>
  <c r="EU378" i="1"/>
  <c r="EW378" i="1"/>
  <c r="EX378" i="1"/>
  <c r="EY378" i="1"/>
  <c r="FC378" i="1"/>
  <c r="FD378" i="1"/>
  <c r="FE378" i="1"/>
  <c r="FF378" i="1"/>
  <c r="FG378" i="1"/>
  <c r="FH378" i="1"/>
  <c r="ES374" i="1"/>
  <c r="ET374" i="1"/>
  <c r="EU374" i="1"/>
  <c r="EW374" i="1"/>
  <c r="EX374" i="1"/>
  <c r="EY374" i="1"/>
  <c r="FC374" i="1"/>
  <c r="FD374" i="1"/>
  <c r="FE374" i="1"/>
  <c r="FF374" i="1"/>
  <c r="FG374" i="1"/>
  <c r="FH374" i="1"/>
  <c r="ES328" i="1"/>
  <c r="ET328" i="1"/>
  <c r="EU328" i="1"/>
  <c r="EW328" i="1"/>
  <c r="EX328" i="1"/>
  <c r="EY328" i="1"/>
  <c r="FC328" i="1"/>
  <c r="FD328" i="1"/>
  <c r="FE328" i="1"/>
  <c r="FF328" i="1"/>
  <c r="FG328" i="1"/>
  <c r="FH328" i="1"/>
  <c r="ES317" i="1"/>
  <c r="ET317" i="1"/>
  <c r="EU317" i="1"/>
  <c r="EW317" i="1"/>
  <c r="EX317" i="1"/>
  <c r="EY317" i="1"/>
  <c r="FC317" i="1"/>
  <c r="FD317" i="1"/>
  <c r="FE317" i="1"/>
  <c r="FF317" i="1"/>
  <c r="FG317" i="1"/>
  <c r="FH317" i="1"/>
  <c r="ES311" i="1"/>
  <c r="ET311" i="1"/>
  <c r="EU311" i="1"/>
  <c r="EW311" i="1"/>
  <c r="EX311" i="1"/>
  <c r="EY311" i="1"/>
  <c r="FC311" i="1"/>
  <c r="FD311" i="1"/>
  <c r="FE311" i="1"/>
  <c r="FF311" i="1"/>
  <c r="FG311" i="1"/>
  <c r="FH311" i="1"/>
  <c r="ES160" i="1"/>
  <c r="ET160" i="1"/>
  <c r="EU160" i="1"/>
  <c r="EW160" i="1"/>
  <c r="EX160" i="1"/>
  <c r="EY160" i="1"/>
  <c r="FC160" i="1"/>
  <c r="FD160" i="1"/>
  <c r="FE160" i="1"/>
  <c r="FF160" i="1"/>
  <c r="FG160" i="1"/>
  <c r="FH160" i="1"/>
  <c r="ES74" i="1"/>
  <c r="ET74" i="1"/>
  <c r="EU74" i="1"/>
  <c r="EW74" i="1"/>
  <c r="EX74" i="1"/>
  <c r="EY74" i="1"/>
  <c r="FC74" i="1"/>
  <c r="FD74" i="1"/>
  <c r="FE74" i="1"/>
  <c r="FF74" i="1"/>
  <c r="FG74" i="1"/>
  <c r="FH74" i="1"/>
  <c r="ES67" i="1"/>
  <c r="ET67" i="1"/>
  <c r="EU67" i="1"/>
  <c r="EW67" i="1"/>
  <c r="EX67" i="1"/>
  <c r="EY67" i="1"/>
  <c r="FC67" i="1"/>
  <c r="FD67" i="1"/>
  <c r="FE67" i="1"/>
  <c r="FF67" i="1"/>
  <c r="FG67" i="1"/>
  <c r="FH67" i="1"/>
  <c r="ES22" i="1"/>
  <c r="ET22" i="1"/>
  <c r="EU22" i="1"/>
  <c r="EW22" i="1"/>
  <c r="EX22" i="1"/>
  <c r="EY22" i="1"/>
  <c r="FC22" i="1"/>
  <c r="FD22" i="1"/>
  <c r="FE22" i="1"/>
  <c r="FF22" i="1"/>
  <c r="FG22" i="1"/>
  <c r="FH22" i="1"/>
  <c r="ES11" i="1"/>
  <c r="ET11" i="1"/>
  <c r="EU11" i="1"/>
  <c r="EW11" i="1"/>
  <c r="EX11" i="1"/>
  <c r="EY11" i="1"/>
  <c r="FC11" i="1"/>
  <c r="FD11" i="1"/>
  <c r="FE11" i="1"/>
  <c r="FF11" i="1"/>
  <c r="FG11" i="1"/>
  <c r="FH11" i="1"/>
  <c r="FH461" i="1" l="1"/>
  <c r="FF461" i="1"/>
  <c r="FG461" i="1"/>
  <c r="FK382" i="1"/>
  <c r="FK11" i="1"/>
  <c r="FK22" i="1"/>
  <c r="FK328" i="1"/>
  <c r="FK378" i="1"/>
  <c r="FK67" i="1"/>
  <c r="FK74" i="1"/>
  <c r="FK458" i="1"/>
  <c r="FK374" i="1"/>
  <c r="FK160" i="1"/>
  <c r="ES461" i="1"/>
  <c r="EU461" i="1"/>
  <c r="FC461" i="1"/>
  <c r="FK311" i="1"/>
  <c r="FE461" i="1"/>
  <c r="P583" i="1" s="1"/>
  <c r="EY461" i="1"/>
  <c r="EX461" i="1"/>
  <c r="ET461" i="1"/>
  <c r="FD461" i="1"/>
  <c r="EW461" i="1"/>
  <c r="EK525" i="1"/>
  <c r="EK526" i="1" s="1"/>
  <c r="EK508" i="1"/>
  <c r="EK515" i="1" s="1"/>
  <c r="D480" i="1"/>
  <c r="EE278" i="1"/>
  <c r="FK461" i="1" l="1"/>
  <c r="EE326" i="1"/>
  <c r="EE377" i="1" l="1"/>
  <c r="BK60" i="3" l="1"/>
  <c r="EE65" i="1"/>
  <c r="G387" i="1"/>
  <c r="H387" i="1"/>
  <c r="I387" i="1"/>
  <c r="J387" i="1"/>
  <c r="G388" i="1"/>
  <c r="H388" i="1"/>
  <c r="I388" i="1"/>
  <c r="J388" i="1"/>
  <c r="G389" i="1"/>
  <c r="H389" i="1"/>
  <c r="I389" i="1"/>
  <c r="J389" i="1"/>
  <c r="G390" i="1"/>
  <c r="H390" i="1"/>
  <c r="I390" i="1"/>
  <c r="J390" i="1"/>
  <c r="G391" i="1"/>
  <c r="H391" i="1"/>
  <c r="I391" i="1"/>
  <c r="J391" i="1"/>
  <c r="G392" i="1"/>
  <c r="H392" i="1"/>
  <c r="I392" i="1"/>
  <c r="J392" i="1"/>
  <c r="G393" i="1"/>
  <c r="H393" i="1"/>
  <c r="I393" i="1"/>
  <c r="J393" i="1"/>
  <c r="G394" i="1"/>
  <c r="H394" i="1"/>
  <c r="I394" i="1"/>
  <c r="J394" i="1"/>
  <c r="G395" i="1"/>
  <c r="H395" i="1"/>
  <c r="I395" i="1"/>
  <c r="J395" i="1"/>
  <c r="G396" i="1"/>
  <c r="H396" i="1"/>
  <c r="I396" i="1"/>
  <c r="J396" i="1"/>
  <c r="G397" i="1"/>
  <c r="H397" i="1"/>
  <c r="I397" i="1"/>
  <c r="J397" i="1"/>
  <c r="G399" i="1"/>
  <c r="H399" i="1"/>
  <c r="I399" i="1"/>
  <c r="J399" i="1"/>
  <c r="G400" i="1"/>
  <c r="H400" i="1"/>
  <c r="I400" i="1"/>
  <c r="J400" i="1"/>
  <c r="G401" i="1"/>
  <c r="H401" i="1"/>
  <c r="I401" i="1"/>
  <c r="J401" i="1"/>
  <c r="G402" i="1"/>
  <c r="H402" i="1"/>
  <c r="I402" i="1"/>
  <c r="J402" i="1"/>
  <c r="G403" i="1"/>
  <c r="H403" i="1"/>
  <c r="I403" i="1"/>
  <c r="J403" i="1"/>
  <c r="G404" i="1"/>
  <c r="H404" i="1"/>
  <c r="I404" i="1"/>
  <c r="J404" i="1"/>
  <c r="G405" i="1"/>
  <c r="H405" i="1"/>
  <c r="I405" i="1"/>
  <c r="J405" i="1"/>
  <c r="G406" i="1"/>
  <c r="H406" i="1"/>
  <c r="I406" i="1"/>
  <c r="J406" i="1"/>
  <c r="G407" i="1"/>
  <c r="H407" i="1"/>
  <c r="I407" i="1"/>
  <c r="J407" i="1"/>
  <c r="G408" i="1"/>
  <c r="H408" i="1"/>
  <c r="I408" i="1"/>
  <c r="J408" i="1"/>
  <c r="G409" i="1"/>
  <c r="H409" i="1"/>
  <c r="I409" i="1"/>
  <c r="J409" i="1"/>
  <c r="G410" i="1"/>
  <c r="H410" i="1"/>
  <c r="I410" i="1"/>
  <c r="J410" i="1"/>
  <c r="H411" i="1"/>
  <c r="I411" i="1"/>
  <c r="J411" i="1"/>
  <c r="G412" i="1"/>
  <c r="H412" i="1"/>
  <c r="I412" i="1"/>
  <c r="J412" i="1"/>
  <c r="G413" i="1"/>
  <c r="H413" i="1"/>
  <c r="I413" i="1"/>
  <c r="J413" i="1"/>
  <c r="G414" i="1"/>
  <c r="H414" i="1"/>
  <c r="I414" i="1"/>
  <c r="J414" i="1"/>
  <c r="G415" i="1"/>
  <c r="H415" i="1"/>
  <c r="I415" i="1"/>
  <c r="J415" i="1"/>
  <c r="G416" i="1"/>
  <c r="H416" i="1"/>
  <c r="I416" i="1"/>
  <c r="J416" i="1"/>
  <c r="G417" i="1"/>
  <c r="H417" i="1"/>
  <c r="I417" i="1"/>
  <c r="J417" i="1"/>
  <c r="G418" i="1"/>
  <c r="H418" i="1"/>
  <c r="I418" i="1"/>
  <c r="J418" i="1"/>
  <c r="G419" i="1"/>
  <c r="H419" i="1"/>
  <c r="I419" i="1"/>
  <c r="J419" i="1"/>
  <c r="G420" i="1"/>
  <c r="H420" i="1"/>
  <c r="I420" i="1"/>
  <c r="J420" i="1"/>
  <c r="G421" i="1"/>
  <c r="H421" i="1"/>
  <c r="I421" i="1"/>
  <c r="J421" i="1"/>
  <c r="G422" i="1"/>
  <c r="H422" i="1"/>
  <c r="I422" i="1"/>
  <c r="J422" i="1"/>
  <c r="G423" i="1"/>
  <c r="H423" i="1"/>
  <c r="I423" i="1"/>
  <c r="J423" i="1"/>
  <c r="G424" i="1"/>
  <c r="H424" i="1"/>
  <c r="I424" i="1"/>
  <c r="J424" i="1"/>
  <c r="G425" i="1"/>
  <c r="H425" i="1"/>
  <c r="I425" i="1"/>
  <c r="J425" i="1"/>
  <c r="G426" i="1"/>
  <c r="H426" i="1"/>
  <c r="I426" i="1"/>
  <c r="J426" i="1"/>
  <c r="G427" i="1"/>
  <c r="H427" i="1"/>
  <c r="I427" i="1"/>
  <c r="J427" i="1"/>
  <c r="G428" i="1"/>
  <c r="H428" i="1"/>
  <c r="I428" i="1"/>
  <c r="J428" i="1"/>
  <c r="G429" i="1"/>
  <c r="H429" i="1"/>
  <c r="I429" i="1"/>
  <c r="J429" i="1"/>
  <c r="G430" i="1"/>
  <c r="H430" i="1"/>
  <c r="I430" i="1"/>
  <c r="J430" i="1"/>
  <c r="G431" i="1"/>
  <c r="H431" i="1"/>
  <c r="I431" i="1"/>
  <c r="J431" i="1"/>
  <c r="G432" i="1"/>
  <c r="H432" i="1"/>
  <c r="I432" i="1"/>
  <c r="J432" i="1"/>
  <c r="G433" i="1"/>
  <c r="H433" i="1"/>
  <c r="I433" i="1"/>
  <c r="J433" i="1"/>
  <c r="G434" i="1"/>
  <c r="H434" i="1"/>
  <c r="I434" i="1"/>
  <c r="J434" i="1"/>
  <c r="G435" i="1"/>
  <c r="H435" i="1"/>
  <c r="I435" i="1"/>
  <c r="J435" i="1"/>
  <c r="G436" i="1"/>
  <c r="H436" i="1"/>
  <c r="I436" i="1"/>
  <c r="J436" i="1"/>
  <c r="G440" i="1"/>
  <c r="H440" i="1"/>
  <c r="I440" i="1"/>
  <c r="J440" i="1"/>
  <c r="G441" i="1"/>
  <c r="H441" i="1"/>
  <c r="I441" i="1"/>
  <c r="J441" i="1"/>
  <c r="G442" i="1"/>
  <c r="H442" i="1"/>
  <c r="I442" i="1"/>
  <c r="J442" i="1"/>
  <c r="G443" i="1"/>
  <c r="I443" i="1"/>
  <c r="J443" i="1"/>
  <c r="G444" i="1"/>
  <c r="H444" i="1"/>
  <c r="I444" i="1"/>
  <c r="J444" i="1"/>
  <c r="G445" i="1"/>
  <c r="H445" i="1"/>
  <c r="I445" i="1"/>
  <c r="J445" i="1"/>
  <c r="G446" i="1"/>
  <c r="H446" i="1"/>
  <c r="I446" i="1"/>
  <c r="J446" i="1"/>
  <c r="G447" i="1"/>
  <c r="H447" i="1"/>
  <c r="I447" i="1"/>
  <c r="J447" i="1"/>
  <c r="G448" i="1"/>
  <c r="H448" i="1"/>
  <c r="I448" i="1"/>
  <c r="J448" i="1"/>
  <c r="G449" i="1"/>
  <c r="H449" i="1"/>
  <c r="I449" i="1"/>
  <c r="J449" i="1"/>
  <c r="G450" i="1"/>
  <c r="H450" i="1"/>
  <c r="I450" i="1"/>
  <c r="J450" i="1"/>
  <c r="G451" i="1"/>
  <c r="H451" i="1"/>
  <c r="I451" i="1"/>
  <c r="J451" i="1"/>
  <c r="G452" i="1"/>
  <c r="H452" i="1"/>
  <c r="I452" i="1"/>
  <c r="J452" i="1"/>
  <c r="G453" i="1"/>
  <c r="H453" i="1"/>
  <c r="I453" i="1"/>
  <c r="J453" i="1"/>
  <c r="G454" i="1"/>
  <c r="H454" i="1"/>
  <c r="I454" i="1"/>
  <c r="J454" i="1"/>
  <c r="G455" i="1"/>
  <c r="H455" i="1"/>
  <c r="I455" i="1"/>
  <c r="J455" i="1"/>
  <c r="G456" i="1"/>
  <c r="H456" i="1"/>
  <c r="I456" i="1"/>
  <c r="J456" i="1"/>
  <c r="G457" i="1"/>
  <c r="H457" i="1"/>
  <c r="I457" i="1"/>
  <c r="J457" i="1"/>
  <c r="G377" i="1"/>
  <c r="H377" i="1"/>
  <c r="I377" i="1"/>
  <c r="J377" i="1"/>
  <c r="G376" i="1"/>
  <c r="H376" i="1"/>
  <c r="I376" i="1"/>
  <c r="J376" i="1"/>
  <c r="G380" i="1"/>
  <c r="H380" i="1"/>
  <c r="I380" i="1"/>
  <c r="J380" i="1"/>
  <c r="G381" i="1"/>
  <c r="H381" i="1"/>
  <c r="I381" i="1"/>
  <c r="J381" i="1"/>
  <c r="G384" i="1"/>
  <c r="H384" i="1"/>
  <c r="I384" i="1"/>
  <c r="J384" i="1"/>
  <c r="G385" i="1"/>
  <c r="H385" i="1"/>
  <c r="I385" i="1"/>
  <c r="J385" i="1"/>
  <c r="G386" i="1"/>
  <c r="H386" i="1"/>
  <c r="I386" i="1"/>
  <c r="J386" i="1"/>
  <c r="G337" i="1"/>
  <c r="H337" i="1"/>
  <c r="I337" i="1"/>
  <c r="J337" i="1"/>
  <c r="G338" i="1"/>
  <c r="H338" i="1"/>
  <c r="I338" i="1"/>
  <c r="J338" i="1"/>
  <c r="G339" i="1"/>
  <c r="H339" i="1"/>
  <c r="I339" i="1"/>
  <c r="J339" i="1"/>
  <c r="G341" i="1"/>
  <c r="H341" i="1"/>
  <c r="I341" i="1"/>
  <c r="J341" i="1"/>
  <c r="G342" i="1"/>
  <c r="H342" i="1"/>
  <c r="I342" i="1"/>
  <c r="J342" i="1"/>
  <c r="G343" i="1"/>
  <c r="H343" i="1"/>
  <c r="I343" i="1"/>
  <c r="J343" i="1"/>
  <c r="G346" i="1"/>
  <c r="H346" i="1"/>
  <c r="I346" i="1"/>
  <c r="J346" i="1"/>
  <c r="G347" i="1"/>
  <c r="H347" i="1"/>
  <c r="I347" i="1"/>
  <c r="J347" i="1"/>
  <c r="G348" i="1"/>
  <c r="H348" i="1"/>
  <c r="I348" i="1"/>
  <c r="J348" i="1"/>
  <c r="G349" i="1"/>
  <c r="H349" i="1"/>
  <c r="I349" i="1"/>
  <c r="J349" i="1"/>
  <c r="G351" i="1"/>
  <c r="H351" i="1"/>
  <c r="I351" i="1"/>
  <c r="J351" i="1"/>
  <c r="G352" i="1"/>
  <c r="H352" i="1"/>
  <c r="I352" i="1"/>
  <c r="J352" i="1"/>
  <c r="G353" i="1"/>
  <c r="H353" i="1"/>
  <c r="I353" i="1"/>
  <c r="J353" i="1"/>
  <c r="G356" i="1"/>
  <c r="H356" i="1"/>
  <c r="I356" i="1"/>
  <c r="J356" i="1"/>
  <c r="G357" i="1"/>
  <c r="H357" i="1"/>
  <c r="I357" i="1"/>
  <c r="J357" i="1"/>
  <c r="G358" i="1"/>
  <c r="H358" i="1"/>
  <c r="I358" i="1"/>
  <c r="J358" i="1"/>
  <c r="G359" i="1"/>
  <c r="H359" i="1"/>
  <c r="I359" i="1"/>
  <c r="J359" i="1"/>
  <c r="G360" i="1"/>
  <c r="H360" i="1"/>
  <c r="I360" i="1"/>
  <c r="J360" i="1"/>
  <c r="G363" i="1"/>
  <c r="H363" i="1"/>
  <c r="I363" i="1"/>
  <c r="J363" i="1"/>
  <c r="G364" i="1"/>
  <c r="H364" i="1"/>
  <c r="I364" i="1"/>
  <c r="J364" i="1"/>
  <c r="G365" i="1"/>
  <c r="H365" i="1"/>
  <c r="I365" i="1"/>
  <c r="J365" i="1"/>
  <c r="G367" i="1"/>
  <c r="H367" i="1"/>
  <c r="I367" i="1"/>
  <c r="J367" i="1"/>
  <c r="G368" i="1"/>
  <c r="H368" i="1"/>
  <c r="I368" i="1"/>
  <c r="J368" i="1"/>
  <c r="G371" i="1"/>
  <c r="H371" i="1"/>
  <c r="I371" i="1"/>
  <c r="J371" i="1"/>
  <c r="G372" i="1"/>
  <c r="H372" i="1"/>
  <c r="I372" i="1"/>
  <c r="J372" i="1"/>
  <c r="G373" i="1"/>
  <c r="H373" i="1"/>
  <c r="I373" i="1"/>
  <c r="J373" i="1"/>
  <c r="G319" i="1"/>
  <c r="H319" i="1"/>
  <c r="I319" i="1"/>
  <c r="J319" i="1"/>
  <c r="G320" i="1"/>
  <c r="H320" i="1"/>
  <c r="I320" i="1"/>
  <c r="J320" i="1"/>
  <c r="G321" i="1"/>
  <c r="H321" i="1"/>
  <c r="I321" i="1"/>
  <c r="J321" i="1"/>
  <c r="G323" i="1"/>
  <c r="H323" i="1"/>
  <c r="I323" i="1"/>
  <c r="J323" i="1"/>
  <c r="G326" i="1"/>
  <c r="H326" i="1"/>
  <c r="I326" i="1"/>
  <c r="J326" i="1"/>
  <c r="G327" i="1"/>
  <c r="H327" i="1"/>
  <c r="I327" i="1"/>
  <c r="J327" i="1"/>
  <c r="G334" i="1"/>
  <c r="H334" i="1"/>
  <c r="I334" i="1"/>
  <c r="J334" i="1"/>
  <c r="G335" i="1"/>
  <c r="H335" i="1"/>
  <c r="I335" i="1"/>
  <c r="J335" i="1"/>
  <c r="G290" i="1"/>
  <c r="H290" i="1"/>
  <c r="I290" i="1"/>
  <c r="J290" i="1"/>
  <c r="G291" i="1"/>
  <c r="H291" i="1"/>
  <c r="I291" i="1"/>
  <c r="J291" i="1"/>
  <c r="G292" i="1"/>
  <c r="H292" i="1"/>
  <c r="I292" i="1"/>
  <c r="J292" i="1"/>
  <c r="G293" i="1"/>
  <c r="H293" i="1"/>
  <c r="I293" i="1"/>
  <c r="J293" i="1"/>
  <c r="G295" i="1"/>
  <c r="H295" i="1"/>
  <c r="I295" i="1"/>
  <c r="J295" i="1"/>
  <c r="G296" i="1"/>
  <c r="H296" i="1"/>
  <c r="I296" i="1"/>
  <c r="J296" i="1"/>
  <c r="G297" i="1"/>
  <c r="H297" i="1"/>
  <c r="I297" i="1"/>
  <c r="J297" i="1"/>
  <c r="G298" i="1"/>
  <c r="H298" i="1"/>
  <c r="I298" i="1"/>
  <c r="J298" i="1"/>
  <c r="G301" i="1"/>
  <c r="H301" i="1"/>
  <c r="I301" i="1"/>
  <c r="J301" i="1"/>
  <c r="G302" i="1"/>
  <c r="H302" i="1"/>
  <c r="I302" i="1"/>
  <c r="J302" i="1"/>
  <c r="G303" i="1"/>
  <c r="H303" i="1"/>
  <c r="I303" i="1"/>
  <c r="J303" i="1"/>
  <c r="G304" i="1"/>
  <c r="H304" i="1"/>
  <c r="I304" i="1"/>
  <c r="J304" i="1"/>
  <c r="G305" i="1"/>
  <c r="H305" i="1"/>
  <c r="I305" i="1"/>
  <c r="J305" i="1"/>
  <c r="G307" i="1"/>
  <c r="H307" i="1"/>
  <c r="I307" i="1"/>
  <c r="J307" i="1"/>
  <c r="G308" i="1"/>
  <c r="H308" i="1"/>
  <c r="I308" i="1"/>
  <c r="J308" i="1"/>
  <c r="G309" i="1"/>
  <c r="H309" i="1"/>
  <c r="I309" i="1"/>
  <c r="J309" i="1"/>
  <c r="G310" i="1"/>
  <c r="H310" i="1"/>
  <c r="I310" i="1"/>
  <c r="J310" i="1"/>
  <c r="G315" i="1"/>
  <c r="H315" i="1"/>
  <c r="I315" i="1"/>
  <c r="J315" i="1"/>
  <c r="G316" i="1"/>
  <c r="H316" i="1"/>
  <c r="I316" i="1"/>
  <c r="J316" i="1"/>
  <c r="G251" i="1"/>
  <c r="H251" i="1"/>
  <c r="I251" i="1"/>
  <c r="J251" i="1"/>
  <c r="G253" i="1"/>
  <c r="H253" i="1"/>
  <c r="I253" i="1"/>
  <c r="J253" i="1"/>
  <c r="G254" i="1"/>
  <c r="H254" i="1"/>
  <c r="I254" i="1"/>
  <c r="J254" i="1"/>
  <c r="G255" i="1"/>
  <c r="H255" i="1"/>
  <c r="I255" i="1"/>
  <c r="J255" i="1"/>
  <c r="G256" i="1"/>
  <c r="H256" i="1"/>
  <c r="I256" i="1"/>
  <c r="J256" i="1"/>
  <c r="G258" i="1"/>
  <c r="H258" i="1"/>
  <c r="I258" i="1"/>
  <c r="J258" i="1"/>
  <c r="G259" i="1"/>
  <c r="H259" i="1"/>
  <c r="I259" i="1"/>
  <c r="J259" i="1"/>
  <c r="G260" i="1"/>
  <c r="H260" i="1"/>
  <c r="I260" i="1"/>
  <c r="J260" i="1"/>
  <c r="G262" i="1"/>
  <c r="H262" i="1"/>
  <c r="I262" i="1"/>
  <c r="J262" i="1"/>
  <c r="G263" i="1"/>
  <c r="H263" i="1"/>
  <c r="I263" i="1"/>
  <c r="J263" i="1"/>
  <c r="G264" i="1"/>
  <c r="H264" i="1"/>
  <c r="I264" i="1"/>
  <c r="J264" i="1"/>
  <c r="G265" i="1"/>
  <c r="H265" i="1"/>
  <c r="I265" i="1"/>
  <c r="J265" i="1"/>
  <c r="G266" i="1"/>
  <c r="H266" i="1"/>
  <c r="I266" i="1"/>
  <c r="J266" i="1"/>
  <c r="G267" i="1"/>
  <c r="H267" i="1"/>
  <c r="I267" i="1"/>
  <c r="J267" i="1"/>
  <c r="G268" i="1"/>
  <c r="H268" i="1"/>
  <c r="I268" i="1"/>
  <c r="J268" i="1"/>
  <c r="G269" i="1"/>
  <c r="H269" i="1"/>
  <c r="I269" i="1"/>
  <c r="J269" i="1"/>
  <c r="G270" i="1"/>
  <c r="H270" i="1"/>
  <c r="I270" i="1"/>
  <c r="J270" i="1"/>
  <c r="G271" i="1"/>
  <c r="H271" i="1"/>
  <c r="I271" i="1"/>
  <c r="J271" i="1"/>
  <c r="G273" i="1"/>
  <c r="H273" i="1"/>
  <c r="I273" i="1"/>
  <c r="J273" i="1"/>
  <c r="G274" i="1"/>
  <c r="H274" i="1"/>
  <c r="I274" i="1"/>
  <c r="J274" i="1"/>
  <c r="G275" i="1"/>
  <c r="H275" i="1"/>
  <c r="I275" i="1"/>
  <c r="J275" i="1"/>
  <c r="G276" i="1"/>
  <c r="H276" i="1"/>
  <c r="I276" i="1"/>
  <c r="J276" i="1"/>
  <c r="G277" i="1"/>
  <c r="H277" i="1"/>
  <c r="I277" i="1"/>
  <c r="J277" i="1"/>
  <c r="G278" i="1"/>
  <c r="H278" i="1"/>
  <c r="I278" i="1"/>
  <c r="J278" i="1"/>
  <c r="G279" i="1"/>
  <c r="H279" i="1"/>
  <c r="I279" i="1"/>
  <c r="J279" i="1"/>
  <c r="G280" i="1"/>
  <c r="I280" i="1"/>
  <c r="J280" i="1"/>
  <c r="G281" i="1"/>
  <c r="I281" i="1"/>
  <c r="J281" i="1"/>
  <c r="G282" i="1"/>
  <c r="I282" i="1"/>
  <c r="J282" i="1"/>
  <c r="G283" i="1"/>
  <c r="H283" i="1"/>
  <c r="I283" i="1"/>
  <c r="J283" i="1"/>
  <c r="G284" i="1"/>
  <c r="I284" i="1"/>
  <c r="J284" i="1"/>
  <c r="G285" i="1"/>
  <c r="H285" i="1"/>
  <c r="I285" i="1"/>
  <c r="J285" i="1"/>
  <c r="G286" i="1"/>
  <c r="H286" i="1"/>
  <c r="I286" i="1"/>
  <c r="J286" i="1"/>
  <c r="G287" i="1"/>
  <c r="H287" i="1"/>
  <c r="I287" i="1"/>
  <c r="J287" i="1"/>
  <c r="G288" i="1"/>
  <c r="H288" i="1"/>
  <c r="I288" i="1"/>
  <c r="J288" i="1"/>
  <c r="G289" i="1"/>
  <c r="H289" i="1"/>
  <c r="I289" i="1"/>
  <c r="J289" i="1"/>
  <c r="G227" i="1"/>
  <c r="H227" i="1"/>
  <c r="I227" i="1"/>
  <c r="J227" i="1"/>
  <c r="G228" i="1"/>
  <c r="H228" i="1"/>
  <c r="I228" i="1"/>
  <c r="J228" i="1"/>
  <c r="G229" i="1"/>
  <c r="H229" i="1"/>
  <c r="I229" i="1"/>
  <c r="J229" i="1"/>
  <c r="G230" i="1"/>
  <c r="H230" i="1"/>
  <c r="I230" i="1"/>
  <c r="J230" i="1"/>
  <c r="G231" i="1"/>
  <c r="H231" i="1"/>
  <c r="I231" i="1"/>
  <c r="J231" i="1"/>
  <c r="G233" i="1"/>
  <c r="H233" i="1"/>
  <c r="I233" i="1"/>
  <c r="J233" i="1"/>
  <c r="G234" i="1"/>
  <c r="H234" i="1"/>
  <c r="I234" i="1"/>
  <c r="J234" i="1"/>
  <c r="G235" i="1"/>
  <c r="H235" i="1"/>
  <c r="I235" i="1"/>
  <c r="J235" i="1"/>
  <c r="G236" i="1"/>
  <c r="H236" i="1"/>
  <c r="I236" i="1"/>
  <c r="J236" i="1"/>
  <c r="G237" i="1"/>
  <c r="H237" i="1"/>
  <c r="I237" i="1"/>
  <c r="J237" i="1"/>
  <c r="G238" i="1"/>
  <c r="H238" i="1"/>
  <c r="I238" i="1"/>
  <c r="J238" i="1"/>
  <c r="G239" i="1"/>
  <c r="H239" i="1"/>
  <c r="I239" i="1"/>
  <c r="J239" i="1"/>
  <c r="G240" i="1"/>
  <c r="H240" i="1"/>
  <c r="I240" i="1"/>
  <c r="J240" i="1"/>
  <c r="G242" i="1"/>
  <c r="H242" i="1"/>
  <c r="I242" i="1"/>
  <c r="J242" i="1"/>
  <c r="G243" i="1"/>
  <c r="H243" i="1"/>
  <c r="I243" i="1"/>
  <c r="J243" i="1"/>
  <c r="G245" i="1"/>
  <c r="H245" i="1"/>
  <c r="I245" i="1"/>
  <c r="J245" i="1"/>
  <c r="G246" i="1"/>
  <c r="H246" i="1"/>
  <c r="I246" i="1"/>
  <c r="J246" i="1"/>
  <c r="G247" i="1"/>
  <c r="H247" i="1"/>
  <c r="I247" i="1"/>
  <c r="J247" i="1"/>
  <c r="G248" i="1"/>
  <c r="H248" i="1"/>
  <c r="I248" i="1"/>
  <c r="J248" i="1"/>
  <c r="G249" i="1"/>
  <c r="H249" i="1"/>
  <c r="I249" i="1"/>
  <c r="J249" i="1"/>
  <c r="G180" i="1"/>
  <c r="H180" i="1"/>
  <c r="I180" i="1"/>
  <c r="J180" i="1"/>
  <c r="G181" i="1"/>
  <c r="H181" i="1"/>
  <c r="I181" i="1"/>
  <c r="J181" i="1"/>
  <c r="G182" i="1"/>
  <c r="H182" i="1"/>
  <c r="I182" i="1"/>
  <c r="J182" i="1"/>
  <c r="G183" i="1"/>
  <c r="H183" i="1"/>
  <c r="I183" i="1"/>
  <c r="J183" i="1"/>
  <c r="G184" i="1"/>
  <c r="H184" i="1"/>
  <c r="I184" i="1"/>
  <c r="J184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G192" i="1"/>
  <c r="H192" i="1"/>
  <c r="I192" i="1"/>
  <c r="J192" i="1"/>
  <c r="G193" i="1"/>
  <c r="H193" i="1"/>
  <c r="I193" i="1"/>
  <c r="J193" i="1"/>
  <c r="G194" i="1"/>
  <c r="H194" i="1"/>
  <c r="I194" i="1"/>
  <c r="J194" i="1"/>
  <c r="G195" i="1"/>
  <c r="H195" i="1"/>
  <c r="I195" i="1"/>
  <c r="J195" i="1"/>
  <c r="G196" i="1"/>
  <c r="H196" i="1"/>
  <c r="I196" i="1"/>
  <c r="J196" i="1"/>
  <c r="G197" i="1"/>
  <c r="H197" i="1"/>
  <c r="I197" i="1"/>
  <c r="J197" i="1"/>
  <c r="G198" i="1"/>
  <c r="H198" i="1"/>
  <c r="I198" i="1"/>
  <c r="J198" i="1"/>
  <c r="G199" i="1"/>
  <c r="H199" i="1"/>
  <c r="I199" i="1"/>
  <c r="J199" i="1"/>
  <c r="G200" i="1"/>
  <c r="H200" i="1"/>
  <c r="I200" i="1"/>
  <c r="J200" i="1"/>
  <c r="G201" i="1"/>
  <c r="H201" i="1"/>
  <c r="I201" i="1"/>
  <c r="J201" i="1"/>
  <c r="G202" i="1"/>
  <c r="H202" i="1"/>
  <c r="I202" i="1"/>
  <c r="J202" i="1"/>
  <c r="G203" i="1"/>
  <c r="H203" i="1"/>
  <c r="I203" i="1"/>
  <c r="J203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G208" i="1"/>
  <c r="H208" i="1"/>
  <c r="I208" i="1"/>
  <c r="J208" i="1"/>
  <c r="G209" i="1"/>
  <c r="H209" i="1"/>
  <c r="I209" i="1"/>
  <c r="J209" i="1"/>
  <c r="G210" i="1"/>
  <c r="H210" i="1"/>
  <c r="I210" i="1"/>
  <c r="J210" i="1"/>
  <c r="G211" i="1"/>
  <c r="H211" i="1"/>
  <c r="I211" i="1"/>
  <c r="J211" i="1"/>
  <c r="G212" i="1"/>
  <c r="H212" i="1"/>
  <c r="I212" i="1"/>
  <c r="J212" i="1"/>
  <c r="G213" i="1"/>
  <c r="H213" i="1"/>
  <c r="I213" i="1"/>
  <c r="J213" i="1"/>
  <c r="G214" i="1"/>
  <c r="H214" i="1"/>
  <c r="I214" i="1"/>
  <c r="J214" i="1"/>
  <c r="G215" i="1"/>
  <c r="H215" i="1"/>
  <c r="I215" i="1"/>
  <c r="J215" i="1"/>
  <c r="G216" i="1"/>
  <c r="H216" i="1"/>
  <c r="I216" i="1"/>
  <c r="J216" i="1"/>
  <c r="G217" i="1"/>
  <c r="H217" i="1"/>
  <c r="I217" i="1"/>
  <c r="J217" i="1"/>
  <c r="G218" i="1"/>
  <c r="H218" i="1"/>
  <c r="I218" i="1"/>
  <c r="J218" i="1"/>
  <c r="G220" i="1"/>
  <c r="H220" i="1"/>
  <c r="I220" i="1"/>
  <c r="J220" i="1"/>
  <c r="G221" i="1"/>
  <c r="H221" i="1"/>
  <c r="I221" i="1"/>
  <c r="J221" i="1"/>
  <c r="G223" i="1"/>
  <c r="H223" i="1"/>
  <c r="I223" i="1"/>
  <c r="J223" i="1"/>
  <c r="G224" i="1"/>
  <c r="H224" i="1"/>
  <c r="I224" i="1"/>
  <c r="J224" i="1"/>
  <c r="G225" i="1"/>
  <c r="H225" i="1"/>
  <c r="I225" i="1"/>
  <c r="J225" i="1"/>
  <c r="G226" i="1"/>
  <c r="H226" i="1"/>
  <c r="I226" i="1"/>
  <c r="J226" i="1"/>
  <c r="G162" i="1"/>
  <c r="H162" i="1"/>
  <c r="I162" i="1"/>
  <c r="J162" i="1"/>
  <c r="G163" i="1"/>
  <c r="H163" i="1"/>
  <c r="I163" i="1"/>
  <c r="J163" i="1"/>
  <c r="G164" i="1"/>
  <c r="H164" i="1"/>
  <c r="I164" i="1"/>
  <c r="J164" i="1"/>
  <c r="G166" i="1"/>
  <c r="H166" i="1"/>
  <c r="I166" i="1"/>
  <c r="J166" i="1"/>
  <c r="G167" i="1"/>
  <c r="H167" i="1"/>
  <c r="I167" i="1"/>
  <c r="J167" i="1"/>
  <c r="G168" i="1"/>
  <c r="H168" i="1"/>
  <c r="I168" i="1"/>
  <c r="J168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G173" i="1"/>
  <c r="H173" i="1"/>
  <c r="I173" i="1"/>
  <c r="J173" i="1"/>
  <c r="G176" i="1"/>
  <c r="H176" i="1"/>
  <c r="I176" i="1"/>
  <c r="J176" i="1"/>
  <c r="G177" i="1"/>
  <c r="H177" i="1"/>
  <c r="I177" i="1"/>
  <c r="J177" i="1"/>
  <c r="G178" i="1"/>
  <c r="H178" i="1"/>
  <c r="I178" i="1"/>
  <c r="J178" i="1"/>
  <c r="G179" i="1"/>
  <c r="H179" i="1"/>
  <c r="I179" i="1"/>
  <c r="J179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I117" i="1"/>
  <c r="J117" i="1"/>
  <c r="G118" i="1"/>
  <c r="I118" i="1"/>
  <c r="J118" i="1"/>
  <c r="G119" i="1"/>
  <c r="I119" i="1"/>
  <c r="J119" i="1"/>
  <c r="G120" i="1"/>
  <c r="H120" i="1"/>
  <c r="I120" i="1"/>
  <c r="J120" i="1"/>
  <c r="G121" i="1"/>
  <c r="H121" i="1"/>
  <c r="I121" i="1"/>
  <c r="J121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7" i="1"/>
  <c r="H147" i="1"/>
  <c r="I147" i="1"/>
  <c r="J147" i="1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57" i="1"/>
  <c r="H157" i="1"/>
  <c r="I157" i="1"/>
  <c r="J157" i="1"/>
  <c r="G158" i="1"/>
  <c r="H158" i="1"/>
  <c r="I158" i="1"/>
  <c r="J158" i="1"/>
  <c r="G159" i="1"/>
  <c r="H159" i="1"/>
  <c r="I159" i="1"/>
  <c r="J159" i="1"/>
  <c r="G24" i="1"/>
  <c r="H24" i="1"/>
  <c r="I24" i="1"/>
  <c r="J24" i="1"/>
  <c r="G25" i="1"/>
  <c r="H25" i="1"/>
  <c r="I25" i="1"/>
  <c r="J25" i="1"/>
  <c r="G26" i="1"/>
  <c r="H26" i="1"/>
  <c r="I26" i="1"/>
  <c r="J26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2" i="1"/>
  <c r="H52" i="1"/>
  <c r="I52" i="1"/>
  <c r="J52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J3" i="1"/>
  <c r="I3" i="1"/>
  <c r="H3" i="1"/>
  <c r="G3" i="1"/>
  <c r="G4" i="3"/>
  <c r="H4" i="3"/>
  <c r="I4" i="3"/>
  <c r="J4" i="3"/>
  <c r="G2" i="3"/>
  <c r="H2" i="3"/>
  <c r="I2" i="3"/>
  <c r="J2" i="3"/>
  <c r="G7" i="3"/>
  <c r="H7" i="3"/>
  <c r="I7" i="3"/>
  <c r="J7" i="3"/>
  <c r="G5" i="3"/>
  <c r="H5" i="3"/>
  <c r="I5" i="3"/>
  <c r="J5" i="3"/>
  <c r="G6" i="3"/>
  <c r="H6" i="3"/>
  <c r="I6" i="3"/>
  <c r="J6" i="3"/>
  <c r="G8" i="3"/>
  <c r="H8" i="3"/>
  <c r="I8" i="3"/>
  <c r="J8" i="3"/>
  <c r="G11" i="3"/>
  <c r="H11" i="3"/>
  <c r="I11" i="3"/>
  <c r="J11" i="3"/>
  <c r="G18" i="3"/>
  <c r="H18" i="3"/>
  <c r="I18" i="3"/>
  <c r="J18" i="3"/>
  <c r="G15" i="3"/>
  <c r="H15" i="3"/>
  <c r="I15" i="3"/>
  <c r="J15" i="3"/>
  <c r="G16" i="3"/>
  <c r="H16" i="3"/>
  <c r="I16" i="3"/>
  <c r="J16" i="3"/>
  <c r="G10" i="3"/>
  <c r="H10" i="3"/>
  <c r="I10" i="3"/>
  <c r="J10" i="3"/>
  <c r="G33" i="3"/>
  <c r="H33" i="3"/>
  <c r="I33" i="3"/>
  <c r="J33" i="3"/>
  <c r="G34" i="3"/>
  <c r="H34" i="3"/>
  <c r="I34" i="3"/>
  <c r="J34" i="3"/>
  <c r="G38" i="3"/>
  <c r="H38" i="3"/>
  <c r="I38" i="3"/>
  <c r="J38" i="3"/>
  <c r="G39" i="3"/>
  <c r="H39" i="3"/>
  <c r="I39" i="3"/>
  <c r="J39" i="3"/>
  <c r="G45" i="3"/>
  <c r="H45" i="3"/>
  <c r="I45" i="3"/>
  <c r="J45" i="3"/>
  <c r="G44" i="3"/>
  <c r="H44" i="3"/>
  <c r="I44" i="3"/>
  <c r="J44" i="3"/>
  <c r="G53" i="3"/>
  <c r="H53" i="3"/>
  <c r="I53" i="3"/>
  <c r="J53" i="3"/>
  <c r="G59" i="3"/>
  <c r="H59" i="3"/>
  <c r="I59" i="3"/>
  <c r="J59" i="3"/>
  <c r="G56" i="3"/>
  <c r="H56" i="3"/>
  <c r="I56" i="3"/>
  <c r="J56" i="3"/>
  <c r="G21" i="3"/>
  <c r="H21" i="3"/>
  <c r="I21" i="3"/>
  <c r="J21" i="3"/>
  <c r="G31" i="3"/>
  <c r="H31" i="3"/>
  <c r="I31" i="3"/>
  <c r="J31" i="3"/>
  <c r="G25" i="3"/>
  <c r="H25" i="3"/>
  <c r="I25" i="3"/>
  <c r="J25" i="3"/>
  <c r="G26" i="3"/>
  <c r="H26" i="3"/>
  <c r="I26" i="3"/>
  <c r="J26" i="3"/>
  <c r="G27" i="3"/>
  <c r="H27" i="3"/>
  <c r="I27" i="3"/>
  <c r="J27" i="3"/>
  <c r="G29" i="3"/>
  <c r="H29" i="3"/>
  <c r="I29" i="3"/>
  <c r="J29" i="3"/>
  <c r="G30" i="3"/>
  <c r="H30" i="3"/>
  <c r="I30" i="3"/>
  <c r="J30" i="3"/>
  <c r="G32" i="3"/>
  <c r="H32" i="3"/>
  <c r="I32" i="3"/>
  <c r="J32" i="3"/>
  <c r="G51" i="3"/>
  <c r="H51" i="3"/>
  <c r="I51" i="3"/>
  <c r="J51" i="3"/>
  <c r="G50" i="3"/>
  <c r="H50" i="3"/>
  <c r="I50" i="3"/>
  <c r="J50" i="3"/>
  <c r="G55" i="3"/>
  <c r="H55" i="3"/>
  <c r="I55" i="3"/>
  <c r="J55" i="3"/>
  <c r="G54" i="3"/>
  <c r="H54" i="3"/>
  <c r="I54" i="3"/>
  <c r="J54" i="3"/>
  <c r="G19" i="3"/>
  <c r="H19" i="3"/>
  <c r="I19" i="3"/>
  <c r="J19" i="3"/>
  <c r="G36" i="3"/>
  <c r="H36" i="3"/>
  <c r="I36" i="3"/>
  <c r="J36" i="3"/>
  <c r="G20" i="3"/>
  <c r="H20" i="3"/>
  <c r="I20" i="3"/>
  <c r="J20" i="3"/>
  <c r="G61" i="3"/>
  <c r="H61" i="3"/>
  <c r="I61" i="3"/>
  <c r="J61" i="3"/>
  <c r="G60" i="3"/>
  <c r="H60" i="3"/>
  <c r="I60" i="3"/>
  <c r="J60" i="3"/>
  <c r="G40" i="3"/>
  <c r="H40" i="3"/>
  <c r="I40" i="3"/>
  <c r="J40" i="3"/>
  <c r="G37" i="3"/>
  <c r="H37" i="3"/>
  <c r="I37" i="3"/>
  <c r="J37" i="3"/>
  <c r="G42" i="3"/>
  <c r="H42" i="3"/>
  <c r="I42" i="3"/>
  <c r="J42" i="3"/>
  <c r="G43" i="3"/>
  <c r="H43" i="3"/>
  <c r="I43" i="3"/>
  <c r="J43" i="3"/>
  <c r="G47" i="3"/>
  <c r="H47" i="3"/>
  <c r="I47" i="3"/>
  <c r="J47" i="3"/>
  <c r="G23" i="3"/>
  <c r="H23" i="3"/>
  <c r="I23" i="3"/>
  <c r="J23" i="3"/>
  <c r="G24" i="3"/>
  <c r="H24" i="3"/>
  <c r="I24" i="3"/>
  <c r="J24" i="3"/>
  <c r="G52" i="3"/>
  <c r="H52" i="3"/>
  <c r="I52" i="3"/>
  <c r="J52" i="3"/>
  <c r="G41" i="3"/>
  <c r="H41" i="3"/>
  <c r="I41" i="3"/>
  <c r="J41" i="3"/>
  <c r="G57" i="3"/>
  <c r="H57" i="3"/>
  <c r="I57" i="3"/>
  <c r="J57" i="3"/>
  <c r="G58" i="3"/>
  <c r="H58" i="3"/>
  <c r="I58" i="3"/>
  <c r="J58" i="3"/>
  <c r="G64" i="3"/>
  <c r="H64" i="3"/>
  <c r="I64" i="3"/>
  <c r="J64" i="3"/>
  <c r="G63" i="3"/>
  <c r="H63" i="3"/>
  <c r="I63" i="3"/>
  <c r="J63" i="3"/>
  <c r="G66" i="3"/>
  <c r="H66" i="3"/>
  <c r="I66" i="3"/>
  <c r="J66" i="3"/>
  <c r="G65" i="3"/>
  <c r="H65" i="3"/>
  <c r="I65" i="3"/>
  <c r="J65" i="3"/>
  <c r="G62" i="3"/>
  <c r="H62" i="3"/>
  <c r="I62" i="3"/>
  <c r="J62" i="3"/>
  <c r="G88" i="3"/>
  <c r="H88" i="3"/>
  <c r="I88" i="3"/>
  <c r="J88" i="3"/>
  <c r="G91" i="3"/>
  <c r="H91" i="3"/>
  <c r="I91" i="3"/>
  <c r="J91" i="3"/>
  <c r="G142" i="3"/>
  <c r="H142" i="3"/>
  <c r="I142" i="3"/>
  <c r="J142" i="3"/>
  <c r="G141" i="3"/>
  <c r="H141" i="3"/>
  <c r="I141" i="3"/>
  <c r="J141" i="3"/>
  <c r="G140" i="3"/>
  <c r="H140" i="3"/>
  <c r="I140" i="3"/>
  <c r="J140" i="3"/>
  <c r="G129" i="3"/>
  <c r="H129" i="3"/>
  <c r="I129" i="3"/>
  <c r="J129" i="3"/>
  <c r="G148" i="3"/>
  <c r="H148" i="3"/>
  <c r="I148" i="3"/>
  <c r="J148" i="3"/>
  <c r="G137" i="3"/>
  <c r="H137" i="3"/>
  <c r="I137" i="3"/>
  <c r="J137" i="3"/>
  <c r="G139" i="3"/>
  <c r="H139" i="3"/>
  <c r="I139" i="3"/>
  <c r="J139" i="3"/>
  <c r="G143" i="3"/>
  <c r="H143" i="3"/>
  <c r="I143" i="3"/>
  <c r="J143" i="3"/>
  <c r="G98" i="3"/>
  <c r="H98" i="3"/>
  <c r="I98" i="3"/>
  <c r="J98" i="3"/>
  <c r="G79" i="3"/>
  <c r="H79" i="3"/>
  <c r="I79" i="3"/>
  <c r="J79" i="3"/>
  <c r="G154" i="3"/>
  <c r="H154" i="3"/>
  <c r="I154" i="3"/>
  <c r="J154" i="3"/>
  <c r="G155" i="3"/>
  <c r="H155" i="3"/>
  <c r="I155" i="3"/>
  <c r="J155" i="3"/>
  <c r="G69" i="3"/>
  <c r="H69" i="3"/>
  <c r="I69" i="3"/>
  <c r="J69" i="3"/>
  <c r="G70" i="3"/>
  <c r="H70" i="3"/>
  <c r="I70" i="3"/>
  <c r="J70" i="3"/>
  <c r="G71" i="3"/>
  <c r="H71" i="3"/>
  <c r="I71" i="3"/>
  <c r="J71" i="3"/>
  <c r="G75" i="3"/>
  <c r="H75" i="3"/>
  <c r="I75" i="3"/>
  <c r="J75" i="3"/>
  <c r="G72" i="3"/>
  <c r="H72" i="3"/>
  <c r="I72" i="3"/>
  <c r="J72" i="3"/>
  <c r="G73" i="3"/>
  <c r="H73" i="3"/>
  <c r="I73" i="3"/>
  <c r="J73" i="3"/>
  <c r="G67" i="3"/>
  <c r="H67" i="3"/>
  <c r="I67" i="3"/>
  <c r="J67" i="3"/>
  <c r="G74" i="3"/>
  <c r="H74" i="3"/>
  <c r="I74" i="3"/>
  <c r="J74" i="3"/>
  <c r="G76" i="3"/>
  <c r="H76" i="3"/>
  <c r="I76" i="3"/>
  <c r="J76" i="3"/>
  <c r="G89" i="3"/>
  <c r="H89" i="3"/>
  <c r="I89" i="3"/>
  <c r="J89" i="3"/>
  <c r="G87" i="3"/>
  <c r="H87" i="3"/>
  <c r="I87" i="3"/>
  <c r="J87" i="3"/>
  <c r="G90" i="3"/>
  <c r="H90" i="3"/>
  <c r="I90" i="3"/>
  <c r="J90" i="3"/>
  <c r="G92" i="3"/>
  <c r="H92" i="3"/>
  <c r="I92" i="3"/>
  <c r="J92" i="3"/>
  <c r="G82" i="3"/>
  <c r="H82" i="3"/>
  <c r="I82" i="3"/>
  <c r="J82" i="3"/>
  <c r="G144" i="3"/>
  <c r="H144" i="3"/>
  <c r="I144" i="3"/>
  <c r="J144" i="3"/>
  <c r="G78" i="3"/>
  <c r="H78" i="3"/>
  <c r="I78" i="3"/>
  <c r="J78" i="3"/>
  <c r="G162" i="3"/>
  <c r="H162" i="3"/>
  <c r="I162" i="3"/>
  <c r="J162" i="3"/>
  <c r="G118" i="3"/>
  <c r="H118" i="3"/>
  <c r="I118" i="3"/>
  <c r="J118" i="3"/>
  <c r="G114" i="3"/>
  <c r="H114" i="3"/>
  <c r="I114" i="3"/>
  <c r="J114" i="3"/>
  <c r="G116" i="3"/>
  <c r="H116" i="3"/>
  <c r="I116" i="3"/>
  <c r="J116" i="3"/>
  <c r="G113" i="3"/>
  <c r="H113" i="3"/>
  <c r="I113" i="3"/>
  <c r="J113" i="3"/>
  <c r="G99" i="3"/>
  <c r="H99" i="3"/>
  <c r="I99" i="3"/>
  <c r="J99" i="3"/>
  <c r="G100" i="3"/>
  <c r="H100" i="3"/>
  <c r="I100" i="3"/>
  <c r="J100" i="3"/>
  <c r="G101" i="3"/>
  <c r="H101" i="3"/>
  <c r="I101" i="3"/>
  <c r="J101" i="3"/>
  <c r="G109" i="3"/>
  <c r="H109" i="3"/>
  <c r="I109" i="3"/>
  <c r="J109" i="3"/>
  <c r="G104" i="3"/>
  <c r="H104" i="3"/>
  <c r="I104" i="3"/>
  <c r="J104" i="3"/>
  <c r="G105" i="3"/>
  <c r="H105" i="3"/>
  <c r="I105" i="3"/>
  <c r="J105" i="3"/>
  <c r="G106" i="3"/>
  <c r="H106" i="3"/>
  <c r="I106" i="3"/>
  <c r="J106" i="3"/>
  <c r="G107" i="3"/>
  <c r="H107" i="3"/>
  <c r="I107" i="3"/>
  <c r="J107" i="3"/>
  <c r="G108" i="3"/>
  <c r="H108" i="3"/>
  <c r="I108" i="3"/>
  <c r="J108" i="3"/>
  <c r="G134" i="3"/>
  <c r="H134" i="3"/>
  <c r="I134" i="3"/>
  <c r="J134" i="3"/>
  <c r="G133" i="3"/>
  <c r="H133" i="3"/>
  <c r="I133" i="3"/>
  <c r="J133" i="3"/>
  <c r="G123" i="3"/>
  <c r="H123" i="3"/>
  <c r="I123" i="3"/>
  <c r="J123" i="3"/>
  <c r="G126" i="3"/>
  <c r="H126" i="3"/>
  <c r="I126" i="3"/>
  <c r="J126" i="3"/>
  <c r="G153" i="3"/>
  <c r="H153" i="3"/>
  <c r="I153" i="3"/>
  <c r="J153" i="3"/>
  <c r="G136" i="3"/>
  <c r="H136" i="3"/>
  <c r="I136" i="3"/>
  <c r="J136" i="3"/>
  <c r="G145" i="3"/>
  <c r="H145" i="3"/>
  <c r="I145" i="3"/>
  <c r="J145" i="3"/>
  <c r="G96" i="3"/>
  <c r="H96" i="3"/>
  <c r="I96" i="3"/>
  <c r="J96" i="3"/>
  <c r="G83" i="3"/>
  <c r="H83" i="3"/>
  <c r="I83" i="3"/>
  <c r="J83" i="3"/>
  <c r="G84" i="3"/>
  <c r="H84" i="3"/>
  <c r="I84" i="3"/>
  <c r="J84" i="3"/>
  <c r="G151" i="3"/>
  <c r="H151" i="3"/>
  <c r="I151" i="3"/>
  <c r="J151" i="3"/>
  <c r="G152" i="3"/>
  <c r="H152" i="3"/>
  <c r="I152" i="3"/>
  <c r="J152" i="3"/>
  <c r="G157" i="3"/>
  <c r="H157" i="3"/>
  <c r="I157" i="3"/>
  <c r="J157" i="3"/>
  <c r="G158" i="3"/>
  <c r="H158" i="3"/>
  <c r="I158" i="3"/>
  <c r="J158" i="3"/>
  <c r="G68" i="3"/>
  <c r="H68" i="3"/>
  <c r="I68" i="3"/>
  <c r="J68" i="3"/>
  <c r="G94" i="3"/>
  <c r="H94" i="3"/>
  <c r="I94" i="3"/>
  <c r="J94" i="3"/>
  <c r="G95" i="3"/>
  <c r="H95" i="3"/>
  <c r="I95" i="3"/>
  <c r="J95" i="3"/>
  <c r="G121" i="3"/>
  <c r="H121" i="3"/>
  <c r="I121" i="3"/>
  <c r="J121" i="3"/>
  <c r="G161" i="3"/>
  <c r="H161" i="3"/>
  <c r="I161" i="3"/>
  <c r="J161" i="3"/>
  <c r="G160" i="3"/>
  <c r="H160" i="3"/>
  <c r="I160" i="3"/>
  <c r="J160" i="3"/>
  <c r="G159" i="3"/>
  <c r="H159" i="3"/>
  <c r="I159" i="3"/>
  <c r="J159" i="3"/>
  <c r="G81" i="3"/>
  <c r="H81" i="3"/>
  <c r="I81" i="3"/>
  <c r="J81" i="3"/>
  <c r="G117" i="3"/>
  <c r="H117" i="3"/>
  <c r="I117" i="3"/>
  <c r="J117" i="3"/>
  <c r="G110" i="3"/>
  <c r="H110" i="3"/>
  <c r="I110" i="3"/>
  <c r="J110" i="3"/>
  <c r="G103" i="3"/>
  <c r="H103" i="3"/>
  <c r="I103" i="3"/>
  <c r="J103" i="3"/>
  <c r="G124" i="3"/>
  <c r="H124" i="3"/>
  <c r="I124" i="3"/>
  <c r="J124" i="3"/>
  <c r="G125" i="3"/>
  <c r="H125" i="3"/>
  <c r="I125" i="3"/>
  <c r="J125" i="3"/>
  <c r="G127" i="3"/>
  <c r="H127" i="3"/>
  <c r="I127" i="3"/>
  <c r="J127" i="3"/>
  <c r="G135" i="3"/>
  <c r="H135" i="3"/>
  <c r="I135" i="3"/>
  <c r="J135" i="3"/>
  <c r="G85" i="3"/>
  <c r="H85" i="3"/>
  <c r="I85" i="3"/>
  <c r="J85" i="3"/>
  <c r="G132" i="3"/>
  <c r="H132" i="3"/>
  <c r="I132" i="3"/>
  <c r="J132" i="3"/>
  <c r="G80" i="3"/>
  <c r="H80" i="3"/>
  <c r="I80" i="3"/>
  <c r="J80" i="3"/>
  <c r="G164" i="3"/>
  <c r="H164" i="3"/>
  <c r="I164" i="3"/>
  <c r="J164" i="3"/>
  <c r="G166" i="3"/>
  <c r="H166" i="3"/>
  <c r="I166" i="3"/>
  <c r="J166" i="3"/>
  <c r="G298" i="3"/>
  <c r="H298" i="3"/>
  <c r="I298" i="3"/>
  <c r="J298" i="3"/>
  <c r="G181" i="3"/>
  <c r="H181" i="3"/>
  <c r="I181" i="3"/>
  <c r="J181" i="3"/>
  <c r="G183" i="3"/>
  <c r="H183" i="3"/>
  <c r="I183" i="3"/>
  <c r="J183" i="3"/>
  <c r="G185" i="3"/>
  <c r="H185" i="3"/>
  <c r="I185" i="3"/>
  <c r="J185" i="3"/>
  <c r="G235" i="3"/>
  <c r="H235" i="3"/>
  <c r="I235" i="3"/>
  <c r="J235" i="3"/>
  <c r="G205" i="3"/>
  <c r="H205" i="3"/>
  <c r="I205" i="3"/>
  <c r="J205" i="3"/>
  <c r="G188" i="3"/>
  <c r="H188" i="3"/>
  <c r="I188" i="3"/>
  <c r="J188" i="3"/>
  <c r="G191" i="3"/>
  <c r="H191" i="3"/>
  <c r="I191" i="3"/>
  <c r="J191" i="3"/>
  <c r="G189" i="3"/>
  <c r="H189" i="3"/>
  <c r="I189" i="3"/>
  <c r="J189" i="3"/>
  <c r="G214" i="3"/>
  <c r="H214" i="3"/>
  <c r="I214" i="3"/>
  <c r="J214" i="3"/>
  <c r="G192" i="3"/>
  <c r="H192" i="3"/>
  <c r="I192" i="3"/>
  <c r="J192" i="3"/>
  <c r="G196" i="3"/>
  <c r="H196" i="3"/>
  <c r="I196" i="3"/>
  <c r="J196" i="3"/>
  <c r="G194" i="3"/>
  <c r="H194" i="3"/>
  <c r="I194" i="3"/>
  <c r="J194" i="3"/>
  <c r="G236" i="3"/>
  <c r="H236" i="3"/>
  <c r="I236" i="3"/>
  <c r="J236" i="3"/>
  <c r="G200" i="3"/>
  <c r="H200" i="3"/>
  <c r="I200" i="3"/>
  <c r="J200" i="3"/>
  <c r="G201" i="3"/>
  <c r="H201" i="3"/>
  <c r="I201" i="3"/>
  <c r="J201" i="3"/>
  <c r="G208" i="3"/>
  <c r="H208" i="3"/>
  <c r="I208" i="3"/>
  <c r="J208" i="3"/>
  <c r="G203" i="3"/>
  <c r="H203" i="3"/>
  <c r="I203" i="3"/>
  <c r="J203" i="3"/>
  <c r="G179" i="3"/>
  <c r="H179" i="3"/>
  <c r="I179" i="3"/>
  <c r="J179" i="3"/>
  <c r="G216" i="3"/>
  <c r="H216" i="3"/>
  <c r="I216" i="3"/>
  <c r="J216" i="3"/>
  <c r="G220" i="3"/>
  <c r="H220" i="3"/>
  <c r="I220" i="3"/>
  <c r="J220" i="3"/>
  <c r="G224" i="3"/>
  <c r="H224" i="3"/>
  <c r="I224" i="3"/>
  <c r="J224" i="3"/>
  <c r="G228" i="3"/>
  <c r="H228" i="3"/>
  <c r="I228" i="3"/>
  <c r="J228" i="3"/>
  <c r="G244" i="3"/>
  <c r="H244" i="3"/>
  <c r="I244" i="3"/>
  <c r="J244" i="3"/>
  <c r="G246" i="3"/>
  <c r="H246" i="3"/>
  <c r="I246" i="3"/>
  <c r="J246" i="3"/>
  <c r="G163" i="3"/>
  <c r="H163" i="3"/>
  <c r="I163" i="3"/>
  <c r="J163" i="3"/>
  <c r="G271" i="3"/>
  <c r="H271" i="3"/>
  <c r="I271" i="3"/>
  <c r="J271" i="3"/>
  <c r="G267" i="3"/>
  <c r="H267" i="3"/>
  <c r="I267" i="3"/>
  <c r="J267" i="3"/>
  <c r="G269" i="3"/>
  <c r="H269" i="3"/>
  <c r="I269" i="3"/>
  <c r="J269" i="3"/>
  <c r="G275" i="3"/>
  <c r="H275" i="3"/>
  <c r="I275" i="3"/>
  <c r="J275" i="3"/>
  <c r="G291" i="3"/>
  <c r="H291" i="3"/>
  <c r="I291" i="3"/>
  <c r="J291" i="3"/>
  <c r="G251" i="3"/>
  <c r="H251" i="3"/>
  <c r="I251" i="3"/>
  <c r="J251" i="3"/>
  <c r="G253" i="3"/>
  <c r="H253" i="3"/>
  <c r="I253" i="3"/>
  <c r="J253" i="3"/>
  <c r="G254" i="3"/>
  <c r="H254" i="3"/>
  <c r="I254" i="3"/>
  <c r="J254" i="3"/>
  <c r="G259" i="3"/>
  <c r="H259" i="3"/>
  <c r="I259" i="3"/>
  <c r="J259" i="3"/>
  <c r="G255" i="3"/>
  <c r="H255" i="3"/>
  <c r="I255" i="3"/>
  <c r="J255" i="3"/>
  <c r="G256" i="3"/>
  <c r="H256" i="3"/>
  <c r="I256" i="3"/>
  <c r="J256" i="3"/>
  <c r="G257" i="3"/>
  <c r="H257" i="3"/>
  <c r="I257" i="3"/>
  <c r="J257" i="3"/>
  <c r="G258" i="3"/>
  <c r="H258" i="3"/>
  <c r="I258" i="3"/>
  <c r="J258" i="3"/>
  <c r="G288" i="3"/>
  <c r="H288" i="3"/>
  <c r="I288" i="3"/>
  <c r="J288" i="3"/>
  <c r="G245" i="3"/>
  <c r="H245" i="3"/>
  <c r="I245" i="3"/>
  <c r="J245" i="3"/>
  <c r="G171" i="3"/>
  <c r="H171" i="3"/>
  <c r="I171" i="3"/>
  <c r="J171" i="3"/>
  <c r="G167" i="3"/>
  <c r="H167" i="3"/>
  <c r="I167" i="3"/>
  <c r="J167" i="3"/>
  <c r="G173" i="3"/>
  <c r="H173" i="3"/>
  <c r="I173" i="3"/>
  <c r="J173" i="3"/>
  <c r="G169" i="3"/>
  <c r="H169" i="3"/>
  <c r="I169" i="3"/>
  <c r="J169" i="3"/>
  <c r="G280" i="3"/>
  <c r="H280" i="3"/>
  <c r="I280" i="3"/>
  <c r="J280" i="3"/>
  <c r="G279" i="3"/>
  <c r="H279" i="3"/>
  <c r="I279" i="3"/>
  <c r="J279" i="3"/>
  <c r="G278" i="3"/>
  <c r="H278" i="3"/>
  <c r="I278" i="3"/>
  <c r="J278" i="3"/>
  <c r="G282" i="3"/>
  <c r="H282" i="3"/>
  <c r="I282" i="3"/>
  <c r="J282" i="3"/>
  <c r="G281" i="3"/>
  <c r="H281" i="3"/>
  <c r="I281" i="3"/>
  <c r="J281" i="3"/>
  <c r="G238" i="3"/>
  <c r="H238" i="3"/>
  <c r="I238" i="3"/>
  <c r="J238" i="3"/>
  <c r="G112" i="3"/>
  <c r="H112" i="3"/>
  <c r="I112" i="3"/>
  <c r="J112" i="3"/>
  <c r="G239" i="3"/>
  <c r="H239" i="3"/>
  <c r="I239" i="3"/>
  <c r="J239" i="3"/>
  <c r="G86" i="3"/>
  <c r="H86" i="3"/>
  <c r="I86" i="3"/>
  <c r="J86" i="3"/>
  <c r="G241" i="3"/>
  <c r="H241" i="3"/>
  <c r="I241" i="3"/>
  <c r="J241" i="3"/>
  <c r="G177" i="3"/>
  <c r="H177" i="3"/>
  <c r="I177" i="3"/>
  <c r="J177" i="3"/>
  <c r="G182" i="3"/>
  <c r="H182" i="3"/>
  <c r="I182" i="3"/>
  <c r="J182" i="3"/>
  <c r="G184" i="3"/>
  <c r="H184" i="3"/>
  <c r="I184" i="3"/>
  <c r="J184" i="3"/>
  <c r="G186" i="3"/>
  <c r="H186" i="3"/>
  <c r="I186" i="3"/>
  <c r="J186" i="3"/>
  <c r="G187" i="3"/>
  <c r="H187" i="3"/>
  <c r="I187" i="3"/>
  <c r="J187" i="3"/>
  <c r="G223" i="3"/>
  <c r="H223" i="3"/>
  <c r="I223" i="3"/>
  <c r="J223" i="3"/>
  <c r="G190" i="3"/>
  <c r="H190" i="3"/>
  <c r="I190" i="3"/>
  <c r="J190" i="3"/>
  <c r="G215" i="3"/>
  <c r="H215" i="3"/>
  <c r="I215" i="3"/>
  <c r="J215" i="3"/>
  <c r="G193" i="3"/>
  <c r="H193" i="3"/>
  <c r="I193" i="3"/>
  <c r="J193" i="3"/>
  <c r="G197" i="3"/>
  <c r="H197" i="3"/>
  <c r="I197" i="3"/>
  <c r="J197" i="3"/>
  <c r="G195" i="3"/>
  <c r="H195" i="3"/>
  <c r="I195" i="3"/>
  <c r="J195" i="3"/>
  <c r="G207" i="3"/>
  <c r="H207" i="3"/>
  <c r="I207" i="3"/>
  <c r="J207" i="3"/>
  <c r="G237" i="3"/>
  <c r="H237" i="3"/>
  <c r="I237" i="3"/>
  <c r="J237" i="3"/>
  <c r="G213" i="3"/>
  <c r="H213" i="3"/>
  <c r="I213" i="3"/>
  <c r="J213" i="3"/>
  <c r="G199" i="3"/>
  <c r="H199" i="3"/>
  <c r="I199" i="3"/>
  <c r="J199" i="3"/>
  <c r="G202" i="3"/>
  <c r="H202" i="3"/>
  <c r="I202" i="3"/>
  <c r="J202" i="3"/>
  <c r="G218" i="3"/>
  <c r="H218" i="3"/>
  <c r="I218" i="3"/>
  <c r="J218" i="3"/>
  <c r="G209" i="3"/>
  <c r="H209" i="3"/>
  <c r="I209" i="3"/>
  <c r="J209" i="3"/>
  <c r="G206" i="3"/>
  <c r="H206" i="3"/>
  <c r="I206" i="3"/>
  <c r="J206" i="3"/>
  <c r="G180" i="3"/>
  <c r="H180" i="3"/>
  <c r="I180" i="3"/>
  <c r="J180" i="3"/>
  <c r="G210" i="3"/>
  <c r="H210" i="3"/>
  <c r="I210" i="3"/>
  <c r="J210" i="3"/>
  <c r="G212" i="3"/>
  <c r="H212" i="3"/>
  <c r="I212" i="3"/>
  <c r="J212" i="3"/>
  <c r="G211" i="3"/>
  <c r="H211" i="3"/>
  <c r="I211" i="3"/>
  <c r="J211" i="3"/>
  <c r="G204" i="3"/>
  <c r="H204" i="3"/>
  <c r="I204" i="3"/>
  <c r="J204" i="3"/>
  <c r="G221" i="3"/>
  <c r="H221" i="3"/>
  <c r="I221" i="3"/>
  <c r="J221" i="3"/>
  <c r="G217" i="3"/>
  <c r="H217" i="3"/>
  <c r="I217" i="3"/>
  <c r="J217" i="3"/>
  <c r="G219" i="3"/>
  <c r="H219" i="3"/>
  <c r="I219" i="3"/>
  <c r="J219" i="3"/>
  <c r="G178" i="3"/>
  <c r="H178" i="3"/>
  <c r="I178" i="3"/>
  <c r="J178" i="3"/>
  <c r="G222" i="3"/>
  <c r="H222" i="3"/>
  <c r="I222" i="3"/>
  <c r="J222" i="3"/>
  <c r="G225" i="3"/>
  <c r="H225" i="3"/>
  <c r="I225" i="3"/>
  <c r="J225" i="3"/>
  <c r="G227" i="3"/>
  <c r="H227" i="3"/>
  <c r="I227" i="3"/>
  <c r="J227" i="3"/>
  <c r="G229" i="3"/>
  <c r="H229" i="3"/>
  <c r="I229" i="3"/>
  <c r="J229" i="3"/>
  <c r="G231" i="3"/>
  <c r="H231" i="3"/>
  <c r="I231" i="3"/>
  <c r="J231" i="3"/>
  <c r="G230" i="3"/>
  <c r="H230" i="3"/>
  <c r="I230" i="3"/>
  <c r="J230" i="3"/>
  <c r="G249" i="3"/>
  <c r="H249" i="3"/>
  <c r="I249" i="3"/>
  <c r="J249" i="3"/>
  <c r="G243" i="3"/>
  <c r="H243" i="3"/>
  <c r="I243" i="3"/>
  <c r="J243" i="3"/>
  <c r="G247" i="3"/>
  <c r="H247" i="3"/>
  <c r="I247" i="3"/>
  <c r="J247" i="3"/>
  <c r="G248" i="3"/>
  <c r="H248" i="3"/>
  <c r="I248" i="3"/>
  <c r="J248" i="3"/>
  <c r="G263" i="3"/>
  <c r="H263" i="3"/>
  <c r="I263" i="3"/>
  <c r="J263" i="3"/>
  <c r="G268" i="3"/>
  <c r="H268" i="3"/>
  <c r="I268" i="3"/>
  <c r="J268" i="3"/>
  <c r="G270" i="3"/>
  <c r="H270" i="3"/>
  <c r="I270" i="3"/>
  <c r="J270" i="3"/>
  <c r="G276" i="3"/>
  <c r="H276" i="3"/>
  <c r="I276" i="3"/>
  <c r="J276" i="3"/>
  <c r="G272" i="3"/>
  <c r="H272" i="3"/>
  <c r="I272" i="3"/>
  <c r="J272" i="3"/>
  <c r="G273" i="3"/>
  <c r="H273" i="3"/>
  <c r="I273" i="3"/>
  <c r="J273" i="3"/>
  <c r="G274" i="3"/>
  <c r="H274" i="3"/>
  <c r="I274" i="3"/>
  <c r="J274" i="3"/>
  <c r="G292" i="3"/>
  <c r="H292" i="3"/>
  <c r="I292" i="3"/>
  <c r="J292" i="3"/>
  <c r="G285" i="3"/>
  <c r="H285" i="3"/>
  <c r="I285" i="3"/>
  <c r="J285" i="3"/>
  <c r="G289" i="3"/>
  <c r="H289" i="3"/>
  <c r="I289" i="3"/>
  <c r="J289" i="3"/>
  <c r="G294" i="3"/>
  <c r="H294" i="3"/>
  <c r="I294" i="3"/>
  <c r="J294" i="3"/>
  <c r="G295" i="3"/>
  <c r="H295" i="3"/>
  <c r="I295" i="3"/>
  <c r="J295" i="3"/>
  <c r="G293" i="3"/>
  <c r="H293" i="3"/>
  <c r="I293" i="3"/>
  <c r="J293" i="3"/>
  <c r="G277" i="3"/>
  <c r="H277" i="3"/>
  <c r="I277" i="3"/>
  <c r="J277" i="3"/>
  <c r="G168" i="3"/>
  <c r="H168" i="3"/>
  <c r="I168" i="3"/>
  <c r="J168" i="3"/>
  <c r="G165" i="3"/>
  <c r="H165" i="3"/>
  <c r="I165" i="3"/>
  <c r="J165" i="3"/>
  <c r="G260" i="3"/>
  <c r="H260" i="3"/>
  <c r="I260" i="3"/>
  <c r="J260" i="3"/>
  <c r="G261" i="3"/>
  <c r="H261" i="3"/>
  <c r="I261" i="3"/>
  <c r="J261" i="3"/>
  <c r="G172" i="3"/>
  <c r="H172" i="3"/>
  <c r="I172" i="3"/>
  <c r="J172" i="3"/>
  <c r="G296" i="3"/>
  <c r="H296" i="3"/>
  <c r="I296" i="3"/>
  <c r="J296" i="3"/>
  <c r="G297" i="3"/>
  <c r="H297" i="3"/>
  <c r="I297" i="3"/>
  <c r="J297" i="3"/>
  <c r="G250" i="3"/>
  <c r="H250" i="3"/>
  <c r="I250" i="3"/>
  <c r="J250" i="3"/>
  <c r="G306" i="3"/>
  <c r="H306" i="3"/>
  <c r="I306" i="3"/>
  <c r="J306" i="3"/>
  <c r="G265" i="3"/>
  <c r="H265" i="3"/>
  <c r="I265" i="3"/>
  <c r="J265" i="3"/>
  <c r="G266" i="3"/>
  <c r="H266" i="3"/>
  <c r="I266" i="3"/>
  <c r="J266" i="3"/>
  <c r="G284" i="3"/>
  <c r="H284" i="3"/>
  <c r="I284" i="3"/>
  <c r="J284" i="3"/>
  <c r="G283" i="3"/>
  <c r="H283" i="3"/>
  <c r="I283" i="3"/>
  <c r="J283" i="3"/>
  <c r="G286" i="3"/>
  <c r="H286" i="3"/>
  <c r="I286" i="3"/>
  <c r="J286" i="3"/>
  <c r="G287" i="3"/>
  <c r="H287" i="3"/>
  <c r="I287" i="3"/>
  <c r="J287" i="3"/>
  <c r="G174" i="3"/>
  <c r="H174" i="3"/>
  <c r="I174" i="3"/>
  <c r="J174" i="3"/>
  <c r="G170" i="3"/>
  <c r="H170" i="3"/>
  <c r="I170" i="3"/>
  <c r="J170" i="3"/>
  <c r="G176" i="3"/>
  <c r="H176" i="3"/>
  <c r="I176" i="3"/>
  <c r="J176" i="3"/>
  <c r="G175" i="3"/>
  <c r="H175" i="3"/>
  <c r="I175" i="3"/>
  <c r="J175" i="3"/>
  <c r="G353" i="3"/>
  <c r="H353" i="3"/>
  <c r="I353" i="3"/>
  <c r="J353" i="3"/>
  <c r="G299" i="3"/>
  <c r="H299" i="3"/>
  <c r="I299" i="3"/>
  <c r="J299" i="3"/>
  <c r="G307" i="3"/>
  <c r="H307" i="3"/>
  <c r="I307" i="3"/>
  <c r="J307" i="3"/>
  <c r="G300" i="3"/>
  <c r="H300" i="3"/>
  <c r="I300" i="3"/>
  <c r="J300" i="3"/>
  <c r="G302" i="3"/>
  <c r="H302" i="3"/>
  <c r="I302" i="3"/>
  <c r="J302" i="3"/>
  <c r="G304" i="3"/>
  <c r="H304" i="3"/>
  <c r="I304" i="3"/>
  <c r="J304" i="3"/>
  <c r="G398" i="3"/>
  <c r="H398" i="3"/>
  <c r="I398" i="3"/>
  <c r="J398" i="3"/>
  <c r="G310" i="3"/>
  <c r="H310" i="3"/>
  <c r="I310" i="3"/>
  <c r="J310" i="3"/>
  <c r="G311" i="3"/>
  <c r="H311" i="3"/>
  <c r="I311" i="3"/>
  <c r="J311" i="3"/>
  <c r="G313" i="3"/>
  <c r="H313" i="3"/>
  <c r="I313" i="3"/>
  <c r="J313" i="3"/>
  <c r="G312" i="3"/>
  <c r="H312" i="3"/>
  <c r="I312" i="3"/>
  <c r="J312" i="3"/>
  <c r="G318" i="3"/>
  <c r="H318" i="3"/>
  <c r="I318" i="3"/>
  <c r="J318" i="3"/>
  <c r="G319" i="3"/>
  <c r="H319" i="3"/>
  <c r="I319" i="3"/>
  <c r="J319" i="3"/>
  <c r="G322" i="3"/>
  <c r="H322" i="3"/>
  <c r="I322" i="3"/>
  <c r="J322" i="3"/>
  <c r="G340" i="3"/>
  <c r="H340" i="3"/>
  <c r="I340" i="3"/>
  <c r="J340" i="3"/>
  <c r="G323" i="3"/>
  <c r="H323" i="3"/>
  <c r="I323" i="3"/>
  <c r="J323" i="3"/>
  <c r="G326" i="3"/>
  <c r="H326" i="3"/>
  <c r="I326" i="3"/>
  <c r="J326" i="3"/>
  <c r="G325" i="3"/>
  <c r="H325" i="3"/>
  <c r="I325" i="3"/>
  <c r="J325" i="3"/>
  <c r="G327" i="3"/>
  <c r="H327" i="3"/>
  <c r="I327" i="3"/>
  <c r="J327" i="3"/>
  <c r="G347" i="3"/>
  <c r="H347" i="3"/>
  <c r="I347" i="3"/>
  <c r="J347" i="3"/>
  <c r="G330" i="3"/>
  <c r="H330" i="3"/>
  <c r="I330" i="3"/>
  <c r="J330" i="3"/>
  <c r="G331" i="3"/>
  <c r="H331" i="3"/>
  <c r="I331" i="3"/>
  <c r="J331" i="3"/>
  <c r="G321" i="3"/>
  <c r="H321" i="3"/>
  <c r="I321" i="3"/>
  <c r="J321" i="3"/>
  <c r="G332" i="3"/>
  <c r="H332" i="3"/>
  <c r="I332" i="3"/>
  <c r="J332" i="3"/>
  <c r="G333" i="3"/>
  <c r="H333" i="3"/>
  <c r="I333" i="3"/>
  <c r="J333" i="3"/>
  <c r="G335" i="3"/>
  <c r="H335" i="3"/>
  <c r="I335" i="3"/>
  <c r="J335" i="3"/>
  <c r="G336" i="3"/>
  <c r="H336" i="3"/>
  <c r="I336" i="3"/>
  <c r="J336" i="3"/>
  <c r="G337" i="3"/>
  <c r="H337" i="3"/>
  <c r="I337" i="3"/>
  <c r="J337" i="3"/>
  <c r="G341" i="3"/>
  <c r="H341" i="3"/>
  <c r="I341" i="3"/>
  <c r="J341" i="3"/>
  <c r="G342" i="3"/>
  <c r="H342" i="3"/>
  <c r="I342" i="3"/>
  <c r="J342" i="3"/>
  <c r="G343" i="3"/>
  <c r="H343" i="3"/>
  <c r="I343" i="3"/>
  <c r="J343" i="3"/>
  <c r="G344" i="3"/>
  <c r="H344" i="3"/>
  <c r="I344" i="3"/>
  <c r="J344" i="3"/>
  <c r="G348" i="3"/>
  <c r="H348" i="3"/>
  <c r="I348" i="3"/>
  <c r="J348" i="3"/>
  <c r="G357" i="3"/>
  <c r="H357" i="3"/>
  <c r="I357" i="3"/>
  <c r="J357" i="3"/>
  <c r="G350" i="3"/>
  <c r="H350" i="3"/>
  <c r="I350" i="3"/>
  <c r="J350" i="3"/>
  <c r="G352" i="3"/>
  <c r="H352" i="3"/>
  <c r="I352" i="3"/>
  <c r="J352" i="3"/>
  <c r="G315" i="3"/>
  <c r="H315" i="3"/>
  <c r="I315" i="3"/>
  <c r="J315" i="3"/>
  <c r="G355" i="3"/>
  <c r="H355" i="3"/>
  <c r="I355" i="3"/>
  <c r="J355" i="3"/>
  <c r="G358" i="3"/>
  <c r="H358" i="3"/>
  <c r="I358" i="3"/>
  <c r="J358" i="3"/>
  <c r="G359" i="3"/>
  <c r="H359" i="3"/>
  <c r="I359" i="3"/>
  <c r="J359" i="3"/>
  <c r="G360" i="3"/>
  <c r="H360" i="3"/>
  <c r="I360" i="3"/>
  <c r="J360" i="3"/>
  <c r="G362" i="3"/>
  <c r="H362" i="3"/>
  <c r="I362" i="3"/>
  <c r="J362" i="3"/>
  <c r="G361" i="3"/>
  <c r="H361" i="3"/>
  <c r="I361" i="3"/>
  <c r="J361" i="3"/>
  <c r="G365" i="3"/>
  <c r="H365" i="3"/>
  <c r="I365" i="3"/>
  <c r="J365" i="3"/>
  <c r="G363" i="3"/>
  <c r="H363" i="3"/>
  <c r="I363" i="3"/>
  <c r="J363" i="3"/>
  <c r="G364" i="3"/>
  <c r="H364" i="3"/>
  <c r="I364" i="3"/>
  <c r="J364" i="3"/>
  <c r="G367" i="3"/>
  <c r="H367" i="3"/>
  <c r="I367" i="3"/>
  <c r="J367" i="3"/>
  <c r="G373" i="3"/>
  <c r="H373" i="3"/>
  <c r="I373" i="3"/>
  <c r="J373" i="3"/>
  <c r="G374" i="3"/>
  <c r="H374" i="3"/>
  <c r="I374" i="3"/>
  <c r="J374" i="3"/>
  <c r="G368" i="3"/>
  <c r="H368" i="3"/>
  <c r="I368" i="3"/>
  <c r="J368" i="3"/>
  <c r="G369" i="3"/>
  <c r="H369" i="3"/>
  <c r="I369" i="3"/>
  <c r="J369" i="3"/>
  <c r="G370" i="3"/>
  <c r="H370" i="3"/>
  <c r="I370" i="3"/>
  <c r="J370" i="3"/>
  <c r="G371" i="3"/>
  <c r="H371" i="3"/>
  <c r="I371" i="3"/>
  <c r="J371" i="3"/>
  <c r="G372" i="3"/>
  <c r="H372" i="3"/>
  <c r="I372" i="3"/>
  <c r="J372" i="3"/>
  <c r="G366" i="3"/>
  <c r="H366" i="3"/>
  <c r="I366" i="3"/>
  <c r="J366" i="3"/>
  <c r="G389" i="3"/>
  <c r="H389" i="3"/>
  <c r="I389" i="3"/>
  <c r="J389" i="3"/>
  <c r="G390" i="3"/>
  <c r="H390" i="3"/>
  <c r="I390" i="3"/>
  <c r="J390" i="3"/>
  <c r="G380" i="3"/>
  <c r="H380" i="3"/>
  <c r="I380" i="3"/>
  <c r="J380" i="3"/>
  <c r="G381" i="3"/>
  <c r="H381" i="3"/>
  <c r="I381" i="3"/>
  <c r="J381" i="3"/>
  <c r="G384" i="3"/>
  <c r="H384" i="3"/>
  <c r="I384" i="3"/>
  <c r="J384" i="3"/>
  <c r="G385" i="3"/>
  <c r="H385" i="3"/>
  <c r="I385" i="3"/>
  <c r="J385" i="3"/>
  <c r="G382" i="3"/>
  <c r="H382" i="3"/>
  <c r="I382" i="3"/>
  <c r="J382" i="3"/>
  <c r="G383" i="3"/>
  <c r="H383" i="3"/>
  <c r="I383" i="3"/>
  <c r="J383" i="3"/>
  <c r="G388" i="3"/>
  <c r="H388" i="3"/>
  <c r="I388" i="3"/>
  <c r="J388" i="3"/>
  <c r="G386" i="3"/>
  <c r="H386" i="3"/>
  <c r="I386" i="3"/>
  <c r="J386" i="3"/>
  <c r="G387" i="3"/>
  <c r="H387" i="3"/>
  <c r="I387" i="3"/>
  <c r="J387" i="3"/>
  <c r="G392" i="3"/>
  <c r="H392" i="3"/>
  <c r="I392" i="3"/>
  <c r="J392" i="3"/>
  <c r="G290" i="3"/>
  <c r="H290" i="3"/>
  <c r="I290" i="3"/>
  <c r="J290" i="3"/>
  <c r="G393" i="3"/>
  <c r="H393" i="3"/>
  <c r="I393" i="3"/>
  <c r="J393" i="3"/>
  <c r="G394" i="3"/>
  <c r="H394" i="3"/>
  <c r="I394" i="3"/>
  <c r="J394" i="3"/>
  <c r="G395" i="3"/>
  <c r="H395" i="3"/>
  <c r="I395" i="3"/>
  <c r="J395" i="3"/>
  <c r="G396" i="3"/>
  <c r="H396" i="3"/>
  <c r="I396" i="3"/>
  <c r="J396" i="3"/>
  <c r="G397" i="3"/>
  <c r="H397" i="3"/>
  <c r="I397" i="3"/>
  <c r="J397" i="3"/>
  <c r="G262" i="3"/>
  <c r="H262" i="3"/>
  <c r="I262" i="3"/>
  <c r="J262" i="3"/>
  <c r="G399" i="3"/>
  <c r="H399" i="3"/>
  <c r="I399" i="3"/>
  <c r="J399" i="3"/>
  <c r="G412" i="3"/>
  <c r="H412" i="3"/>
  <c r="I412" i="3"/>
  <c r="J412" i="3"/>
  <c r="G419" i="3"/>
  <c r="H419" i="3"/>
  <c r="I419" i="3"/>
  <c r="J419" i="3"/>
  <c r="G413" i="3"/>
  <c r="H413" i="3"/>
  <c r="I413" i="3"/>
  <c r="J413" i="3"/>
  <c r="G417" i="3"/>
  <c r="H417" i="3"/>
  <c r="I417" i="3"/>
  <c r="J417" i="3"/>
  <c r="G418" i="3"/>
  <c r="H418" i="3"/>
  <c r="I418" i="3"/>
  <c r="J418" i="3"/>
  <c r="G420" i="3"/>
  <c r="H420" i="3"/>
  <c r="I420" i="3"/>
  <c r="J420" i="3"/>
  <c r="G421" i="3"/>
  <c r="H421" i="3"/>
  <c r="I421" i="3"/>
  <c r="J421" i="3"/>
  <c r="G428" i="3"/>
  <c r="H428" i="3"/>
  <c r="I428" i="3"/>
  <c r="J428" i="3"/>
  <c r="G422" i="3"/>
  <c r="H422" i="3"/>
  <c r="I422" i="3"/>
  <c r="J422" i="3"/>
  <c r="G423" i="3"/>
  <c r="H423" i="3"/>
  <c r="I423" i="3"/>
  <c r="J423" i="3"/>
  <c r="G427" i="3"/>
  <c r="H427" i="3"/>
  <c r="I427" i="3"/>
  <c r="J427" i="3"/>
  <c r="G424" i="3"/>
  <c r="H424" i="3"/>
  <c r="I424" i="3"/>
  <c r="J424" i="3"/>
  <c r="G391" i="3"/>
  <c r="H391" i="3"/>
  <c r="I391" i="3"/>
  <c r="J391" i="3"/>
  <c r="G401" i="3"/>
  <c r="H401" i="3"/>
  <c r="I401" i="3"/>
  <c r="J401" i="3"/>
  <c r="G410" i="3"/>
  <c r="H410" i="3"/>
  <c r="I410" i="3"/>
  <c r="J410" i="3"/>
  <c r="G411" i="3"/>
  <c r="H411" i="3"/>
  <c r="I411" i="3"/>
  <c r="J411" i="3"/>
  <c r="G402" i="3"/>
  <c r="H402" i="3"/>
  <c r="I402" i="3"/>
  <c r="J402" i="3"/>
  <c r="G403" i="3"/>
  <c r="H403" i="3"/>
  <c r="I403" i="3"/>
  <c r="J403" i="3"/>
  <c r="G404" i="3"/>
  <c r="H404" i="3"/>
  <c r="I404" i="3"/>
  <c r="J404" i="3"/>
  <c r="G405" i="3"/>
  <c r="H405" i="3"/>
  <c r="I405" i="3"/>
  <c r="J405" i="3"/>
  <c r="G406" i="3"/>
  <c r="H406" i="3"/>
  <c r="I406" i="3"/>
  <c r="J406" i="3"/>
  <c r="G407" i="3"/>
  <c r="H407" i="3"/>
  <c r="I407" i="3"/>
  <c r="J407" i="3"/>
  <c r="G408" i="3"/>
  <c r="H408" i="3"/>
  <c r="I408" i="3"/>
  <c r="J408" i="3"/>
  <c r="G409" i="3"/>
  <c r="H409" i="3"/>
  <c r="I409" i="3"/>
  <c r="J409" i="3"/>
  <c r="G429" i="3"/>
  <c r="H429" i="3"/>
  <c r="I429" i="3"/>
  <c r="J429" i="3"/>
  <c r="G435" i="3"/>
  <c r="H435" i="3"/>
  <c r="I435" i="3"/>
  <c r="J435" i="3"/>
  <c r="G430" i="3"/>
  <c r="H430" i="3"/>
  <c r="I430" i="3"/>
  <c r="J430" i="3"/>
  <c r="G433" i="3"/>
  <c r="H433" i="3"/>
  <c r="I433" i="3"/>
  <c r="J433" i="3"/>
  <c r="G432" i="3"/>
  <c r="H432" i="3"/>
  <c r="I432" i="3"/>
  <c r="J432" i="3"/>
  <c r="G431" i="3"/>
  <c r="H431" i="3"/>
  <c r="I431" i="3"/>
  <c r="J431" i="3"/>
  <c r="G434" i="3"/>
  <c r="H434" i="3"/>
  <c r="I434" i="3"/>
  <c r="J434" i="3"/>
  <c r="G378" i="3"/>
  <c r="H378" i="3"/>
  <c r="I378" i="3"/>
  <c r="J378" i="3"/>
  <c r="G379" i="3"/>
  <c r="H379" i="3"/>
  <c r="I379" i="3"/>
  <c r="J379" i="3"/>
  <c r="G376" i="3"/>
  <c r="H376" i="3"/>
  <c r="I376" i="3"/>
  <c r="J376" i="3"/>
  <c r="G377" i="3"/>
  <c r="H377" i="3"/>
  <c r="I377" i="3"/>
  <c r="J377" i="3"/>
  <c r="G9" i="3"/>
  <c r="H9" i="3"/>
  <c r="I9" i="3"/>
  <c r="J9" i="3"/>
  <c r="J3" i="3"/>
  <c r="I3" i="3"/>
  <c r="H3" i="3"/>
  <c r="G3" i="3"/>
  <c r="EE454" i="1"/>
  <c r="EC380" i="1"/>
  <c r="EC367" i="1"/>
  <c r="EC278" i="1"/>
  <c r="EC120" i="1"/>
  <c r="EA162" i="1"/>
  <c r="K81" i="3" l="1"/>
  <c r="K57" i="3"/>
  <c r="K52" i="3"/>
  <c r="K23" i="3"/>
  <c r="K55" i="3"/>
  <c r="K51" i="3"/>
  <c r="K30" i="3"/>
  <c r="K25" i="3"/>
  <c r="K39" i="3"/>
  <c r="K34" i="3"/>
  <c r="K18" i="3"/>
  <c r="K8" i="3"/>
  <c r="K5" i="3"/>
  <c r="K331" i="3"/>
  <c r="K266" i="3"/>
  <c r="K285" i="3"/>
  <c r="K83" i="3"/>
  <c r="K424" i="3"/>
  <c r="K382" i="3"/>
  <c r="K187" i="3"/>
  <c r="K3" i="3"/>
  <c r="K58" i="3"/>
  <c r="K212" i="3"/>
  <c r="K419" i="3"/>
  <c r="K393" i="3"/>
  <c r="K186" i="3"/>
  <c r="K182" i="3"/>
  <c r="K169" i="3"/>
  <c r="K167" i="3"/>
  <c r="K256" i="3"/>
  <c r="K220" i="3"/>
  <c r="K194" i="3"/>
  <c r="K235" i="3"/>
  <c r="K107" i="3"/>
  <c r="K363" i="3"/>
  <c r="K315" i="3"/>
  <c r="K390" i="3"/>
  <c r="K371" i="3"/>
  <c r="K435" i="3"/>
  <c r="K373" i="3"/>
  <c r="K223" i="3"/>
  <c r="K433" i="3"/>
  <c r="K403" i="3"/>
  <c r="K364" i="3"/>
  <c r="K361" i="3"/>
  <c r="K360" i="3"/>
  <c r="K330" i="3"/>
  <c r="K174" i="3"/>
  <c r="K196" i="3"/>
  <c r="K183" i="3"/>
  <c r="K298" i="3"/>
  <c r="K132" i="3"/>
  <c r="K68" i="3"/>
  <c r="K154" i="3"/>
  <c r="K63" i="3"/>
  <c r="K319" i="3"/>
  <c r="K353" i="3"/>
  <c r="K261" i="3"/>
  <c r="K262" i="3"/>
  <c r="K388" i="3"/>
  <c r="K274" i="3"/>
  <c r="K112" i="3"/>
  <c r="K255" i="3"/>
  <c r="K92" i="3"/>
  <c r="K72" i="3"/>
  <c r="K98" i="3"/>
  <c r="K139" i="3"/>
  <c r="K148" i="3"/>
  <c r="K142" i="3"/>
  <c r="K42" i="3"/>
  <c r="K7" i="3"/>
  <c r="K250" i="3"/>
  <c r="K161" i="3"/>
  <c r="K145" i="3"/>
  <c r="K372" i="3"/>
  <c r="K355" i="3"/>
  <c r="K177" i="3"/>
  <c r="K173" i="3"/>
  <c r="K171" i="3"/>
  <c r="K288" i="3"/>
  <c r="K267" i="3"/>
  <c r="K216" i="3"/>
  <c r="K54" i="3"/>
  <c r="K50" i="3"/>
  <c r="K32" i="3"/>
  <c r="K26" i="3"/>
  <c r="K45" i="3"/>
  <c r="K4" i="3"/>
  <c r="K417" i="3"/>
  <c r="K394" i="3"/>
  <c r="K307" i="3"/>
  <c r="K296" i="3"/>
  <c r="K243" i="3"/>
  <c r="K210" i="3"/>
  <c r="K429" i="3"/>
  <c r="K422" i="3"/>
  <c r="K365" i="3"/>
  <c r="K342" i="3"/>
  <c r="K322" i="3"/>
  <c r="K170" i="3"/>
  <c r="K215" i="3"/>
  <c r="K166" i="3"/>
  <c r="K85" i="3"/>
  <c r="K158" i="3"/>
  <c r="K277" i="3"/>
  <c r="K113" i="3"/>
  <c r="K376" i="3"/>
  <c r="K341" i="3"/>
  <c r="K304" i="3"/>
  <c r="K300" i="3"/>
  <c r="K299" i="3"/>
  <c r="K306" i="3"/>
  <c r="K172" i="3"/>
  <c r="K168" i="3"/>
  <c r="K247" i="3"/>
  <c r="K225" i="3"/>
  <c r="K213" i="3"/>
  <c r="K279" i="3"/>
  <c r="K117" i="3"/>
  <c r="K160" i="3"/>
  <c r="K121" i="3"/>
  <c r="K106" i="3"/>
  <c r="K423" i="3"/>
  <c r="K405" i="3"/>
  <c r="K413" i="3"/>
  <c r="K397" i="3"/>
  <c r="K222" i="3"/>
  <c r="K239" i="3"/>
  <c r="K269" i="3"/>
  <c r="K103" i="3"/>
  <c r="K116" i="3"/>
  <c r="K90" i="3"/>
  <c r="K143" i="3"/>
  <c r="K129" i="3"/>
  <c r="K91" i="3"/>
  <c r="K37" i="3"/>
  <c r="K9" i="3"/>
  <c r="K406" i="3"/>
  <c r="K402" i="3"/>
  <c r="K396" i="3"/>
  <c r="K392" i="3"/>
  <c r="K386" i="3"/>
  <c r="K383" i="3"/>
  <c r="K359" i="3"/>
  <c r="K175" i="3"/>
  <c r="K284" i="3"/>
  <c r="K293" i="3"/>
  <c r="K207" i="3"/>
  <c r="K197" i="3"/>
  <c r="K241" i="3"/>
  <c r="K281" i="3"/>
  <c r="K278" i="3"/>
  <c r="K135" i="3"/>
  <c r="K125" i="3"/>
  <c r="K95" i="3"/>
  <c r="K152" i="3"/>
  <c r="K84" i="3"/>
  <c r="K136" i="3"/>
  <c r="K70" i="3"/>
  <c r="K155" i="3"/>
  <c r="K65" i="3"/>
  <c r="K47" i="3"/>
  <c r="K60" i="3"/>
  <c r="K20" i="3"/>
  <c r="K56" i="3"/>
  <c r="K391" i="3"/>
  <c r="K385" i="3"/>
  <c r="K344" i="3"/>
  <c r="K333" i="3"/>
  <c r="K318" i="3"/>
  <c r="K272" i="3"/>
  <c r="K270" i="3"/>
  <c r="K229" i="3"/>
  <c r="K219" i="3"/>
  <c r="K221" i="3"/>
  <c r="K271" i="3"/>
  <c r="K246" i="3"/>
  <c r="K200" i="3"/>
  <c r="K214" i="3"/>
  <c r="K191" i="3"/>
  <c r="K185" i="3"/>
  <c r="K181" i="3"/>
  <c r="K126" i="3"/>
  <c r="K133" i="3"/>
  <c r="K162" i="3"/>
  <c r="K67" i="3"/>
  <c r="K16" i="3"/>
  <c r="K377" i="3"/>
  <c r="K421" i="3"/>
  <c r="K418" i="3"/>
  <c r="K352" i="3"/>
  <c r="K357" i="3"/>
  <c r="K332" i="3"/>
  <c r="K327" i="3"/>
  <c r="K326" i="3"/>
  <c r="K230" i="3"/>
  <c r="K204" i="3"/>
  <c r="K206" i="3"/>
  <c r="K218" i="3"/>
  <c r="K237" i="3"/>
  <c r="K254" i="3"/>
  <c r="K251" i="3"/>
  <c r="K208" i="3"/>
  <c r="K188" i="3"/>
  <c r="K134" i="3"/>
  <c r="K101" i="3"/>
  <c r="K87" i="3"/>
  <c r="K36" i="3"/>
  <c r="K379" i="3"/>
  <c r="K409" i="3"/>
  <c r="K407" i="3"/>
  <c r="K290" i="3"/>
  <c r="K389" i="3"/>
  <c r="K369" i="3"/>
  <c r="K374" i="3"/>
  <c r="K287" i="3"/>
  <c r="K283" i="3"/>
  <c r="K260" i="3"/>
  <c r="K295" i="3"/>
  <c r="K289" i="3"/>
  <c r="K273" i="3"/>
  <c r="K195" i="3"/>
  <c r="K193" i="3"/>
  <c r="K282" i="3"/>
  <c r="K258" i="3"/>
  <c r="K164" i="3"/>
  <c r="K124" i="3"/>
  <c r="K157" i="3"/>
  <c r="K71" i="3"/>
  <c r="K69" i="3"/>
  <c r="K140" i="3"/>
  <c r="K62" i="3"/>
  <c r="K66" i="3"/>
  <c r="K40" i="3"/>
  <c r="K21" i="3"/>
  <c r="K59" i="3"/>
  <c r="K434" i="3"/>
  <c r="K432" i="3"/>
  <c r="K337" i="3"/>
  <c r="K335" i="3"/>
  <c r="K323" i="3"/>
  <c r="K312" i="3"/>
  <c r="K311" i="3"/>
  <c r="K302" i="3"/>
  <c r="K276" i="3"/>
  <c r="K268" i="3"/>
  <c r="K217" i="3"/>
  <c r="K202" i="3"/>
  <c r="K291" i="3"/>
  <c r="K244" i="3"/>
  <c r="K192" i="3"/>
  <c r="K153" i="3"/>
  <c r="K123" i="3"/>
  <c r="K100" i="3"/>
  <c r="K118" i="3"/>
  <c r="K78" i="3"/>
  <c r="K29" i="3"/>
  <c r="K10" i="3"/>
  <c r="K404" i="3"/>
  <c r="K428" i="3"/>
  <c r="K420" i="3"/>
  <c r="K350" i="3"/>
  <c r="K348" i="3"/>
  <c r="K325" i="3"/>
  <c r="K310" i="3"/>
  <c r="K263" i="3"/>
  <c r="K231" i="3"/>
  <c r="K180" i="3"/>
  <c r="K259" i="3"/>
  <c r="K253" i="3"/>
  <c r="K228" i="3"/>
  <c r="K203" i="3"/>
  <c r="K201" i="3"/>
  <c r="K105" i="3"/>
  <c r="K109" i="3"/>
  <c r="K144" i="3"/>
  <c r="K89" i="3"/>
  <c r="K74" i="3"/>
  <c r="K75" i="3"/>
  <c r="K53" i="3"/>
  <c r="K233" i="1"/>
  <c r="L233" i="1" s="1"/>
  <c r="K446" i="1"/>
  <c r="L446" i="1" s="1"/>
  <c r="K201" i="1"/>
  <c r="L201" i="1" s="1"/>
  <c r="K327" i="1"/>
  <c r="L327" i="1" s="1"/>
  <c r="K386" i="1"/>
  <c r="L386" i="1" s="1"/>
  <c r="K380" i="1"/>
  <c r="L380" i="1" s="1"/>
  <c r="K377" i="1"/>
  <c r="L377" i="1" s="1"/>
  <c r="K454" i="1"/>
  <c r="L454" i="1" s="1"/>
  <c r="K447" i="1"/>
  <c r="L447" i="1" s="1"/>
  <c r="K108" i="1"/>
  <c r="L108" i="1" s="1"/>
  <c r="K98" i="1"/>
  <c r="L98" i="1" s="1"/>
  <c r="K72" i="1"/>
  <c r="L72" i="1" s="1"/>
  <c r="K179" i="1"/>
  <c r="L179" i="1" s="1"/>
  <c r="K168" i="1"/>
  <c r="L168" i="1" s="1"/>
  <c r="K227" i="1"/>
  <c r="L227" i="1" s="1"/>
  <c r="K412" i="1"/>
  <c r="L412" i="1" s="1"/>
  <c r="K109" i="1"/>
  <c r="L109" i="1" s="1"/>
  <c r="K172" i="1"/>
  <c r="L172" i="1" s="1"/>
  <c r="K365" i="1"/>
  <c r="L365" i="1" s="1"/>
  <c r="K363" i="1"/>
  <c r="L363" i="1" s="1"/>
  <c r="K211" i="1"/>
  <c r="L211" i="1" s="1"/>
  <c r="K286" i="1"/>
  <c r="L286" i="1" s="1"/>
  <c r="K125" i="1"/>
  <c r="L125" i="1" s="1"/>
  <c r="K16" i="1"/>
  <c r="L16" i="1" s="1"/>
  <c r="K47" i="1"/>
  <c r="L47" i="1" s="1"/>
  <c r="K154" i="1"/>
  <c r="L154" i="1" s="1"/>
  <c r="K80" i="1"/>
  <c r="L80" i="1" s="1"/>
  <c r="K273" i="1"/>
  <c r="L273" i="1" s="1"/>
  <c r="K410" i="1"/>
  <c r="L410" i="1" s="1"/>
  <c r="K408" i="1"/>
  <c r="L408" i="1" s="1"/>
  <c r="K404" i="1"/>
  <c r="L404" i="1" s="1"/>
  <c r="K387" i="1"/>
  <c r="L387" i="1" s="1"/>
  <c r="K260" i="1"/>
  <c r="L260" i="1" s="1"/>
  <c r="K133" i="1"/>
  <c r="L133" i="1" s="1"/>
  <c r="K123" i="1"/>
  <c r="L123" i="1" s="1"/>
  <c r="K105" i="1"/>
  <c r="L105" i="1" s="1"/>
  <c r="K208" i="1"/>
  <c r="L208" i="1" s="1"/>
  <c r="K289" i="1"/>
  <c r="L289" i="1" s="1"/>
  <c r="K287" i="1"/>
  <c r="L287" i="1" s="1"/>
  <c r="K254" i="1"/>
  <c r="L254" i="1" s="1"/>
  <c r="K349" i="1"/>
  <c r="L349" i="1" s="1"/>
  <c r="K3" i="1"/>
  <c r="L3" i="1" s="1"/>
  <c r="K60" i="1"/>
  <c r="L60" i="1" s="1"/>
  <c r="K56" i="1"/>
  <c r="L56" i="1" s="1"/>
  <c r="K52" i="1"/>
  <c r="L52" i="1" s="1"/>
  <c r="K49" i="1"/>
  <c r="L49" i="1" s="1"/>
  <c r="K41" i="1"/>
  <c r="L41" i="1" s="1"/>
  <c r="K31" i="1"/>
  <c r="L31" i="1" s="1"/>
  <c r="K144" i="1"/>
  <c r="L144" i="1" s="1"/>
  <c r="K142" i="1"/>
  <c r="L142" i="1" s="1"/>
  <c r="K135" i="1"/>
  <c r="L135" i="1" s="1"/>
  <c r="K77" i="1"/>
  <c r="L77" i="1" s="1"/>
  <c r="K210" i="1"/>
  <c r="L210" i="1" s="1"/>
  <c r="K238" i="1"/>
  <c r="L238" i="1" s="1"/>
  <c r="K279" i="1"/>
  <c r="L279" i="1" s="1"/>
  <c r="K262" i="1"/>
  <c r="L262" i="1" s="1"/>
  <c r="K253" i="1"/>
  <c r="L253" i="1" s="1"/>
  <c r="K310" i="1"/>
  <c r="L310" i="1" s="1"/>
  <c r="K308" i="1"/>
  <c r="L308" i="1" s="1"/>
  <c r="K303" i="1"/>
  <c r="L303" i="1" s="1"/>
  <c r="K292" i="1"/>
  <c r="L292" i="1" s="1"/>
  <c r="K321" i="1"/>
  <c r="L321" i="1" s="1"/>
  <c r="K427" i="1"/>
  <c r="L427" i="1" s="1"/>
  <c r="K423" i="1"/>
  <c r="L423" i="1" s="1"/>
  <c r="K419" i="1"/>
  <c r="L419" i="1" s="1"/>
  <c r="K403" i="1"/>
  <c r="L403" i="1" s="1"/>
  <c r="K396" i="1"/>
  <c r="L396" i="1" s="1"/>
  <c r="K351" i="1"/>
  <c r="L351" i="1" s="1"/>
  <c r="K339" i="1"/>
  <c r="L339" i="1" s="1"/>
  <c r="K21" i="1"/>
  <c r="L21" i="1" s="1"/>
  <c r="K149" i="1"/>
  <c r="L149" i="1" s="1"/>
  <c r="K139" i="1"/>
  <c r="L139" i="1" s="1"/>
  <c r="K136" i="1"/>
  <c r="L136" i="1" s="1"/>
  <c r="K83" i="1"/>
  <c r="L83" i="1" s="1"/>
  <c r="K176" i="1"/>
  <c r="L176" i="1" s="1"/>
  <c r="K203" i="1"/>
  <c r="L203" i="1" s="1"/>
  <c r="K270" i="1"/>
  <c r="L270" i="1" s="1"/>
  <c r="K264" i="1"/>
  <c r="L264" i="1" s="1"/>
  <c r="K430" i="1"/>
  <c r="L430" i="1" s="1"/>
  <c r="K394" i="1"/>
  <c r="L394" i="1" s="1"/>
  <c r="K392" i="1"/>
  <c r="L392" i="1" s="1"/>
  <c r="K99" i="1"/>
  <c r="L99" i="1" s="1"/>
  <c r="K246" i="1"/>
  <c r="L246" i="1" s="1"/>
  <c r="K348" i="1"/>
  <c r="L348" i="1" s="1"/>
  <c r="K455" i="1"/>
  <c r="L455" i="1" s="1"/>
  <c r="K9" i="1"/>
  <c r="L9" i="1" s="1"/>
  <c r="K7" i="1"/>
  <c r="L7" i="1" s="1"/>
  <c r="K19" i="1"/>
  <c r="L19" i="1" s="1"/>
  <c r="K59" i="1"/>
  <c r="L59" i="1" s="1"/>
  <c r="K57" i="1"/>
  <c r="L57" i="1" s="1"/>
  <c r="K116" i="1"/>
  <c r="L116" i="1" s="1"/>
  <c r="K114" i="1"/>
  <c r="L114" i="1" s="1"/>
  <c r="K164" i="1"/>
  <c r="L164" i="1" s="1"/>
  <c r="K162" i="1"/>
  <c r="L162" i="1" s="1"/>
  <c r="K220" i="1"/>
  <c r="L220" i="1" s="1"/>
  <c r="K217" i="1"/>
  <c r="L217" i="1" s="1"/>
  <c r="K209" i="1"/>
  <c r="L209" i="1" s="1"/>
  <c r="K420" i="1"/>
  <c r="L420" i="1" s="1"/>
  <c r="K243" i="1"/>
  <c r="L243" i="1" s="1"/>
  <c r="K155" i="1"/>
  <c r="L155" i="1" s="1"/>
  <c r="K145" i="1"/>
  <c r="L145" i="1" s="1"/>
  <c r="K214" i="1"/>
  <c r="L214" i="1" s="1"/>
  <c r="K245" i="1"/>
  <c r="L245" i="1" s="1"/>
  <c r="K242" i="1"/>
  <c r="L242" i="1" s="1"/>
  <c r="K347" i="1"/>
  <c r="L347" i="1" s="1"/>
  <c r="K441" i="1"/>
  <c r="L441" i="1" s="1"/>
  <c r="K436" i="1"/>
  <c r="L436" i="1" s="1"/>
  <c r="K428" i="1"/>
  <c r="L428" i="1" s="1"/>
  <c r="K397" i="1"/>
  <c r="L397" i="1" s="1"/>
  <c r="K395" i="1"/>
  <c r="L395" i="1" s="1"/>
  <c r="K236" i="1"/>
  <c r="L236" i="1" s="1"/>
  <c r="K4" i="1"/>
  <c r="L4" i="1" s="1"/>
  <c r="K132" i="1"/>
  <c r="L132" i="1" s="1"/>
  <c r="K127" i="1"/>
  <c r="L127" i="1" s="1"/>
  <c r="K82" i="1"/>
  <c r="L82" i="1" s="1"/>
  <c r="K195" i="1"/>
  <c r="L195" i="1" s="1"/>
  <c r="K193" i="1"/>
  <c r="L193" i="1" s="1"/>
  <c r="K187" i="1"/>
  <c r="L187" i="1" s="1"/>
  <c r="K185" i="1"/>
  <c r="L185" i="1" s="1"/>
  <c r="K278" i="1"/>
  <c r="L278" i="1" s="1"/>
  <c r="K269" i="1"/>
  <c r="L269" i="1" s="1"/>
  <c r="K323" i="1"/>
  <c r="L323" i="1" s="1"/>
  <c r="K320" i="1"/>
  <c r="L320" i="1" s="1"/>
  <c r="K371" i="1"/>
  <c r="L371" i="1" s="1"/>
  <c r="K358" i="1"/>
  <c r="L358" i="1" s="1"/>
  <c r="K433" i="1"/>
  <c r="L433" i="1" s="1"/>
  <c r="K106" i="1"/>
  <c r="L106" i="1" s="1"/>
  <c r="K91" i="1"/>
  <c r="L91" i="1" s="1"/>
  <c r="K6" i="1"/>
  <c r="L6" i="1" s="1"/>
  <c r="K152" i="1"/>
  <c r="L152" i="1" s="1"/>
  <c r="K96" i="1"/>
  <c r="L96" i="1" s="1"/>
  <c r="K94" i="1"/>
  <c r="L94" i="1" s="1"/>
  <c r="K92" i="1"/>
  <c r="L92" i="1" s="1"/>
  <c r="K90" i="1"/>
  <c r="L90" i="1" s="1"/>
  <c r="K88" i="1"/>
  <c r="L88" i="1" s="1"/>
  <c r="K198" i="1"/>
  <c r="L198" i="1" s="1"/>
  <c r="K435" i="1"/>
  <c r="L435" i="1" s="1"/>
  <c r="K10" i="1"/>
  <c r="L10" i="1" s="1"/>
  <c r="K63" i="1"/>
  <c r="L63" i="1" s="1"/>
  <c r="K158" i="1"/>
  <c r="L158" i="1" s="1"/>
  <c r="K84" i="1"/>
  <c r="L84" i="1" s="1"/>
  <c r="K213" i="1"/>
  <c r="L213" i="1" s="1"/>
  <c r="K183" i="1"/>
  <c r="L183" i="1" s="1"/>
  <c r="K285" i="1"/>
  <c r="L285" i="1" s="1"/>
  <c r="K283" i="1"/>
  <c r="L283" i="1" s="1"/>
  <c r="K256" i="1"/>
  <c r="L256" i="1" s="1"/>
  <c r="K356" i="1"/>
  <c r="L356" i="1" s="1"/>
  <c r="K352" i="1"/>
  <c r="L352" i="1" s="1"/>
  <c r="K8" i="1"/>
  <c r="L8" i="1" s="1"/>
  <c r="K50" i="1"/>
  <c r="L50" i="1" s="1"/>
  <c r="K46" i="1"/>
  <c r="L46" i="1" s="1"/>
  <c r="K95" i="1"/>
  <c r="L95" i="1" s="1"/>
  <c r="K163" i="1"/>
  <c r="L163" i="1" s="1"/>
  <c r="K192" i="1"/>
  <c r="L192" i="1" s="1"/>
  <c r="K267" i="1"/>
  <c r="L267" i="1" s="1"/>
  <c r="K315" i="1"/>
  <c r="L315" i="1" s="1"/>
  <c r="K304" i="1"/>
  <c r="L304" i="1" s="1"/>
  <c r="K66" i="1"/>
  <c r="L66" i="1" s="1"/>
  <c r="K35" i="1"/>
  <c r="L35" i="1" s="1"/>
  <c r="K32" i="1"/>
  <c r="L32" i="1" s="1"/>
  <c r="K30" i="1"/>
  <c r="L30" i="1" s="1"/>
  <c r="K28" i="1"/>
  <c r="L28" i="1" s="1"/>
  <c r="K150" i="1"/>
  <c r="L150" i="1" s="1"/>
  <c r="K147" i="1"/>
  <c r="L147" i="1" s="1"/>
  <c r="K129" i="1"/>
  <c r="L129" i="1" s="1"/>
  <c r="K113" i="1"/>
  <c r="L113" i="1" s="1"/>
  <c r="K89" i="1"/>
  <c r="L89" i="1" s="1"/>
  <c r="K78" i="1"/>
  <c r="L78" i="1" s="1"/>
  <c r="K76" i="1"/>
  <c r="L76" i="1" s="1"/>
  <c r="K170" i="1"/>
  <c r="L170" i="1" s="1"/>
  <c r="K218" i="1"/>
  <c r="L218" i="1" s="1"/>
  <c r="K216" i="1"/>
  <c r="L216" i="1" s="1"/>
  <c r="K206" i="1"/>
  <c r="L206" i="1" s="1"/>
  <c r="K186" i="1"/>
  <c r="L186" i="1" s="1"/>
  <c r="K184" i="1"/>
  <c r="L184" i="1" s="1"/>
  <c r="K248" i="1"/>
  <c r="L248" i="1" s="1"/>
  <c r="K277" i="1"/>
  <c r="L277" i="1" s="1"/>
  <c r="K275" i="1"/>
  <c r="L275" i="1" s="1"/>
  <c r="K263" i="1"/>
  <c r="L263" i="1" s="1"/>
  <c r="K316" i="1"/>
  <c r="L316" i="1" s="1"/>
  <c r="K305" i="1"/>
  <c r="L305" i="1" s="1"/>
  <c r="K335" i="1"/>
  <c r="L335" i="1" s="1"/>
  <c r="K359" i="1"/>
  <c r="L359" i="1" s="1"/>
  <c r="K456" i="1"/>
  <c r="L456" i="1" s="1"/>
  <c r="K451" i="1"/>
  <c r="L451" i="1" s="1"/>
  <c r="K449" i="1"/>
  <c r="L449" i="1" s="1"/>
  <c r="K431" i="1"/>
  <c r="L431" i="1" s="1"/>
  <c r="K429" i="1"/>
  <c r="L429" i="1" s="1"/>
  <c r="K418" i="1"/>
  <c r="L418" i="1" s="1"/>
  <c r="K416" i="1"/>
  <c r="L416" i="1" s="1"/>
  <c r="K406" i="1"/>
  <c r="L406" i="1" s="1"/>
  <c r="K401" i="1"/>
  <c r="L401" i="1" s="1"/>
  <c r="K399" i="1"/>
  <c r="L399" i="1" s="1"/>
  <c r="K388" i="1"/>
  <c r="L388" i="1" s="1"/>
  <c r="K26" i="1"/>
  <c r="L26" i="1" s="1"/>
  <c r="K97" i="1"/>
  <c r="L97" i="1" s="1"/>
  <c r="K71" i="1"/>
  <c r="L71" i="1" s="1"/>
  <c r="K196" i="1"/>
  <c r="L196" i="1" s="1"/>
  <c r="K181" i="1"/>
  <c r="L181" i="1" s="1"/>
  <c r="K247" i="1"/>
  <c r="L247" i="1" s="1"/>
  <c r="K231" i="1"/>
  <c r="L231" i="1" s="1"/>
  <c r="K259" i="1"/>
  <c r="L259" i="1" s="1"/>
  <c r="K326" i="1"/>
  <c r="L326" i="1" s="1"/>
  <c r="K385" i="1"/>
  <c r="L385" i="1" s="1"/>
  <c r="K55" i="1"/>
  <c r="L55" i="1" s="1"/>
  <c r="K48" i="1"/>
  <c r="L48" i="1" s="1"/>
  <c r="K143" i="1"/>
  <c r="L143" i="1" s="1"/>
  <c r="K131" i="1"/>
  <c r="L131" i="1" s="1"/>
  <c r="K128" i="1"/>
  <c r="L128" i="1" s="1"/>
  <c r="K111" i="1"/>
  <c r="L111" i="1" s="1"/>
  <c r="K178" i="1"/>
  <c r="L178" i="1" s="1"/>
  <c r="K226" i="1"/>
  <c r="L226" i="1" s="1"/>
  <c r="K302" i="1"/>
  <c r="L302" i="1" s="1"/>
  <c r="K376" i="1"/>
  <c r="L376" i="1" s="1"/>
  <c r="K440" i="1"/>
  <c r="L440" i="1" s="1"/>
  <c r="K426" i="1"/>
  <c r="L426" i="1" s="1"/>
  <c r="K409" i="1"/>
  <c r="L409" i="1" s="1"/>
  <c r="K14" i="1"/>
  <c r="L14" i="1" s="1"/>
  <c r="K64" i="1"/>
  <c r="L64" i="1" s="1"/>
  <c r="K62" i="1"/>
  <c r="L62" i="1" s="1"/>
  <c r="K58" i="1"/>
  <c r="L58" i="1" s="1"/>
  <c r="K25" i="1"/>
  <c r="L25" i="1" s="1"/>
  <c r="K159" i="1"/>
  <c r="L159" i="1" s="1"/>
  <c r="K134" i="1"/>
  <c r="L134" i="1" s="1"/>
  <c r="K120" i="1"/>
  <c r="L120" i="1" s="1"/>
  <c r="K101" i="1"/>
  <c r="L101" i="1" s="1"/>
  <c r="K87" i="1"/>
  <c r="L87" i="1" s="1"/>
  <c r="K70" i="1"/>
  <c r="L70" i="1" s="1"/>
  <c r="K167" i="1"/>
  <c r="L167" i="1" s="1"/>
  <c r="K212" i="1"/>
  <c r="L212" i="1" s="1"/>
  <c r="K199" i="1"/>
  <c r="L199" i="1" s="1"/>
  <c r="K197" i="1"/>
  <c r="L197" i="1" s="1"/>
  <c r="K182" i="1"/>
  <c r="L182" i="1" s="1"/>
  <c r="K180" i="1"/>
  <c r="L180" i="1" s="1"/>
  <c r="K230" i="1"/>
  <c r="L230" i="1" s="1"/>
  <c r="K228" i="1"/>
  <c r="L228" i="1" s="1"/>
  <c r="K255" i="1"/>
  <c r="L255" i="1" s="1"/>
  <c r="K295" i="1"/>
  <c r="L295" i="1" s="1"/>
  <c r="K334" i="1"/>
  <c r="L334" i="1" s="1"/>
  <c r="K373" i="1"/>
  <c r="L373" i="1" s="1"/>
  <c r="K357" i="1"/>
  <c r="L357" i="1" s="1"/>
  <c r="K384" i="1"/>
  <c r="L384" i="1" s="1"/>
  <c r="K445" i="1"/>
  <c r="L445" i="1" s="1"/>
  <c r="K421" i="1"/>
  <c r="L421" i="1" s="1"/>
  <c r="K390" i="1"/>
  <c r="L390" i="1" s="1"/>
  <c r="K5" i="1"/>
  <c r="L5" i="1" s="1"/>
  <c r="K45" i="1"/>
  <c r="L45" i="1" s="1"/>
  <c r="K43" i="1"/>
  <c r="L43" i="1" s="1"/>
  <c r="K38" i="1"/>
  <c r="L38" i="1" s="1"/>
  <c r="K153" i="1"/>
  <c r="L153" i="1" s="1"/>
  <c r="K140" i="1"/>
  <c r="L140" i="1" s="1"/>
  <c r="K137" i="1"/>
  <c r="L137" i="1" s="1"/>
  <c r="K104" i="1"/>
  <c r="L104" i="1" s="1"/>
  <c r="K81" i="1"/>
  <c r="L81" i="1" s="1"/>
  <c r="K173" i="1"/>
  <c r="L173" i="1" s="1"/>
  <c r="K166" i="1"/>
  <c r="L166" i="1" s="1"/>
  <c r="K225" i="1"/>
  <c r="L225" i="1" s="1"/>
  <c r="K223" i="1"/>
  <c r="L223" i="1" s="1"/>
  <c r="K204" i="1"/>
  <c r="L204" i="1" s="1"/>
  <c r="K191" i="1"/>
  <c r="L191" i="1" s="1"/>
  <c r="K189" i="1"/>
  <c r="L189" i="1" s="1"/>
  <c r="K240" i="1"/>
  <c r="L240" i="1" s="1"/>
  <c r="K268" i="1"/>
  <c r="L268" i="1" s="1"/>
  <c r="K266" i="1"/>
  <c r="L266" i="1" s="1"/>
  <c r="K309" i="1"/>
  <c r="L309" i="1" s="1"/>
  <c r="K301" i="1"/>
  <c r="L301" i="1" s="1"/>
  <c r="K297" i="1"/>
  <c r="L297" i="1" s="1"/>
  <c r="K319" i="1"/>
  <c r="L319" i="1" s="1"/>
  <c r="K367" i="1"/>
  <c r="L367" i="1" s="1"/>
  <c r="K364" i="1"/>
  <c r="L364" i="1" s="1"/>
  <c r="K360" i="1"/>
  <c r="L360" i="1" s="1"/>
  <c r="K346" i="1"/>
  <c r="L346" i="1" s="1"/>
  <c r="K342" i="1"/>
  <c r="L342" i="1" s="1"/>
  <c r="K381" i="1"/>
  <c r="L381" i="1" s="1"/>
  <c r="K444" i="1"/>
  <c r="L444" i="1" s="1"/>
  <c r="K434" i="1"/>
  <c r="L434" i="1" s="1"/>
  <c r="K413" i="1"/>
  <c r="L413" i="1" s="1"/>
  <c r="K17" i="1"/>
  <c r="L17" i="1" s="1"/>
  <c r="K13" i="1"/>
  <c r="L13" i="1" s="1"/>
  <c r="K65" i="1"/>
  <c r="L65" i="1" s="1"/>
  <c r="K36" i="1"/>
  <c r="L36" i="1" s="1"/>
  <c r="K34" i="1"/>
  <c r="L34" i="1" s="1"/>
  <c r="K29" i="1"/>
  <c r="L29" i="1" s="1"/>
  <c r="K151" i="1"/>
  <c r="L151" i="1" s="1"/>
  <c r="K124" i="1"/>
  <c r="L124" i="1" s="1"/>
  <c r="K112" i="1"/>
  <c r="L112" i="1" s="1"/>
  <c r="K110" i="1"/>
  <c r="L110" i="1" s="1"/>
  <c r="K93" i="1"/>
  <c r="L93" i="1" s="1"/>
  <c r="K79" i="1"/>
  <c r="L79" i="1" s="1"/>
  <c r="K73" i="1"/>
  <c r="L73" i="1" s="1"/>
  <c r="K171" i="1"/>
  <c r="L171" i="1" s="1"/>
  <c r="K224" i="1"/>
  <c r="L224" i="1" s="1"/>
  <c r="K202" i="1"/>
  <c r="L202" i="1" s="1"/>
  <c r="K200" i="1"/>
  <c r="L200" i="1" s="1"/>
  <c r="K190" i="1"/>
  <c r="L190" i="1" s="1"/>
  <c r="K234" i="1"/>
  <c r="L234" i="1" s="1"/>
  <c r="K229" i="1"/>
  <c r="L229" i="1" s="1"/>
  <c r="K276" i="1"/>
  <c r="L276" i="1" s="1"/>
  <c r="K274" i="1"/>
  <c r="L274" i="1" s="1"/>
  <c r="K271" i="1"/>
  <c r="L271" i="1" s="1"/>
  <c r="K298" i="1"/>
  <c r="L298" i="1" s="1"/>
  <c r="K290" i="1"/>
  <c r="L290" i="1" s="1"/>
  <c r="K337" i="1"/>
  <c r="L337" i="1" s="1"/>
  <c r="K452" i="1"/>
  <c r="L452" i="1" s="1"/>
  <c r="K450" i="1"/>
  <c r="L450" i="1" s="1"/>
  <c r="K448" i="1"/>
  <c r="L448" i="1" s="1"/>
  <c r="K432" i="1"/>
  <c r="L432" i="1" s="1"/>
  <c r="K422" i="1"/>
  <c r="L422" i="1" s="1"/>
  <c r="K417" i="1"/>
  <c r="L417" i="1" s="1"/>
  <c r="K415" i="1"/>
  <c r="L415" i="1" s="1"/>
  <c r="K402" i="1"/>
  <c r="L402" i="1" s="1"/>
  <c r="K400" i="1"/>
  <c r="L400" i="1" s="1"/>
  <c r="K405" i="1"/>
  <c r="L405" i="1" s="1"/>
  <c r="K24" i="1"/>
  <c r="L24" i="1" s="1"/>
  <c r="K121" i="1"/>
  <c r="L121" i="1" s="1"/>
  <c r="K69" i="1"/>
  <c r="L69" i="1" s="1"/>
  <c r="K393" i="1"/>
  <c r="L393" i="1" s="1"/>
  <c r="K391" i="1"/>
  <c r="L391" i="1" s="1"/>
  <c r="K389" i="1"/>
  <c r="L389" i="1" s="1"/>
  <c r="K15" i="1"/>
  <c r="L15" i="1" s="1"/>
  <c r="K61" i="1"/>
  <c r="L61" i="1" s="1"/>
  <c r="K156" i="1"/>
  <c r="L156" i="1" s="1"/>
  <c r="K86" i="1"/>
  <c r="L86" i="1" s="1"/>
  <c r="K215" i="1"/>
  <c r="L215" i="1" s="1"/>
  <c r="K249" i="1"/>
  <c r="L249" i="1" s="1"/>
  <c r="K194" i="1"/>
  <c r="L194" i="1" s="1"/>
  <c r="K251" i="1"/>
  <c r="L251" i="1" s="1"/>
  <c r="K307" i="1"/>
  <c r="L307" i="1" s="1"/>
  <c r="K372" i="1"/>
  <c r="L372" i="1" s="1"/>
  <c r="K457" i="1"/>
  <c r="L457" i="1" s="1"/>
  <c r="K442" i="1"/>
  <c r="L442" i="1" s="1"/>
  <c r="K424" i="1"/>
  <c r="L424" i="1" s="1"/>
  <c r="K414" i="1"/>
  <c r="L414" i="1" s="1"/>
  <c r="K407" i="1"/>
  <c r="L407" i="1" s="1"/>
  <c r="K20" i="1"/>
  <c r="L20" i="1" s="1"/>
  <c r="K18" i="1"/>
  <c r="L18" i="1" s="1"/>
  <c r="K44" i="1"/>
  <c r="L44" i="1" s="1"/>
  <c r="K42" i="1"/>
  <c r="L42" i="1" s="1"/>
  <c r="K39" i="1"/>
  <c r="L39" i="1" s="1"/>
  <c r="K37" i="1"/>
  <c r="L37" i="1" s="1"/>
  <c r="K157" i="1"/>
  <c r="L157" i="1" s="1"/>
  <c r="K141" i="1"/>
  <c r="L141" i="1" s="1"/>
  <c r="K115" i="1"/>
  <c r="L115" i="1" s="1"/>
  <c r="K103" i="1"/>
  <c r="L103" i="1" s="1"/>
  <c r="K100" i="1"/>
  <c r="L100" i="1" s="1"/>
  <c r="K85" i="1"/>
  <c r="L85" i="1" s="1"/>
  <c r="K177" i="1"/>
  <c r="L177" i="1" s="1"/>
  <c r="K221" i="1"/>
  <c r="L221" i="1" s="1"/>
  <c r="K207" i="1"/>
  <c r="L207" i="1" s="1"/>
  <c r="K205" i="1"/>
  <c r="L205" i="1" s="1"/>
  <c r="K188" i="1"/>
  <c r="L188" i="1" s="1"/>
  <c r="K239" i="1"/>
  <c r="L239" i="1" s="1"/>
  <c r="K237" i="1"/>
  <c r="L237" i="1" s="1"/>
  <c r="K235" i="1"/>
  <c r="L235" i="1" s="1"/>
  <c r="K288" i="1"/>
  <c r="L288" i="1" s="1"/>
  <c r="K265" i="1"/>
  <c r="L265" i="1" s="1"/>
  <c r="K258" i="1"/>
  <c r="L258" i="1" s="1"/>
  <c r="K296" i="1"/>
  <c r="L296" i="1" s="1"/>
  <c r="K293" i="1"/>
  <c r="L293" i="1" s="1"/>
  <c r="K291" i="1"/>
  <c r="L291" i="1" s="1"/>
  <c r="K368" i="1"/>
  <c r="L368" i="1" s="1"/>
  <c r="K353" i="1"/>
  <c r="L353" i="1" s="1"/>
  <c r="K343" i="1"/>
  <c r="L343" i="1" s="1"/>
  <c r="K341" i="1"/>
  <c r="L341" i="1" s="1"/>
  <c r="K338" i="1"/>
  <c r="L338" i="1" s="1"/>
  <c r="K453" i="1"/>
  <c r="L453" i="1" s="1"/>
  <c r="K425" i="1"/>
  <c r="L425" i="1" s="1"/>
  <c r="K178" i="3"/>
  <c r="K114" i="3"/>
  <c r="K31" i="3"/>
  <c r="K411" i="3"/>
  <c r="K401" i="3"/>
  <c r="K381" i="3"/>
  <c r="K366" i="3"/>
  <c r="K321" i="3"/>
  <c r="K265" i="3"/>
  <c r="K227" i="3"/>
  <c r="K86" i="3"/>
  <c r="K224" i="3"/>
  <c r="K110" i="3"/>
  <c r="K99" i="3"/>
  <c r="K141" i="3"/>
  <c r="K27" i="3"/>
  <c r="K430" i="3"/>
  <c r="K108" i="3"/>
  <c r="K19" i="3"/>
  <c r="K368" i="3"/>
  <c r="K297" i="3"/>
  <c r="K408" i="3"/>
  <c r="K336" i="3"/>
  <c r="K294" i="3"/>
  <c r="K249" i="3"/>
  <c r="K209" i="3"/>
  <c r="K184" i="3"/>
  <c r="K245" i="3"/>
  <c r="K163" i="3"/>
  <c r="K189" i="3"/>
  <c r="K127" i="3"/>
  <c r="K151" i="3"/>
  <c r="K104" i="3"/>
  <c r="K76" i="3"/>
  <c r="K137" i="3"/>
  <c r="K41" i="3"/>
  <c r="K24" i="3"/>
  <c r="K38" i="3"/>
  <c r="K33" i="3"/>
  <c r="K176" i="3"/>
  <c r="K190" i="3"/>
  <c r="K275" i="3"/>
  <c r="K179" i="3"/>
  <c r="K159" i="3"/>
  <c r="K88" i="3"/>
  <c r="K387" i="3"/>
  <c r="K362" i="3"/>
  <c r="K313" i="3"/>
  <c r="K286" i="3"/>
  <c r="K378" i="3"/>
  <c r="K431" i="3"/>
  <c r="K399" i="3"/>
  <c r="K395" i="3"/>
  <c r="K367" i="3"/>
  <c r="K340" i="3"/>
  <c r="K165" i="3"/>
  <c r="K211" i="3"/>
  <c r="K280" i="3"/>
  <c r="K236" i="3"/>
  <c r="K94" i="3"/>
  <c r="K82" i="3"/>
  <c r="K64" i="3"/>
  <c r="K44" i="3"/>
  <c r="K79" i="3"/>
  <c r="K61" i="3"/>
  <c r="K11" i="3"/>
  <c r="K6" i="3"/>
  <c r="K412" i="3"/>
  <c r="K343" i="3"/>
  <c r="K248" i="3"/>
  <c r="K80" i="3"/>
  <c r="K2" i="3"/>
  <c r="K370" i="3"/>
  <c r="K347" i="3"/>
  <c r="K238" i="3"/>
  <c r="K410" i="3"/>
  <c r="K427" i="3"/>
  <c r="K384" i="3"/>
  <c r="K380" i="3"/>
  <c r="K358" i="3"/>
  <c r="K398" i="3"/>
  <c r="K292" i="3"/>
  <c r="K199" i="3"/>
  <c r="K257" i="3"/>
  <c r="K205" i="3"/>
  <c r="K96" i="3"/>
  <c r="K73" i="3"/>
  <c r="K43" i="3"/>
  <c r="K15" i="3"/>
  <c r="DH462" i="1" l="1"/>
  <c r="EL231" i="1" l="1"/>
  <c r="EK231" i="1"/>
  <c r="EJ231" i="1"/>
  <c r="DD231" i="1"/>
  <c r="DC231" i="1"/>
  <c r="DB231" i="1"/>
  <c r="BW231" i="1"/>
  <c r="BV231" i="1"/>
  <c r="AS231" i="1"/>
  <c r="AR231" i="1"/>
  <c r="M231" i="1"/>
  <c r="EL201" i="1"/>
  <c r="EK201" i="1"/>
  <c r="EJ201" i="1"/>
  <c r="DD201" i="1"/>
  <c r="DC201" i="1"/>
  <c r="DB201" i="1"/>
  <c r="BW201" i="1"/>
  <c r="BV201" i="1"/>
  <c r="AS201" i="1"/>
  <c r="AR201" i="1"/>
  <c r="M201" i="1"/>
  <c r="AT201" i="1" l="1"/>
  <c r="BX201" i="1" s="1"/>
  <c r="DE201" i="1" s="1"/>
  <c r="EM201" i="1" s="1"/>
  <c r="FL201" i="1" s="1"/>
  <c r="AT231" i="1"/>
  <c r="BX231" i="1" s="1"/>
  <c r="DE231" i="1" s="1"/>
  <c r="EM231" i="1" s="1"/>
  <c r="FL231" i="1" s="1"/>
  <c r="EA334" i="1" l="1"/>
  <c r="EA289" i="1"/>
  <c r="EA177" i="1"/>
  <c r="DY442" i="1"/>
  <c r="DW436" i="1"/>
  <c r="DU160" i="1" l="1"/>
  <c r="DU328" i="1"/>
  <c r="DU374" i="1"/>
  <c r="EA363" i="1"/>
  <c r="DY411" i="1" l="1"/>
  <c r="DY368" i="1"/>
  <c r="DY321" i="1"/>
  <c r="DY278" i="1"/>
  <c r="DY284" i="1"/>
  <c r="DY255" i="1"/>
  <c r="DY242" i="1"/>
  <c r="DY245" i="1"/>
  <c r="EL20" i="1"/>
  <c r="EK20" i="1"/>
  <c r="EJ20" i="1"/>
  <c r="DD20" i="1"/>
  <c r="DC20" i="1"/>
  <c r="DB20" i="1"/>
  <c r="BW20" i="1"/>
  <c r="BV20" i="1"/>
  <c r="AS20" i="1"/>
  <c r="AR20" i="1"/>
  <c r="M20" i="1"/>
  <c r="EL17" i="1"/>
  <c r="EK17" i="1"/>
  <c r="EJ17" i="1"/>
  <c r="DD17" i="1"/>
  <c r="DC17" i="1"/>
  <c r="DB17" i="1"/>
  <c r="BW17" i="1"/>
  <c r="BV17" i="1"/>
  <c r="AS17" i="1"/>
  <c r="AR17" i="1"/>
  <c r="M17" i="1"/>
  <c r="EL16" i="1"/>
  <c r="EK16" i="1"/>
  <c r="EJ16" i="1"/>
  <c r="DD16" i="1"/>
  <c r="DC16" i="1"/>
  <c r="DB16" i="1"/>
  <c r="BW16" i="1"/>
  <c r="BV16" i="1"/>
  <c r="AS16" i="1"/>
  <c r="AR16" i="1"/>
  <c r="M16" i="1"/>
  <c r="DW278" i="1"/>
  <c r="DW301" i="1"/>
  <c r="AT17" i="1" l="1"/>
  <c r="BX17" i="1" s="1"/>
  <c r="DE17" i="1" s="1"/>
  <c r="EM17" i="1" s="1"/>
  <c r="FL17" i="1" s="1"/>
  <c r="AT20" i="1"/>
  <c r="BX20" i="1" s="1"/>
  <c r="DE20" i="1" s="1"/>
  <c r="EM20" i="1" s="1"/>
  <c r="FL20" i="1" s="1"/>
  <c r="AT16" i="1"/>
  <c r="BX16" i="1" s="1"/>
  <c r="DE16" i="1" s="1"/>
  <c r="EM16" i="1" s="1"/>
  <c r="FL16" i="1" s="1"/>
  <c r="DU278" i="1"/>
  <c r="DU311" i="1" s="1"/>
  <c r="DU424" i="1"/>
  <c r="DU421" i="1"/>
  <c r="DU429" i="1"/>
  <c r="DS274" i="1"/>
  <c r="DS447" i="1"/>
  <c r="DS456" i="1"/>
  <c r="DS38" i="1"/>
  <c r="DS305" i="1"/>
  <c r="DS296" i="1"/>
  <c r="DS295" i="1"/>
  <c r="DS292" i="1"/>
  <c r="DS291" i="1"/>
  <c r="DS278" i="1"/>
  <c r="DS29" i="1"/>
  <c r="DS30" i="1"/>
  <c r="DU458" i="1" l="1"/>
  <c r="Q68" i="3"/>
  <c r="Q74" i="3"/>
  <c r="Q364" i="3"/>
  <c r="Q76" i="3"/>
  <c r="Q173" i="3"/>
  <c r="Q88" i="3"/>
  <c r="Q89" i="3"/>
  <c r="Q4" i="3"/>
  <c r="Q367" i="3"/>
  <c r="Q87" i="3"/>
  <c r="Q90" i="3"/>
  <c r="Q299" i="3"/>
  <c r="Q374" i="3"/>
  <c r="Q91" i="3"/>
  <c r="Q33" i="3"/>
  <c r="Q369" i="3"/>
  <c r="Q92" i="3"/>
  <c r="Q34" i="3"/>
  <c r="Q371" i="3"/>
  <c r="Q56" i="3"/>
  <c r="Q7" i="3"/>
  <c r="Q82" i="3"/>
  <c r="Q20" i="3"/>
  <c r="Q169" i="3"/>
  <c r="Q3" i="3"/>
  <c r="Q366" i="3"/>
  <c r="Q94" i="3"/>
  <c r="Q144" i="3"/>
  <c r="Q78" i="3"/>
  <c r="Q166" i="3"/>
  <c r="Q95" i="3"/>
  <c r="Q318" i="3"/>
  <c r="Q11" i="3"/>
  <c r="Q142" i="3"/>
  <c r="Q280" i="3"/>
  <c r="Q141" i="3"/>
  <c r="Q279" i="3"/>
  <c r="Q140" i="3"/>
  <c r="Q278" i="3"/>
  <c r="Q64" i="3"/>
  <c r="Q282" i="3"/>
  <c r="Q281" i="3"/>
  <c r="Q121" i="3"/>
  <c r="Q307" i="3"/>
  <c r="Q61" i="3"/>
  <c r="Q60" i="3"/>
  <c r="Q161" i="3"/>
  <c r="Q160" i="3"/>
  <c r="Q159" i="3"/>
  <c r="Q162" i="3"/>
  <c r="Q21" i="3"/>
  <c r="Q31" i="3"/>
  <c r="Q23" i="3"/>
  <c r="Q24" i="3"/>
  <c r="Q25" i="3"/>
  <c r="Q26" i="3"/>
  <c r="Q172" i="3"/>
  <c r="Q27" i="3"/>
  <c r="Q29" i="3"/>
  <c r="Q30" i="3"/>
  <c r="Q296" i="3"/>
  <c r="Q298" i="3"/>
  <c r="Q18" i="3"/>
  <c r="Q297" i="3"/>
  <c r="Q52" i="3"/>
  <c r="Q118" i="3"/>
  <c r="Q238" i="3"/>
  <c r="Q359" i="3"/>
  <c r="Q390" i="3"/>
  <c r="Q114" i="3"/>
  <c r="Q381" i="3"/>
  <c r="Q112" i="3"/>
  <c r="Q385" i="3"/>
  <c r="Q116" i="3"/>
  <c r="Q113" i="3"/>
  <c r="Q383" i="3"/>
  <c r="Q239" i="3"/>
  <c r="Q86" i="3"/>
  <c r="Q388" i="3"/>
  <c r="Q81" i="3"/>
  <c r="Q117" i="3"/>
  <c r="Q387" i="3"/>
  <c r="Q32" i="3"/>
  <c r="Q99" i="3"/>
  <c r="Q100" i="3"/>
  <c r="Q177" i="3"/>
  <c r="Q319" i="3"/>
  <c r="Q181" i="3"/>
  <c r="Q182" i="3"/>
  <c r="Q183" i="3"/>
  <c r="Q184" i="3"/>
  <c r="Q322" i="3"/>
  <c r="Q101" i="3"/>
  <c r="Q185" i="3"/>
  <c r="Q186" i="3"/>
  <c r="Q187" i="3"/>
  <c r="Q109" i="3"/>
  <c r="Q235" i="3"/>
  <c r="Q40" i="3"/>
  <c r="Q205" i="3"/>
  <c r="Q223" i="3"/>
  <c r="Q340" i="3"/>
  <c r="Q37" i="3"/>
  <c r="Q188" i="3"/>
  <c r="Q323" i="3"/>
  <c r="Q38" i="3"/>
  <c r="Q191" i="3"/>
  <c r="Q189" i="3"/>
  <c r="Q190" i="3"/>
  <c r="Q214" i="3"/>
  <c r="Q215" i="3"/>
  <c r="Q326" i="3"/>
  <c r="Q192" i="3"/>
  <c r="Q193" i="3"/>
  <c r="Q325" i="3"/>
  <c r="Q196" i="3"/>
  <c r="Q197" i="3"/>
  <c r="Q327" i="3"/>
  <c r="Q194" i="3"/>
  <c r="Q195" i="3"/>
  <c r="Q41" i="3"/>
  <c r="Q207" i="3"/>
  <c r="Q5" i="3"/>
  <c r="Q51" i="3"/>
  <c r="Q110" i="3"/>
  <c r="Q236" i="3"/>
  <c r="Q237" i="3"/>
  <c r="Q347" i="3"/>
  <c r="Q213" i="3"/>
  <c r="Q39" i="3"/>
  <c r="Q199" i="3"/>
  <c r="Q200" i="3"/>
  <c r="Q201" i="3"/>
  <c r="Q202" i="3"/>
  <c r="Q103" i="3"/>
  <c r="Q218" i="3"/>
  <c r="Q104" i="3"/>
  <c r="Q208" i="3"/>
  <c r="Q209" i="3"/>
  <c r="Q45" i="3"/>
  <c r="Q203" i="3"/>
  <c r="Q330" i="3"/>
  <c r="Q42" i="3"/>
  <c r="Q43" i="3"/>
  <c r="Q206" i="3"/>
  <c r="Q331" i="3"/>
  <c r="Q179" i="3"/>
  <c r="Q180" i="3"/>
  <c r="Q321" i="3"/>
  <c r="Q44" i="3"/>
  <c r="Q210" i="3"/>
  <c r="Q332" i="3"/>
  <c r="Q212" i="3"/>
  <c r="Q333" i="3"/>
  <c r="Q211" i="3"/>
  <c r="Q204" i="3"/>
  <c r="Q335" i="3"/>
  <c r="Q105" i="3"/>
  <c r="Q47" i="3"/>
  <c r="Q216" i="3"/>
  <c r="Q106" i="3"/>
  <c r="Q220" i="3"/>
  <c r="Q221" i="3"/>
  <c r="Q336" i="3"/>
  <c r="Q217" i="3"/>
  <c r="Q337" i="3"/>
  <c r="Q219" i="3"/>
  <c r="Q178" i="3"/>
  <c r="Q222" i="3"/>
  <c r="Q107" i="3"/>
  <c r="Q224" i="3"/>
  <c r="Q341" i="3"/>
  <c r="Q225" i="3"/>
  <c r="Q50" i="3"/>
  <c r="Q342" i="3"/>
  <c r="Q343" i="3"/>
  <c r="Q108" i="3"/>
  <c r="Q344" i="3"/>
  <c r="Q227" i="3"/>
  <c r="Q228" i="3"/>
  <c r="Q229" i="3"/>
  <c r="Q231" i="3"/>
  <c r="Q230" i="3"/>
  <c r="Q300" i="3"/>
  <c r="Q6" i="3"/>
  <c r="Q348" i="3"/>
  <c r="Q249" i="3"/>
  <c r="Q129" i="3"/>
  <c r="Q57" i="3"/>
  <c r="Q58" i="3"/>
  <c r="Q63" i="3"/>
  <c r="Q134" i="3"/>
  <c r="Q133" i="3"/>
  <c r="Q244" i="3"/>
  <c r="Q123" i="3"/>
  <c r="Q124" i="3"/>
  <c r="Q125" i="3"/>
  <c r="Q126" i="3"/>
  <c r="Q243" i="3"/>
  <c r="Q357" i="3"/>
  <c r="Q66" i="3"/>
  <c r="Q148" i="3"/>
  <c r="Q55" i="3"/>
  <c r="Q53" i="3"/>
  <c r="Q392" i="3"/>
  <c r="Q127" i="3"/>
  <c r="Q246" i="3"/>
  <c r="Q247" i="3"/>
  <c r="Q350" i="3"/>
  <c r="Q290" i="3"/>
  <c r="Q393" i="3"/>
  <c r="Q394" i="3"/>
  <c r="Q396" i="3"/>
  <c r="Q397" i="3"/>
  <c r="Q262" i="3"/>
  <c r="Q54" i="3"/>
  <c r="Q399" i="3"/>
  <c r="Q153" i="3"/>
  <c r="Q248" i="3"/>
  <c r="Q163" i="3"/>
  <c r="Q19" i="3"/>
  <c r="Q136" i="3"/>
  <c r="Q135" i="3"/>
  <c r="Q352" i="3"/>
  <c r="Q412" i="3"/>
  <c r="Q15" i="3"/>
  <c r="Q306" i="3"/>
  <c r="Q59" i="3"/>
  <c r="Q137" i="3"/>
  <c r="Q263" i="3"/>
  <c r="Q271" i="3"/>
  <c r="Q266" i="3"/>
  <c r="Q267" i="3"/>
  <c r="Q268" i="3"/>
  <c r="Q269" i="3"/>
  <c r="Q270" i="3"/>
  <c r="Q275" i="3"/>
  <c r="Q276" i="3"/>
  <c r="Q419" i="3"/>
  <c r="Q272" i="3"/>
  <c r="Q413" i="3"/>
  <c r="Q273" i="3"/>
  <c r="Q417" i="3"/>
  <c r="Q274" i="3"/>
  <c r="Q418" i="3"/>
  <c r="Q139" i="3"/>
  <c r="Q310" i="3"/>
  <c r="Q315" i="3"/>
  <c r="Q16" i="3"/>
  <c r="Q292" i="3"/>
  <c r="Q291" i="3"/>
  <c r="Q143" i="3"/>
  <c r="Q251" i="3"/>
  <c r="Q253" i="3"/>
  <c r="Q254" i="3"/>
  <c r="Q259" i="3"/>
  <c r="Q255" i="3"/>
  <c r="Q256" i="3"/>
  <c r="Q257" i="3"/>
  <c r="Q258" i="3"/>
  <c r="Q284" i="3"/>
  <c r="Q421" i="3"/>
  <c r="Q145" i="3"/>
  <c r="Q8" i="3"/>
  <c r="Q288" i="3"/>
  <c r="Q289" i="3"/>
  <c r="Q355" i="3"/>
  <c r="Q428" i="3"/>
  <c r="Q422" i="3"/>
  <c r="Q283" i="3"/>
  <c r="Q65" i="3"/>
  <c r="Q423" i="3"/>
  <c r="AF423" i="3" s="1"/>
  <c r="AW423" i="3" s="1"/>
  <c r="Q286" i="3"/>
  <c r="Q427" i="3"/>
  <c r="AF427" i="3" s="1"/>
  <c r="AW427" i="3" s="1"/>
  <c r="Q287" i="3"/>
  <c r="Q245" i="3"/>
  <c r="Q391" i="3"/>
  <c r="Q96" i="3"/>
  <c r="Q174" i="3"/>
  <c r="Q83" i="3"/>
  <c r="Q170" i="3"/>
  <c r="Q85" i="3"/>
  <c r="Q84" i="3"/>
  <c r="Q10" i="3"/>
  <c r="Q171" i="3"/>
  <c r="Q98" i="3"/>
  <c r="Q176" i="3"/>
  <c r="Q36" i="3"/>
  <c r="Q175" i="3"/>
  <c r="Q79" i="3"/>
  <c r="Q151" i="3"/>
  <c r="Q152" i="3"/>
  <c r="Q353" i="3"/>
  <c r="Q401" i="3"/>
  <c r="Q62" i="3"/>
  <c r="Q304" i="3"/>
  <c r="Q411" i="3"/>
  <c r="Q132" i="3"/>
  <c r="Q403" i="3"/>
  <c r="Q404" i="3"/>
  <c r="Q406" i="3"/>
  <c r="Q407" i="3"/>
  <c r="Q409" i="3"/>
  <c r="Q9" i="3"/>
  <c r="Q294" i="3"/>
  <c r="Q429" i="3"/>
  <c r="Q295" i="3"/>
  <c r="Q360" i="3"/>
  <c r="Q435" i="3"/>
  <c r="Q430" i="3"/>
  <c r="Q311" i="3"/>
  <c r="Q154" i="3"/>
  <c r="Q293" i="3"/>
  <c r="Q358" i="3"/>
  <c r="Q433" i="3"/>
  <c r="Q432" i="3"/>
  <c r="Q431" i="3"/>
  <c r="Q155" i="3"/>
  <c r="Q434" i="3"/>
  <c r="Q157" i="3"/>
  <c r="Q398" i="3"/>
  <c r="Q158" i="3"/>
  <c r="Q277" i="3"/>
  <c r="Q167" i="3"/>
  <c r="Q168" i="3"/>
  <c r="Q80" i="3"/>
  <c r="Q379" i="3"/>
  <c r="AF368" i="3"/>
  <c r="AW368" i="3" s="1"/>
  <c r="AF370" i="3"/>
  <c r="AF260" i="3"/>
  <c r="AF261" i="3"/>
  <c r="AF380" i="3"/>
  <c r="AW380" i="3" s="1"/>
  <c r="AF302" i="3"/>
  <c r="AF250" i="3"/>
  <c r="AF395" i="3"/>
  <c r="AW395" i="3" s="1"/>
  <c r="AF265" i="3"/>
  <c r="AF420" i="3"/>
  <c r="AF424" i="3"/>
  <c r="AF312" i="3"/>
  <c r="AF410" i="3"/>
  <c r="AF402" i="3"/>
  <c r="AW402" i="3" s="1"/>
  <c r="AF408" i="3"/>
  <c r="AF378" i="3"/>
  <c r="AF373" i="3"/>
  <c r="AF382" i="3"/>
  <c r="AW382" i="3" s="1"/>
  <c r="AF363" i="3"/>
  <c r="AW363" i="3" s="1"/>
  <c r="AF67" i="3"/>
  <c r="AW67" i="3" s="1"/>
  <c r="AF372" i="3"/>
  <c r="AF389" i="3"/>
  <c r="AF384" i="3"/>
  <c r="AF386" i="3"/>
  <c r="AF241" i="3"/>
  <c r="AF313" i="3"/>
  <c r="AF285" i="3"/>
  <c r="AW285" i="3" s="1"/>
  <c r="BM285" i="3" s="1"/>
  <c r="CC285" i="3" s="1"/>
  <c r="AF405" i="3"/>
  <c r="AF376" i="3"/>
  <c r="L361" i="3"/>
  <c r="L69" i="3"/>
  <c r="L70" i="3"/>
  <c r="L2" i="3"/>
  <c r="L164" i="3"/>
  <c r="L165" i="3"/>
  <c r="L365" i="3"/>
  <c r="L71" i="3"/>
  <c r="L75" i="3"/>
  <c r="L72" i="3"/>
  <c r="L73" i="3"/>
  <c r="L68" i="3"/>
  <c r="L67" i="3"/>
  <c r="L74" i="3"/>
  <c r="L363" i="3"/>
  <c r="L364" i="3"/>
  <c r="L76" i="3"/>
  <c r="L173" i="3"/>
  <c r="L88" i="3"/>
  <c r="L89" i="3"/>
  <c r="L4" i="3"/>
  <c r="L367" i="3"/>
  <c r="L87" i="3"/>
  <c r="L90" i="3"/>
  <c r="L299" i="3"/>
  <c r="L373" i="3"/>
  <c r="L374" i="3"/>
  <c r="L91" i="3"/>
  <c r="L33" i="3"/>
  <c r="L368" i="3"/>
  <c r="L369" i="3"/>
  <c r="L92" i="3"/>
  <c r="L34" i="3"/>
  <c r="L370" i="3"/>
  <c r="L371" i="3"/>
  <c r="L372" i="3"/>
  <c r="L56" i="3"/>
  <c r="L260" i="3"/>
  <c r="L261" i="3"/>
  <c r="L7" i="3"/>
  <c r="L82" i="3"/>
  <c r="L20" i="3"/>
  <c r="L169" i="3"/>
  <c r="L3" i="3"/>
  <c r="L366" i="3"/>
  <c r="L94" i="3"/>
  <c r="L144" i="3"/>
  <c r="L78" i="3"/>
  <c r="L166" i="3"/>
  <c r="L95" i="3"/>
  <c r="L318" i="3"/>
  <c r="L11" i="3"/>
  <c r="L142" i="3"/>
  <c r="L280" i="3"/>
  <c r="L141" i="3"/>
  <c r="L279" i="3"/>
  <c r="L140" i="3"/>
  <c r="L278" i="3"/>
  <c r="L64" i="3"/>
  <c r="L282" i="3"/>
  <c r="L281" i="3"/>
  <c r="L121" i="3"/>
  <c r="L307" i="3"/>
  <c r="L61" i="3"/>
  <c r="L60" i="3"/>
  <c r="L161" i="3"/>
  <c r="L160" i="3"/>
  <c r="L159" i="3"/>
  <c r="L162" i="3"/>
  <c r="L21" i="3"/>
  <c r="L31" i="3"/>
  <c r="L23" i="3"/>
  <c r="L24" i="3"/>
  <c r="L25" i="3"/>
  <c r="L26" i="3"/>
  <c r="L172" i="3"/>
  <c r="L27" i="3"/>
  <c r="L29" i="3"/>
  <c r="L30" i="3"/>
  <c r="L296" i="3"/>
  <c r="L298" i="3"/>
  <c r="L18" i="3"/>
  <c r="L297" i="3"/>
  <c r="L52" i="3"/>
  <c r="L118" i="3"/>
  <c r="L238" i="3"/>
  <c r="L359" i="3"/>
  <c r="L389" i="3"/>
  <c r="L390" i="3"/>
  <c r="L114" i="3"/>
  <c r="L380" i="3"/>
  <c r="L381" i="3"/>
  <c r="L112" i="3"/>
  <c r="L384" i="3"/>
  <c r="L385" i="3"/>
  <c r="L116" i="3"/>
  <c r="L113" i="3"/>
  <c r="L382" i="3"/>
  <c r="L383" i="3"/>
  <c r="L239" i="3"/>
  <c r="L86" i="3"/>
  <c r="L388" i="3"/>
  <c r="L81" i="3"/>
  <c r="L386" i="3"/>
  <c r="L117" i="3"/>
  <c r="L241" i="3"/>
  <c r="L387" i="3"/>
  <c r="L32" i="3"/>
  <c r="L99" i="3"/>
  <c r="L100" i="3"/>
  <c r="L177" i="3"/>
  <c r="L319" i="3"/>
  <c r="L181" i="3"/>
  <c r="L182" i="3"/>
  <c r="L183" i="3"/>
  <c r="L184" i="3"/>
  <c r="L322" i="3"/>
  <c r="L101" i="3"/>
  <c r="L185" i="3"/>
  <c r="L186" i="3"/>
  <c r="L187" i="3"/>
  <c r="L109" i="3"/>
  <c r="L235" i="3"/>
  <c r="L40" i="3"/>
  <c r="L205" i="3"/>
  <c r="L223" i="3"/>
  <c r="L340" i="3"/>
  <c r="L37" i="3"/>
  <c r="L188" i="3"/>
  <c r="L323" i="3"/>
  <c r="L38" i="3"/>
  <c r="L191" i="3"/>
  <c r="L189" i="3"/>
  <c r="L190" i="3"/>
  <c r="L214" i="3"/>
  <c r="L215" i="3"/>
  <c r="L326" i="3"/>
  <c r="L192" i="3"/>
  <c r="L193" i="3"/>
  <c r="L325" i="3"/>
  <c r="L196" i="3"/>
  <c r="L197" i="3"/>
  <c r="L327" i="3"/>
  <c r="L194" i="3"/>
  <c r="L195" i="3"/>
  <c r="L41" i="3"/>
  <c r="L207" i="3"/>
  <c r="L5" i="3"/>
  <c r="L51" i="3"/>
  <c r="L110" i="3"/>
  <c r="L236" i="3"/>
  <c r="L237" i="3"/>
  <c r="L347" i="3"/>
  <c r="L213" i="3"/>
  <c r="L39" i="3"/>
  <c r="L199" i="3"/>
  <c r="L200" i="3"/>
  <c r="L201" i="3"/>
  <c r="L202" i="3"/>
  <c r="L103" i="3"/>
  <c r="L218" i="3"/>
  <c r="L104" i="3"/>
  <c r="L208" i="3"/>
  <c r="L209" i="3"/>
  <c r="L45" i="3"/>
  <c r="L203" i="3"/>
  <c r="L330" i="3"/>
  <c r="L42" i="3"/>
  <c r="L43" i="3"/>
  <c r="L206" i="3"/>
  <c r="L331" i="3"/>
  <c r="L179" i="3"/>
  <c r="L180" i="3"/>
  <c r="L321" i="3"/>
  <c r="L44" i="3"/>
  <c r="L210" i="3"/>
  <c r="L332" i="3"/>
  <c r="L212" i="3"/>
  <c r="L333" i="3"/>
  <c r="L211" i="3"/>
  <c r="L204" i="3"/>
  <c r="L335" i="3"/>
  <c r="L105" i="3"/>
  <c r="L47" i="3"/>
  <c r="L216" i="3"/>
  <c r="L106" i="3"/>
  <c r="L220" i="3"/>
  <c r="L221" i="3"/>
  <c r="L336" i="3"/>
  <c r="L217" i="3"/>
  <c r="L337" i="3"/>
  <c r="L219" i="3"/>
  <c r="L178" i="3"/>
  <c r="L222" i="3"/>
  <c r="L107" i="3"/>
  <c r="L224" i="3"/>
  <c r="L341" i="3"/>
  <c r="L225" i="3"/>
  <c r="L50" i="3"/>
  <c r="L342" i="3"/>
  <c r="L343" i="3"/>
  <c r="L108" i="3"/>
  <c r="L344" i="3"/>
  <c r="L227" i="3"/>
  <c r="L228" i="3"/>
  <c r="L229" i="3"/>
  <c r="L231" i="3"/>
  <c r="L230" i="3"/>
  <c r="L300" i="3"/>
  <c r="L6" i="3"/>
  <c r="L348" i="3"/>
  <c r="L249" i="3"/>
  <c r="L129" i="3"/>
  <c r="L302" i="3"/>
  <c r="L57" i="3"/>
  <c r="L58" i="3"/>
  <c r="L63" i="3"/>
  <c r="L134" i="3"/>
  <c r="L133" i="3"/>
  <c r="L244" i="3"/>
  <c r="L123" i="3"/>
  <c r="L124" i="3"/>
  <c r="L125" i="3"/>
  <c r="L126" i="3"/>
  <c r="L243" i="3"/>
  <c r="L313" i="3"/>
  <c r="L357" i="3"/>
  <c r="L66" i="3"/>
  <c r="L148" i="3"/>
  <c r="L55" i="3"/>
  <c r="L250" i="3"/>
  <c r="L53" i="3"/>
  <c r="L392" i="3"/>
  <c r="L127" i="3"/>
  <c r="L246" i="3"/>
  <c r="L247" i="3"/>
  <c r="L350" i="3"/>
  <c r="L290" i="3"/>
  <c r="L393" i="3"/>
  <c r="L394" i="3"/>
  <c r="L395" i="3"/>
  <c r="L396" i="3"/>
  <c r="L397" i="3"/>
  <c r="L262" i="3"/>
  <c r="L54" i="3"/>
  <c r="L399" i="3"/>
  <c r="L153" i="3"/>
  <c r="L248" i="3"/>
  <c r="L163" i="3"/>
  <c r="L19" i="3"/>
  <c r="L136" i="3"/>
  <c r="L135" i="3"/>
  <c r="L352" i="3"/>
  <c r="L412" i="3"/>
  <c r="L15" i="3"/>
  <c r="L306" i="3"/>
  <c r="L59" i="3"/>
  <c r="L137" i="3"/>
  <c r="L263" i="3"/>
  <c r="L271" i="3"/>
  <c r="L265" i="3"/>
  <c r="L266" i="3"/>
  <c r="L267" i="3"/>
  <c r="L268" i="3"/>
  <c r="L269" i="3"/>
  <c r="L270" i="3"/>
  <c r="L275" i="3"/>
  <c r="L276" i="3"/>
  <c r="L419" i="3"/>
  <c r="L272" i="3"/>
  <c r="L273" i="3"/>
  <c r="L417" i="3"/>
  <c r="L274" i="3"/>
  <c r="L418" i="3"/>
  <c r="L139" i="3"/>
  <c r="L310" i="3"/>
  <c r="L315" i="3"/>
  <c r="L16" i="3"/>
  <c r="L292" i="3"/>
  <c r="L291" i="3"/>
  <c r="L143" i="3"/>
  <c r="L251" i="3"/>
  <c r="L253" i="3"/>
  <c r="L254" i="3"/>
  <c r="L259" i="3"/>
  <c r="L255" i="3"/>
  <c r="L256" i="3"/>
  <c r="L257" i="3"/>
  <c r="L258" i="3"/>
  <c r="L284" i="3"/>
  <c r="L420" i="3"/>
  <c r="L421" i="3"/>
  <c r="L285" i="3"/>
  <c r="L145" i="3"/>
  <c r="L8" i="3"/>
  <c r="L288" i="3"/>
  <c r="L289" i="3"/>
  <c r="L355" i="3"/>
  <c r="L428" i="3"/>
  <c r="L422" i="3"/>
  <c r="L283" i="3"/>
  <c r="L65" i="3"/>
  <c r="L423" i="3"/>
  <c r="L286" i="3"/>
  <c r="L427" i="3"/>
  <c r="L424" i="3"/>
  <c r="L287" i="3"/>
  <c r="L245" i="3"/>
  <c r="L391" i="3"/>
  <c r="L96" i="3"/>
  <c r="L174" i="3"/>
  <c r="L83" i="3"/>
  <c r="L170" i="3"/>
  <c r="L85" i="3"/>
  <c r="L84" i="3"/>
  <c r="L10" i="3"/>
  <c r="L171" i="3"/>
  <c r="L98" i="3"/>
  <c r="L176" i="3"/>
  <c r="L36" i="3"/>
  <c r="L175" i="3"/>
  <c r="L312" i="3"/>
  <c r="L79" i="3"/>
  <c r="L151" i="3"/>
  <c r="L152" i="3"/>
  <c r="L353" i="3"/>
  <c r="L401" i="3"/>
  <c r="L62" i="3"/>
  <c r="L304" i="3"/>
  <c r="L410" i="3"/>
  <c r="L411" i="3"/>
  <c r="L132" i="3"/>
  <c r="L402" i="3"/>
  <c r="L403" i="3"/>
  <c r="L404" i="3"/>
  <c r="L405" i="3"/>
  <c r="L406" i="3"/>
  <c r="L407" i="3"/>
  <c r="L408" i="3"/>
  <c r="L409" i="3"/>
  <c r="L9" i="3"/>
  <c r="L294" i="3"/>
  <c r="L429" i="3"/>
  <c r="L295" i="3"/>
  <c r="L360" i="3"/>
  <c r="L435" i="3"/>
  <c r="L430" i="3"/>
  <c r="L311" i="3"/>
  <c r="L154" i="3"/>
  <c r="L293" i="3"/>
  <c r="L358" i="3"/>
  <c r="L433" i="3"/>
  <c r="L432" i="3"/>
  <c r="L431" i="3"/>
  <c r="L155" i="3"/>
  <c r="L434" i="3"/>
  <c r="L157" i="3"/>
  <c r="L398" i="3"/>
  <c r="L158" i="3"/>
  <c r="L277" i="3"/>
  <c r="L167" i="3"/>
  <c r="L168" i="3"/>
  <c r="L80" i="3"/>
  <c r="L378" i="3"/>
  <c r="L379" i="3"/>
  <c r="L376" i="3"/>
  <c r="L377" i="3"/>
  <c r="AW302" i="3" l="1"/>
  <c r="AW261" i="3"/>
  <c r="AW312" i="3"/>
  <c r="BM312" i="3" s="1"/>
  <c r="CC312" i="3" s="1"/>
  <c r="AW372" i="3"/>
  <c r="AW250" i="3"/>
  <c r="AW384" i="3"/>
  <c r="AW370" i="3"/>
  <c r="AW376" i="3"/>
  <c r="AW241" i="3"/>
  <c r="AW389" i="3"/>
  <c r="AW378" i="3"/>
  <c r="AW410" i="3"/>
  <c r="AW386" i="3"/>
  <c r="AW260" i="3"/>
  <c r="AW373" i="3"/>
  <c r="AW420" i="3"/>
  <c r="AW408" i="3"/>
  <c r="AW313" i="3"/>
  <c r="BM313" i="3" s="1"/>
  <c r="CC313" i="3" s="1"/>
  <c r="AW405" i="3"/>
  <c r="AW424" i="3"/>
  <c r="AW265" i="3"/>
  <c r="BM250" i="3" l="1"/>
  <c r="CC250" i="3" s="1"/>
  <c r="BM241" i="3"/>
  <c r="CC241" i="3" s="1"/>
  <c r="BM260" i="3"/>
  <c r="CC260" i="3" s="1"/>
  <c r="BM265" i="3"/>
  <c r="CC265" i="3" s="1"/>
  <c r="BM67" i="3"/>
  <c r="CC67" i="3" s="1"/>
  <c r="BM302" i="3"/>
  <c r="CC302" i="3" s="1"/>
  <c r="BM261" i="3"/>
  <c r="CC261" i="3" s="1"/>
  <c r="AU461" i="1" l="1"/>
  <c r="BY461" i="1"/>
  <c r="CB461" i="1"/>
  <c r="DF461" i="1"/>
  <c r="DI461" i="1"/>
  <c r="M383" i="1"/>
  <c r="EI382" i="1"/>
  <c r="EH382" i="1"/>
  <c r="EG382" i="1"/>
  <c r="EE382" i="1"/>
  <c r="ED382" i="1"/>
  <c r="EC382" i="1"/>
  <c r="EB382" i="1"/>
  <c r="EA382" i="1"/>
  <c r="DZ382" i="1"/>
  <c r="DY382" i="1"/>
  <c r="DX382" i="1"/>
  <c r="DW382" i="1"/>
  <c r="DV382" i="1"/>
  <c r="DU382" i="1"/>
  <c r="DT382" i="1"/>
  <c r="DS382" i="1"/>
  <c r="DR382" i="1"/>
  <c r="DQ382" i="1"/>
  <c r="DP382" i="1"/>
  <c r="DO382" i="1"/>
  <c r="DN382" i="1"/>
  <c r="DM382" i="1"/>
  <c r="DL382" i="1"/>
  <c r="DK382" i="1"/>
  <c r="DJ382" i="1"/>
  <c r="DH382" i="1"/>
  <c r="DG382" i="1"/>
  <c r="DA382" i="1"/>
  <c r="CZ382" i="1"/>
  <c r="CY382" i="1"/>
  <c r="CX382" i="1"/>
  <c r="CW382" i="1"/>
  <c r="CV382" i="1"/>
  <c r="CU382" i="1"/>
  <c r="CT382" i="1"/>
  <c r="CS382" i="1"/>
  <c r="CR382" i="1"/>
  <c r="CQ382" i="1"/>
  <c r="CO382" i="1"/>
  <c r="CN382" i="1"/>
  <c r="CM382" i="1"/>
  <c r="CL382" i="1"/>
  <c r="CK382" i="1"/>
  <c r="CJ382" i="1"/>
  <c r="CI382" i="1"/>
  <c r="CH382" i="1"/>
  <c r="CG382" i="1"/>
  <c r="CF382" i="1"/>
  <c r="CE382" i="1"/>
  <c r="CD382" i="1"/>
  <c r="CC382" i="1"/>
  <c r="CA382" i="1"/>
  <c r="BZ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M382" i="1"/>
  <c r="EL381" i="1"/>
  <c r="EK381" i="1"/>
  <c r="EJ381" i="1"/>
  <c r="DD381" i="1"/>
  <c r="DC381" i="1"/>
  <c r="DB381" i="1"/>
  <c r="BW381" i="1"/>
  <c r="BV381" i="1"/>
  <c r="M381" i="1"/>
  <c r="EL380" i="1"/>
  <c r="EK380" i="1"/>
  <c r="EJ380" i="1"/>
  <c r="DD380" i="1"/>
  <c r="DB380" i="1"/>
  <c r="CP380" i="1"/>
  <c r="CP382" i="1" s="1"/>
  <c r="BW380" i="1"/>
  <c r="BV380" i="1"/>
  <c r="M380" i="1"/>
  <c r="DC380" i="1" l="1"/>
  <c r="DC382" i="1" s="1"/>
  <c r="BW382" i="1"/>
  <c r="EJ382" i="1"/>
  <c r="BX381" i="1"/>
  <c r="DE381" i="1" s="1"/>
  <c r="EM381" i="1" s="1"/>
  <c r="FL381" i="1" s="1"/>
  <c r="EL382" i="1"/>
  <c r="EK382" i="1"/>
  <c r="BV382" i="1"/>
  <c r="DD382" i="1"/>
  <c r="DB382" i="1"/>
  <c r="BX380" i="1"/>
  <c r="DE380" i="1" l="1"/>
  <c r="BX382" i="1"/>
  <c r="P532" i="1"/>
  <c r="N500" i="1"/>
  <c r="P500" i="1"/>
  <c r="EM380" i="1" l="1"/>
  <c r="FL380" i="1" s="1"/>
  <c r="DE382" i="1"/>
  <c r="EK457" i="1"/>
  <c r="EK456" i="1"/>
  <c r="EK455" i="1"/>
  <c r="EK454" i="1"/>
  <c r="EK453" i="1"/>
  <c r="EK452" i="1"/>
  <c r="EK451" i="1"/>
  <c r="EK450" i="1"/>
  <c r="EK449" i="1"/>
  <c r="EK448" i="1"/>
  <c r="EK447" i="1"/>
  <c r="EK446" i="1"/>
  <c r="EK445" i="1"/>
  <c r="EK444" i="1"/>
  <c r="EK443" i="1"/>
  <c r="EK442" i="1"/>
  <c r="EK441" i="1"/>
  <c r="EK440" i="1"/>
  <c r="EK435" i="1"/>
  <c r="EK434" i="1"/>
  <c r="EK433" i="1"/>
  <c r="EK432" i="1"/>
  <c r="EK431" i="1"/>
  <c r="EK430" i="1"/>
  <c r="EK429" i="1"/>
  <c r="EK428" i="1"/>
  <c r="EK427" i="1"/>
  <c r="EK426" i="1"/>
  <c r="EK425" i="1"/>
  <c r="EK424" i="1"/>
  <c r="EK423" i="1"/>
  <c r="EK422" i="1"/>
  <c r="EK421" i="1"/>
  <c r="EK420" i="1"/>
  <c r="EK419" i="1"/>
  <c r="EK418" i="1"/>
  <c r="EK417" i="1"/>
  <c r="EK416" i="1"/>
  <c r="EK415" i="1"/>
  <c r="EK413" i="1"/>
  <c r="EK412" i="1"/>
  <c r="EK411" i="1"/>
  <c r="EK410" i="1"/>
  <c r="EK409" i="1"/>
  <c r="EK408" i="1"/>
  <c r="EK407" i="1"/>
  <c r="EK406" i="1"/>
  <c r="EK405" i="1"/>
  <c r="EK404" i="1"/>
  <c r="EK403" i="1"/>
  <c r="EK402" i="1"/>
  <c r="EK401" i="1"/>
  <c r="EK400" i="1"/>
  <c r="EK399" i="1"/>
  <c r="EK397" i="1"/>
  <c r="EK396" i="1"/>
  <c r="EK395" i="1"/>
  <c r="EK394" i="1"/>
  <c r="EK393" i="1"/>
  <c r="EK392" i="1"/>
  <c r="EK391" i="1"/>
  <c r="EK390" i="1"/>
  <c r="EK389" i="1"/>
  <c r="EK388" i="1"/>
  <c r="EK387" i="1"/>
  <c r="EK386" i="1"/>
  <c r="EK385" i="1"/>
  <c r="EK384" i="1"/>
  <c r="EK376" i="1"/>
  <c r="EK377" i="1"/>
  <c r="EK373" i="1"/>
  <c r="EK372" i="1"/>
  <c r="EK371" i="1"/>
  <c r="EK368" i="1"/>
  <c r="EK367" i="1"/>
  <c r="EK365" i="1"/>
  <c r="EK364" i="1"/>
  <c r="EK363" i="1"/>
  <c r="EK360" i="1"/>
  <c r="EK359" i="1"/>
  <c r="EK358" i="1"/>
  <c r="EK357" i="1"/>
  <c r="EK356" i="1"/>
  <c r="EK353" i="1"/>
  <c r="EK352" i="1"/>
  <c r="EK351" i="1"/>
  <c r="EK349" i="1"/>
  <c r="EK348" i="1"/>
  <c r="EK347" i="1"/>
  <c r="EK346" i="1"/>
  <c r="EK343" i="1"/>
  <c r="EK342" i="1"/>
  <c r="EK341" i="1"/>
  <c r="EK339" i="1"/>
  <c r="EK338" i="1"/>
  <c r="EK337" i="1"/>
  <c r="EK335" i="1"/>
  <c r="EK334" i="1"/>
  <c r="EK327" i="1"/>
  <c r="EK326" i="1"/>
  <c r="EK321" i="1"/>
  <c r="EK319" i="1"/>
  <c r="EK316" i="1"/>
  <c r="EK315" i="1"/>
  <c r="EK310" i="1"/>
  <c r="EK309" i="1"/>
  <c r="EK308" i="1"/>
  <c r="EK307" i="1"/>
  <c r="EK305" i="1"/>
  <c r="EK304" i="1"/>
  <c r="EK303" i="1"/>
  <c r="EK302" i="1"/>
  <c r="EK301" i="1"/>
  <c r="EK298" i="1"/>
  <c r="EK297" i="1"/>
  <c r="EK296" i="1"/>
  <c r="EK295" i="1"/>
  <c r="EK293" i="1"/>
  <c r="EK292" i="1"/>
  <c r="EK291" i="1"/>
  <c r="EK289" i="1"/>
  <c r="EK287" i="1"/>
  <c r="EK285" i="1"/>
  <c r="EK284" i="1"/>
  <c r="EK283" i="1"/>
  <c r="EK282" i="1"/>
  <c r="EK281" i="1"/>
  <c r="EK280" i="1"/>
  <c r="EK279" i="1"/>
  <c r="EK277" i="1"/>
  <c r="EK276" i="1"/>
  <c r="EK275" i="1"/>
  <c r="EK274" i="1"/>
  <c r="EK273" i="1"/>
  <c r="EK271" i="1"/>
  <c r="EK270" i="1"/>
  <c r="EK269" i="1"/>
  <c r="EK268" i="1"/>
  <c r="EK267" i="1"/>
  <c r="EK266" i="1"/>
  <c r="EK265" i="1"/>
  <c r="EK264" i="1"/>
  <c r="EK262" i="1"/>
  <c r="EK258" i="1"/>
  <c r="EK256" i="1"/>
  <c r="EK255" i="1"/>
  <c r="EK253" i="1"/>
  <c r="EK251" i="1"/>
  <c r="EK249" i="1"/>
  <c r="EK248" i="1"/>
  <c r="EK247" i="1"/>
  <c r="EK246" i="1"/>
  <c r="EK245" i="1"/>
  <c r="EK243" i="1"/>
  <c r="EK242" i="1"/>
  <c r="EK240" i="1"/>
  <c r="EK239" i="1"/>
  <c r="EK238" i="1"/>
  <c r="EK237" i="1"/>
  <c r="EK236" i="1"/>
  <c r="EK235" i="1"/>
  <c r="EK234" i="1"/>
  <c r="EK233" i="1"/>
  <c r="EK230" i="1"/>
  <c r="EK229" i="1"/>
  <c r="EK228" i="1"/>
  <c r="EK227" i="1"/>
  <c r="EK226" i="1"/>
  <c r="EK225" i="1"/>
  <c r="EK224" i="1"/>
  <c r="EK223" i="1"/>
  <c r="EK221" i="1"/>
  <c r="EK220" i="1"/>
  <c r="EK218" i="1"/>
  <c r="EK217" i="1"/>
  <c r="EK216" i="1"/>
  <c r="EK215" i="1"/>
  <c r="EK214" i="1"/>
  <c r="EK213" i="1"/>
  <c r="EK212" i="1"/>
  <c r="EK211" i="1"/>
  <c r="EK210" i="1"/>
  <c r="EK209" i="1"/>
  <c r="EK208" i="1"/>
  <c r="EK207" i="1"/>
  <c r="EK206" i="1"/>
  <c r="EK205" i="1"/>
  <c r="EK204" i="1"/>
  <c r="EK203" i="1"/>
  <c r="EK202" i="1"/>
  <c r="EK200" i="1"/>
  <c r="EK199" i="1"/>
  <c r="EK198" i="1"/>
  <c r="EK197" i="1"/>
  <c r="EK196" i="1"/>
  <c r="EK195" i="1"/>
  <c r="EK194" i="1"/>
  <c r="EK193" i="1"/>
  <c r="EK192" i="1"/>
  <c r="EK191" i="1"/>
  <c r="EK190" i="1"/>
  <c r="EK189" i="1"/>
  <c r="EK188" i="1"/>
  <c r="EK187" i="1"/>
  <c r="EK186" i="1"/>
  <c r="EK185" i="1"/>
  <c r="EK184" i="1"/>
  <c r="EK183" i="1"/>
  <c r="EK182" i="1"/>
  <c r="EK181" i="1"/>
  <c r="EK180" i="1"/>
  <c r="EK179" i="1"/>
  <c r="EK178" i="1"/>
  <c r="EK177" i="1"/>
  <c r="EK176" i="1"/>
  <c r="EK173" i="1"/>
  <c r="EK172" i="1"/>
  <c r="EK171" i="1"/>
  <c r="EK170" i="1"/>
  <c r="EK168" i="1"/>
  <c r="EK167" i="1"/>
  <c r="EK166" i="1"/>
  <c r="EK164" i="1"/>
  <c r="EK163" i="1"/>
  <c r="EK162" i="1"/>
  <c r="EK158" i="1"/>
  <c r="EK157" i="1"/>
  <c r="EK156" i="1"/>
  <c r="EK155" i="1"/>
  <c r="EK154" i="1"/>
  <c r="EK153" i="1"/>
  <c r="EK152" i="1"/>
  <c r="EK151" i="1"/>
  <c r="EK150" i="1"/>
  <c r="EK149" i="1"/>
  <c r="EK147" i="1"/>
  <c r="EK145" i="1"/>
  <c r="EK144" i="1"/>
  <c r="EK143" i="1"/>
  <c r="EK142" i="1"/>
  <c r="EK141" i="1"/>
  <c r="EK140" i="1"/>
  <c r="EK139" i="1"/>
  <c r="EK137" i="1"/>
  <c r="EK136" i="1"/>
  <c r="EK135" i="1"/>
  <c r="EK134" i="1"/>
  <c r="EK133" i="1"/>
  <c r="EK132" i="1"/>
  <c r="EK131" i="1"/>
  <c r="EK129" i="1"/>
  <c r="EK128" i="1"/>
  <c r="EK127" i="1"/>
  <c r="EK125" i="1"/>
  <c r="EK124" i="1"/>
  <c r="EK123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9" i="1"/>
  <c r="EK108" i="1"/>
  <c r="EK106" i="1"/>
  <c r="EK105" i="1"/>
  <c r="EK104" i="1"/>
  <c r="EK103" i="1"/>
  <c r="EK101" i="1"/>
  <c r="EK100" i="1"/>
  <c r="EK99" i="1"/>
  <c r="EK98" i="1"/>
  <c r="EK97" i="1"/>
  <c r="EK96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3" i="1"/>
  <c r="EK82" i="1"/>
  <c r="EK81" i="1"/>
  <c r="EK80" i="1"/>
  <c r="EK78" i="1"/>
  <c r="EK77" i="1"/>
  <c r="EK76" i="1"/>
  <c r="EK73" i="1"/>
  <c r="EK72" i="1"/>
  <c r="EK71" i="1"/>
  <c r="EK70" i="1"/>
  <c r="EK69" i="1"/>
  <c r="EK66" i="1"/>
  <c r="EK65" i="1"/>
  <c r="EK64" i="1"/>
  <c r="EK63" i="1"/>
  <c r="EK62" i="1"/>
  <c r="EK61" i="1"/>
  <c r="EK60" i="1"/>
  <c r="EK59" i="1"/>
  <c r="EK58" i="1"/>
  <c r="EK57" i="1"/>
  <c r="EK56" i="1"/>
  <c r="EK55" i="1"/>
  <c r="EK52" i="1"/>
  <c r="EK50" i="1"/>
  <c r="EK49" i="1"/>
  <c r="EK48" i="1"/>
  <c r="EK47" i="1"/>
  <c r="EK46" i="1"/>
  <c r="EK45" i="1"/>
  <c r="EK44" i="1"/>
  <c r="EK43" i="1"/>
  <c r="EK42" i="1"/>
  <c r="EK41" i="1"/>
  <c r="EK39" i="1"/>
  <c r="EK38" i="1"/>
  <c r="EK37" i="1"/>
  <c r="EK35" i="1"/>
  <c r="EK34" i="1"/>
  <c r="EK32" i="1"/>
  <c r="EK31" i="1"/>
  <c r="EK30" i="1"/>
  <c r="EK29" i="1"/>
  <c r="EK28" i="1"/>
  <c r="EK26" i="1"/>
  <c r="EK21" i="1"/>
  <c r="EK19" i="1"/>
  <c r="EK18" i="1"/>
  <c r="EK15" i="1"/>
  <c r="EK14" i="1"/>
  <c r="EK13" i="1"/>
  <c r="EK10" i="1"/>
  <c r="EK9" i="1"/>
  <c r="EK8" i="1"/>
  <c r="EK7" i="1"/>
  <c r="EK6" i="1"/>
  <c r="EK5" i="1"/>
  <c r="EK4" i="1"/>
  <c r="EK3" i="1"/>
  <c r="EM382" i="1" l="1"/>
  <c r="FL382" i="1" s="1"/>
  <c r="EK317" i="1"/>
  <c r="EK378" i="1"/>
  <c r="EK74" i="1"/>
  <c r="EK22" i="1"/>
  <c r="EK11" i="1"/>
  <c r="EK374" i="1"/>
  <c r="DR435" i="1" l="1"/>
  <c r="DR176" i="1"/>
  <c r="DQ288" i="1"/>
  <c r="DQ286" i="1"/>
  <c r="EK286" i="1" s="1"/>
  <c r="DQ25" i="1"/>
  <c r="EK25" i="1" s="1"/>
  <c r="DQ320" i="1"/>
  <c r="EK320" i="1" s="1"/>
  <c r="DQ79" i="1"/>
  <c r="EK79" i="1" s="1"/>
  <c r="DQ263" i="1"/>
  <c r="EK263" i="1" s="1"/>
  <c r="DQ260" i="1"/>
  <c r="EK260" i="1" s="1"/>
  <c r="DQ259" i="1"/>
  <c r="DQ414" i="1"/>
  <c r="EK414" i="1" s="1"/>
  <c r="DQ278" i="1"/>
  <c r="EK278" i="1" s="1"/>
  <c r="DQ36" i="1" l="1"/>
  <c r="EK36" i="1" s="1"/>
  <c r="CJ36" i="1"/>
  <c r="EK159" i="1" l="1"/>
  <c r="DP255" i="1"/>
  <c r="EK160" i="1" l="1"/>
  <c r="DM290" i="1"/>
  <c r="EK290" i="1" s="1"/>
  <c r="DH311" i="1"/>
  <c r="DG311" i="1"/>
  <c r="EL258" i="1"/>
  <c r="EJ258" i="1"/>
  <c r="DD258" i="1"/>
  <c r="DC258" i="1"/>
  <c r="DB258" i="1"/>
  <c r="BW258" i="1"/>
  <c r="BV258" i="1"/>
  <c r="AS258" i="1"/>
  <c r="AR258" i="1"/>
  <c r="M258" i="1"/>
  <c r="EL269" i="1"/>
  <c r="EJ269" i="1"/>
  <c r="DD269" i="1"/>
  <c r="DC269" i="1"/>
  <c r="DB269" i="1"/>
  <c r="BW269" i="1"/>
  <c r="BV269" i="1"/>
  <c r="AS269" i="1"/>
  <c r="AR269" i="1"/>
  <c r="M269" i="1"/>
  <c r="EL268" i="1"/>
  <c r="EJ268" i="1"/>
  <c r="DD268" i="1"/>
  <c r="DC268" i="1"/>
  <c r="DB268" i="1"/>
  <c r="BW268" i="1"/>
  <c r="BV268" i="1"/>
  <c r="AS268" i="1"/>
  <c r="AR268" i="1"/>
  <c r="M268" i="1"/>
  <c r="EL246" i="1"/>
  <c r="EJ246" i="1"/>
  <c r="DD246" i="1"/>
  <c r="DB246" i="1"/>
  <c r="DC246" i="1"/>
  <c r="BW246" i="1"/>
  <c r="BV246" i="1"/>
  <c r="AS246" i="1"/>
  <c r="AR246" i="1"/>
  <c r="M246" i="1"/>
  <c r="EL273" i="1"/>
  <c r="EJ273" i="1"/>
  <c r="DD273" i="1"/>
  <c r="DC273" i="1"/>
  <c r="DB273" i="1"/>
  <c r="BW273" i="1"/>
  <c r="BV273" i="1"/>
  <c r="AS273" i="1"/>
  <c r="AR273" i="1"/>
  <c r="M273" i="1"/>
  <c r="AT258" i="1" l="1"/>
  <c r="BX258" i="1" s="1"/>
  <c r="DE258" i="1" s="1"/>
  <c r="EM258" i="1" s="1"/>
  <c r="FL258" i="1" s="1"/>
  <c r="AT269" i="1"/>
  <c r="BX269" i="1" s="1"/>
  <c r="DE269" i="1" s="1"/>
  <c r="EM269" i="1" s="1"/>
  <c r="FL269" i="1" s="1"/>
  <c r="AT273" i="1"/>
  <c r="BX273" i="1" s="1"/>
  <c r="DE273" i="1" s="1"/>
  <c r="EM273" i="1" s="1"/>
  <c r="FL273" i="1" s="1"/>
  <c r="AT268" i="1"/>
  <c r="BX268" i="1" s="1"/>
  <c r="DE268" i="1" s="1"/>
  <c r="EM268" i="1" s="1"/>
  <c r="FL268" i="1" s="1"/>
  <c r="AT246" i="1"/>
  <c r="BX246" i="1" s="1"/>
  <c r="DE246" i="1" s="1"/>
  <c r="EM246" i="1" s="1"/>
  <c r="FL246" i="1" s="1"/>
  <c r="Q362" i="3" l="1"/>
  <c r="AF362" i="3" s="1"/>
  <c r="BL438" i="3"/>
  <c r="BA438" i="3"/>
  <c r="AV438" i="3"/>
  <c r="AU438" i="3"/>
  <c r="AT438" i="3"/>
  <c r="AP438" i="3"/>
  <c r="AI438" i="3"/>
  <c r="AH438" i="3"/>
  <c r="AG438" i="3"/>
  <c r="AL438" i="3"/>
  <c r="AN438" i="3"/>
  <c r="AM438" i="3"/>
  <c r="AW362" i="3" l="1"/>
  <c r="AK438" i="3"/>
  <c r="AO438" i="3"/>
  <c r="AJ438" i="3"/>
  <c r="AR438" i="3"/>
  <c r="AS438" i="3"/>
  <c r="AQ438" i="3"/>
  <c r="AV441" i="1"/>
  <c r="AW443" i="1"/>
  <c r="H443" i="1" s="1"/>
  <c r="K443" i="1" s="1"/>
  <c r="L443" i="1" s="1"/>
  <c r="AW281" i="1"/>
  <c r="H281" i="1" s="1"/>
  <c r="K281" i="1" s="1"/>
  <c r="L281" i="1" s="1"/>
  <c r="AW282" i="1"/>
  <c r="H282" i="1" s="1"/>
  <c r="K282" i="1" s="1"/>
  <c r="L282" i="1" s="1"/>
  <c r="AW280" i="1"/>
  <c r="H280" i="1" s="1"/>
  <c r="K280" i="1" s="1"/>
  <c r="L280" i="1" s="1"/>
  <c r="AW284" i="1"/>
  <c r="H284" i="1" s="1"/>
  <c r="K284" i="1" s="1"/>
  <c r="L284" i="1" s="1"/>
  <c r="DM436" i="1" l="1"/>
  <c r="EK436" i="1" s="1"/>
  <c r="DM288" i="1"/>
  <c r="EK288" i="1" s="1"/>
  <c r="EK458" i="1" l="1"/>
  <c r="M323" i="1"/>
  <c r="DK323" i="1"/>
  <c r="EK323" i="1" s="1"/>
  <c r="DK259" i="1"/>
  <c r="EK259" i="1" s="1"/>
  <c r="DK254" i="1"/>
  <c r="EK254" i="1" s="1"/>
  <c r="DK24" i="1"/>
  <c r="EK24" i="1" s="1"/>
  <c r="EK328" i="1" l="1"/>
  <c r="EK311" i="1"/>
  <c r="EK67" i="1"/>
  <c r="EJ14" i="1"/>
  <c r="EL14" i="1"/>
  <c r="EJ15" i="1"/>
  <c r="EL15" i="1"/>
  <c r="EJ18" i="1"/>
  <c r="EL18" i="1"/>
  <c r="EJ19" i="1"/>
  <c r="EL19" i="1"/>
  <c r="EJ21" i="1"/>
  <c r="EL21" i="1"/>
  <c r="EJ25" i="1"/>
  <c r="EL25" i="1"/>
  <c r="EJ26" i="1"/>
  <c r="EL26" i="1"/>
  <c r="EJ28" i="1"/>
  <c r="EL28" i="1"/>
  <c r="EJ29" i="1"/>
  <c r="EL29" i="1"/>
  <c r="EJ30" i="1"/>
  <c r="EL30" i="1"/>
  <c r="EJ31" i="1"/>
  <c r="EL31" i="1"/>
  <c r="EJ32" i="1"/>
  <c r="EL32" i="1"/>
  <c r="EJ34" i="1"/>
  <c r="EL34" i="1"/>
  <c r="EL35" i="1"/>
  <c r="EJ36" i="1"/>
  <c r="EL36" i="1"/>
  <c r="EJ37" i="1"/>
  <c r="EL37" i="1"/>
  <c r="EJ38" i="1"/>
  <c r="EL38" i="1"/>
  <c r="EJ39" i="1"/>
  <c r="EL39" i="1"/>
  <c r="EJ41" i="1"/>
  <c r="EL41" i="1"/>
  <c r="EJ42" i="1"/>
  <c r="EL42" i="1"/>
  <c r="EJ43" i="1"/>
  <c r="EL43" i="1"/>
  <c r="EJ44" i="1"/>
  <c r="EL44" i="1"/>
  <c r="EJ45" i="1"/>
  <c r="EL45" i="1"/>
  <c r="EJ46" i="1"/>
  <c r="EL46" i="1"/>
  <c r="EJ47" i="1"/>
  <c r="EL47" i="1"/>
  <c r="EJ48" i="1"/>
  <c r="EL48" i="1"/>
  <c r="EJ49" i="1"/>
  <c r="EL49" i="1"/>
  <c r="EJ50" i="1"/>
  <c r="EL50" i="1"/>
  <c r="EJ52" i="1"/>
  <c r="EL52" i="1"/>
  <c r="EJ55" i="1"/>
  <c r="EL55" i="1"/>
  <c r="EJ56" i="1"/>
  <c r="EL56" i="1"/>
  <c r="EJ57" i="1"/>
  <c r="EL57" i="1"/>
  <c r="EJ58" i="1"/>
  <c r="EL58" i="1"/>
  <c r="EJ59" i="1"/>
  <c r="EL59" i="1"/>
  <c r="EJ60" i="1"/>
  <c r="EL60" i="1"/>
  <c r="EJ61" i="1"/>
  <c r="EL61" i="1"/>
  <c r="EJ62" i="1"/>
  <c r="EL62" i="1"/>
  <c r="EJ63" i="1"/>
  <c r="EL63" i="1"/>
  <c r="EJ64" i="1"/>
  <c r="EL64" i="1"/>
  <c r="EJ65" i="1"/>
  <c r="EL65" i="1"/>
  <c r="EJ66" i="1"/>
  <c r="EL66" i="1"/>
  <c r="EJ70" i="1"/>
  <c r="EL70" i="1"/>
  <c r="EJ71" i="1"/>
  <c r="EL71" i="1"/>
  <c r="EJ72" i="1"/>
  <c r="EL72" i="1"/>
  <c r="EJ73" i="1"/>
  <c r="EL73" i="1"/>
  <c r="EJ77" i="1"/>
  <c r="EL77" i="1"/>
  <c r="EJ78" i="1"/>
  <c r="EL78" i="1"/>
  <c r="EJ79" i="1"/>
  <c r="EL79" i="1"/>
  <c r="EJ80" i="1"/>
  <c r="EL80" i="1"/>
  <c r="EJ81" i="1"/>
  <c r="EL81" i="1"/>
  <c r="EJ82" i="1"/>
  <c r="EL82" i="1"/>
  <c r="EJ83" i="1"/>
  <c r="EL83" i="1"/>
  <c r="EJ84" i="1"/>
  <c r="EL84" i="1"/>
  <c r="EJ85" i="1"/>
  <c r="EL85" i="1"/>
  <c r="EJ86" i="1"/>
  <c r="EL86" i="1"/>
  <c r="EJ87" i="1"/>
  <c r="EL87" i="1"/>
  <c r="EJ88" i="1"/>
  <c r="EL88" i="1"/>
  <c r="EJ89" i="1"/>
  <c r="EL89" i="1"/>
  <c r="EJ90" i="1"/>
  <c r="EL90" i="1"/>
  <c r="EJ91" i="1"/>
  <c r="EL91" i="1"/>
  <c r="EJ92" i="1"/>
  <c r="EL92" i="1"/>
  <c r="EJ93" i="1"/>
  <c r="EL93" i="1"/>
  <c r="EJ94" i="1"/>
  <c r="EL94" i="1"/>
  <c r="EJ95" i="1"/>
  <c r="EL95" i="1"/>
  <c r="EJ96" i="1"/>
  <c r="EL96" i="1"/>
  <c r="EJ97" i="1"/>
  <c r="EL97" i="1"/>
  <c r="EJ98" i="1"/>
  <c r="EL98" i="1"/>
  <c r="EJ99" i="1"/>
  <c r="EL99" i="1"/>
  <c r="EJ100" i="1"/>
  <c r="EL100" i="1"/>
  <c r="EJ101" i="1"/>
  <c r="EL101" i="1"/>
  <c r="EJ103" i="1"/>
  <c r="EL103" i="1"/>
  <c r="EJ104" i="1"/>
  <c r="EL104" i="1"/>
  <c r="EJ105" i="1"/>
  <c r="EL105" i="1"/>
  <c r="EJ106" i="1"/>
  <c r="EL106" i="1"/>
  <c r="EJ108" i="1"/>
  <c r="EL108" i="1"/>
  <c r="EJ109" i="1"/>
  <c r="EL109" i="1"/>
  <c r="EJ110" i="1"/>
  <c r="EL110" i="1"/>
  <c r="EJ111" i="1"/>
  <c r="EL111" i="1"/>
  <c r="EJ112" i="1"/>
  <c r="EL112" i="1"/>
  <c r="EJ113" i="1"/>
  <c r="EL113" i="1"/>
  <c r="EJ114" i="1"/>
  <c r="EL114" i="1"/>
  <c r="EJ115" i="1"/>
  <c r="EL115" i="1"/>
  <c r="EJ116" i="1"/>
  <c r="EL116" i="1"/>
  <c r="EJ117" i="1"/>
  <c r="EL117" i="1"/>
  <c r="EJ118" i="1"/>
  <c r="EL118" i="1"/>
  <c r="EJ119" i="1"/>
  <c r="EL119" i="1"/>
  <c r="EJ120" i="1"/>
  <c r="EL120" i="1"/>
  <c r="EJ121" i="1"/>
  <c r="EL121" i="1"/>
  <c r="EJ123" i="1"/>
  <c r="EL123" i="1"/>
  <c r="EJ124" i="1"/>
  <c r="EL124" i="1"/>
  <c r="EJ125" i="1"/>
  <c r="EL125" i="1"/>
  <c r="EJ127" i="1"/>
  <c r="EL127" i="1"/>
  <c r="EJ128" i="1"/>
  <c r="EL128" i="1"/>
  <c r="EJ129" i="1"/>
  <c r="EL129" i="1"/>
  <c r="EJ131" i="1"/>
  <c r="EL131" i="1"/>
  <c r="EJ132" i="1"/>
  <c r="EL132" i="1"/>
  <c r="EJ133" i="1"/>
  <c r="EL133" i="1"/>
  <c r="EJ134" i="1"/>
  <c r="EL134" i="1"/>
  <c r="EJ135" i="1"/>
  <c r="EL135" i="1"/>
  <c r="EJ136" i="1"/>
  <c r="EL136" i="1"/>
  <c r="EJ137" i="1"/>
  <c r="EL137" i="1"/>
  <c r="EJ139" i="1"/>
  <c r="EL139" i="1"/>
  <c r="EJ140" i="1"/>
  <c r="EL140" i="1"/>
  <c r="EJ141" i="1"/>
  <c r="EL141" i="1"/>
  <c r="EJ142" i="1"/>
  <c r="EL142" i="1"/>
  <c r="EJ143" i="1"/>
  <c r="EL143" i="1"/>
  <c r="EJ144" i="1"/>
  <c r="EL144" i="1"/>
  <c r="EJ145" i="1"/>
  <c r="EL145" i="1"/>
  <c r="EJ147" i="1"/>
  <c r="EL147" i="1"/>
  <c r="EJ149" i="1"/>
  <c r="EL149" i="1"/>
  <c r="EJ150" i="1"/>
  <c r="EL150" i="1"/>
  <c r="EJ151" i="1"/>
  <c r="EL151" i="1"/>
  <c r="EJ152" i="1"/>
  <c r="EL152" i="1"/>
  <c r="EJ153" i="1"/>
  <c r="EL153" i="1"/>
  <c r="EJ154" i="1"/>
  <c r="EL154" i="1"/>
  <c r="EJ155" i="1"/>
  <c r="EL155" i="1"/>
  <c r="EJ156" i="1"/>
  <c r="EL156" i="1"/>
  <c r="EJ157" i="1"/>
  <c r="EL157" i="1"/>
  <c r="EJ158" i="1"/>
  <c r="EL158" i="1"/>
  <c r="EJ159" i="1"/>
  <c r="EL159" i="1"/>
  <c r="EJ163" i="1"/>
  <c r="EL163" i="1"/>
  <c r="EJ164" i="1"/>
  <c r="EL164" i="1"/>
  <c r="EJ166" i="1"/>
  <c r="EL166" i="1"/>
  <c r="EJ167" i="1"/>
  <c r="EL167" i="1"/>
  <c r="EJ168" i="1"/>
  <c r="EL168" i="1"/>
  <c r="EJ170" i="1"/>
  <c r="EL170" i="1"/>
  <c r="EJ171" i="1"/>
  <c r="EL171" i="1"/>
  <c r="EJ172" i="1"/>
  <c r="EL172" i="1"/>
  <c r="EJ173" i="1"/>
  <c r="EL173" i="1"/>
  <c r="EJ176" i="1"/>
  <c r="EL176" i="1"/>
  <c r="EJ177" i="1"/>
  <c r="EL177" i="1"/>
  <c r="EJ178" i="1"/>
  <c r="EL178" i="1"/>
  <c r="EJ179" i="1"/>
  <c r="EL179" i="1"/>
  <c r="EJ180" i="1"/>
  <c r="EL180" i="1"/>
  <c r="EJ181" i="1"/>
  <c r="EL181" i="1"/>
  <c r="EJ182" i="1"/>
  <c r="EL182" i="1"/>
  <c r="EJ183" i="1"/>
  <c r="EL183" i="1"/>
  <c r="EJ184" i="1"/>
  <c r="EL184" i="1"/>
  <c r="EJ185" i="1"/>
  <c r="EL185" i="1"/>
  <c r="EJ186" i="1"/>
  <c r="EL186" i="1"/>
  <c r="EJ187" i="1"/>
  <c r="EL187" i="1"/>
  <c r="EJ188" i="1"/>
  <c r="EL188" i="1"/>
  <c r="EJ189" i="1"/>
  <c r="EL189" i="1"/>
  <c r="EJ190" i="1"/>
  <c r="EL190" i="1"/>
  <c r="EJ191" i="1"/>
  <c r="EL191" i="1"/>
  <c r="EJ192" i="1"/>
  <c r="EL192" i="1"/>
  <c r="EJ193" i="1"/>
  <c r="EL193" i="1"/>
  <c r="EJ194" i="1"/>
  <c r="EL194" i="1"/>
  <c r="EJ195" i="1"/>
  <c r="EL195" i="1"/>
  <c r="EJ196" i="1"/>
  <c r="EL196" i="1"/>
  <c r="EJ197" i="1"/>
  <c r="EL197" i="1"/>
  <c r="EJ198" i="1"/>
  <c r="EL198" i="1"/>
  <c r="EJ199" i="1"/>
  <c r="EL199" i="1"/>
  <c r="EJ200" i="1"/>
  <c r="EL200" i="1"/>
  <c r="EJ202" i="1"/>
  <c r="EL202" i="1"/>
  <c r="EJ203" i="1"/>
  <c r="EL203" i="1"/>
  <c r="EJ204" i="1"/>
  <c r="EL204" i="1"/>
  <c r="EJ205" i="1"/>
  <c r="EL205" i="1"/>
  <c r="EJ206" i="1"/>
  <c r="EL206" i="1"/>
  <c r="EJ207" i="1"/>
  <c r="EL207" i="1"/>
  <c r="EJ208" i="1"/>
  <c r="EL208" i="1"/>
  <c r="EJ209" i="1"/>
  <c r="EL209" i="1"/>
  <c r="EJ210" i="1"/>
  <c r="EL210" i="1"/>
  <c r="EJ211" i="1"/>
  <c r="EL211" i="1"/>
  <c r="EJ212" i="1"/>
  <c r="EL212" i="1"/>
  <c r="EJ213" i="1"/>
  <c r="EL213" i="1"/>
  <c r="EJ214" i="1"/>
  <c r="EL214" i="1"/>
  <c r="EJ215" i="1"/>
  <c r="EL215" i="1"/>
  <c r="EJ216" i="1"/>
  <c r="EL216" i="1"/>
  <c r="EJ217" i="1"/>
  <c r="EL217" i="1"/>
  <c r="EJ218" i="1"/>
  <c r="EL218" i="1"/>
  <c r="EJ220" i="1"/>
  <c r="EL220" i="1"/>
  <c r="EJ221" i="1"/>
  <c r="EL221" i="1"/>
  <c r="EJ223" i="1"/>
  <c r="EL223" i="1"/>
  <c r="EJ224" i="1"/>
  <c r="EL224" i="1"/>
  <c r="EJ225" i="1"/>
  <c r="EL225" i="1"/>
  <c r="EJ226" i="1"/>
  <c r="EL226" i="1"/>
  <c r="EJ227" i="1"/>
  <c r="EL227" i="1"/>
  <c r="EJ228" i="1"/>
  <c r="EL228" i="1"/>
  <c r="EJ229" i="1"/>
  <c r="EL229" i="1"/>
  <c r="EJ230" i="1"/>
  <c r="EL230" i="1"/>
  <c r="EJ233" i="1"/>
  <c r="EL233" i="1"/>
  <c r="EJ234" i="1"/>
  <c r="EL234" i="1"/>
  <c r="EJ235" i="1"/>
  <c r="EL235" i="1"/>
  <c r="EJ236" i="1"/>
  <c r="EL236" i="1"/>
  <c r="EJ237" i="1"/>
  <c r="EL237" i="1"/>
  <c r="EJ238" i="1"/>
  <c r="EL238" i="1"/>
  <c r="EJ239" i="1"/>
  <c r="EL239" i="1"/>
  <c r="EJ240" i="1"/>
  <c r="EL240" i="1"/>
  <c r="EJ242" i="1"/>
  <c r="EL242" i="1"/>
  <c r="EJ243" i="1"/>
  <c r="EL243" i="1"/>
  <c r="EJ245" i="1"/>
  <c r="EL245" i="1"/>
  <c r="EJ247" i="1"/>
  <c r="EL247" i="1"/>
  <c r="EJ248" i="1"/>
  <c r="EL248" i="1"/>
  <c r="EJ249" i="1"/>
  <c r="EL249" i="1"/>
  <c r="EJ251" i="1"/>
  <c r="EL251" i="1"/>
  <c r="EJ253" i="1"/>
  <c r="EL253" i="1"/>
  <c r="EJ254" i="1"/>
  <c r="EL254" i="1"/>
  <c r="EJ255" i="1"/>
  <c r="EL255" i="1"/>
  <c r="EJ256" i="1"/>
  <c r="EL256" i="1"/>
  <c r="EJ259" i="1"/>
  <c r="EL259" i="1"/>
  <c r="EJ260" i="1"/>
  <c r="EL260" i="1"/>
  <c r="EJ262" i="1"/>
  <c r="EL262" i="1"/>
  <c r="EJ263" i="1"/>
  <c r="EL263" i="1"/>
  <c r="EJ264" i="1"/>
  <c r="EL264" i="1"/>
  <c r="EJ265" i="1"/>
  <c r="EL265" i="1"/>
  <c r="EJ266" i="1"/>
  <c r="EL266" i="1"/>
  <c r="EJ267" i="1"/>
  <c r="EL267" i="1"/>
  <c r="EJ270" i="1"/>
  <c r="EL270" i="1"/>
  <c r="EJ271" i="1"/>
  <c r="EL271" i="1"/>
  <c r="EJ274" i="1"/>
  <c r="EL274" i="1"/>
  <c r="EJ275" i="1"/>
  <c r="EL275" i="1"/>
  <c r="EJ276" i="1"/>
  <c r="EL276" i="1"/>
  <c r="EJ277" i="1"/>
  <c r="EL277" i="1"/>
  <c r="EJ278" i="1"/>
  <c r="EL278" i="1"/>
  <c r="EJ279" i="1"/>
  <c r="EL279" i="1"/>
  <c r="EJ280" i="1"/>
  <c r="EL280" i="1"/>
  <c r="EJ281" i="1"/>
  <c r="EL281" i="1"/>
  <c r="EJ282" i="1"/>
  <c r="EL282" i="1"/>
  <c r="EJ283" i="1"/>
  <c r="EL283" i="1"/>
  <c r="EJ284" i="1"/>
  <c r="EL284" i="1"/>
  <c r="EJ285" i="1"/>
  <c r="EL285" i="1"/>
  <c r="EJ286" i="1"/>
  <c r="EL286" i="1"/>
  <c r="EJ287" i="1"/>
  <c r="EL287" i="1"/>
  <c r="EJ288" i="1"/>
  <c r="EL288" i="1"/>
  <c r="EJ289" i="1"/>
  <c r="EL289" i="1"/>
  <c r="EJ290" i="1"/>
  <c r="EL290" i="1"/>
  <c r="EJ291" i="1"/>
  <c r="EL291" i="1"/>
  <c r="EJ292" i="1"/>
  <c r="EL292" i="1"/>
  <c r="EJ293" i="1"/>
  <c r="EL293" i="1"/>
  <c r="EJ295" i="1"/>
  <c r="EL295" i="1"/>
  <c r="EJ296" i="1"/>
  <c r="EL296" i="1"/>
  <c r="EJ297" i="1"/>
  <c r="EL297" i="1"/>
  <c r="EJ298" i="1"/>
  <c r="EL298" i="1"/>
  <c r="EJ301" i="1"/>
  <c r="EL301" i="1"/>
  <c r="EJ302" i="1"/>
  <c r="EL302" i="1"/>
  <c r="EJ303" i="1"/>
  <c r="EL303" i="1"/>
  <c r="EJ304" i="1"/>
  <c r="EL304" i="1"/>
  <c r="EJ305" i="1"/>
  <c r="EL305" i="1"/>
  <c r="EJ307" i="1"/>
  <c r="EL307" i="1"/>
  <c r="EJ308" i="1"/>
  <c r="EL308" i="1"/>
  <c r="EJ309" i="1"/>
  <c r="EL309" i="1"/>
  <c r="EJ310" i="1"/>
  <c r="EL310" i="1"/>
  <c r="EJ316" i="1"/>
  <c r="EL316" i="1"/>
  <c r="EJ320" i="1"/>
  <c r="EL320" i="1"/>
  <c r="EJ321" i="1"/>
  <c r="EL321" i="1"/>
  <c r="EJ323" i="1"/>
  <c r="EL323" i="1"/>
  <c r="EJ326" i="1"/>
  <c r="EL326" i="1"/>
  <c r="EJ327" i="1"/>
  <c r="EL327" i="1"/>
  <c r="EJ335" i="1"/>
  <c r="EL335" i="1"/>
  <c r="EJ337" i="1"/>
  <c r="EL337" i="1"/>
  <c r="EJ338" i="1"/>
  <c r="EL338" i="1"/>
  <c r="EJ339" i="1"/>
  <c r="EL339" i="1"/>
  <c r="EJ341" i="1"/>
  <c r="EL341" i="1"/>
  <c r="EJ342" i="1"/>
  <c r="EL342" i="1"/>
  <c r="EJ343" i="1"/>
  <c r="EL343" i="1"/>
  <c r="EJ346" i="1"/>
  <c r="EL346" i="1"/>
  <c r="EJ347" i="1"/>
  <c r="EL347" i="1"/>
  <c r="EJ348" i="1"/>
  <c r="EL348" i="1"/>
  <c r="EJ349" i="1"/>
  <c r="EL349" i="1"/>
  <c r="EJ351" i="1"/>
  <c r="EL351" i="1"/>
  <c r="EJ352" i="1"/>
  <c r="EL352" i="1"/>
  <c r="EJ353" i="1"/>
  <c r="EL353" i="1"/>
  <c r="EJ356" i="1"/>
  <c r="EL356" i="1"/>
  <c r="EJ357" i="1"/>
  <c r="EL357" i="1"/>
  <c r="EJ358" i="1"/>
  <c r="EL358" i="1"/>
  <c r="EJ359" i="1"/>
  <c r="EL359" i="1"/>
  <c r="EJ360" i="1"/>
  <c r="EL360" i="1"/>
  <c r="EJ363" i="1"/>
  <c r="EL363" i="1"/>
  <c r="EJ364" i="1"/>
  <c r="EL364" i="1"/>
  <c r="EJ365" i="1"/>
  <c r="EL365" i="1"/>
  <c r="EJ367" i="1"/>
  <c r="EL367" i="1"/>
  <c r="EJ368" i="1"/>
  <c r="EL368" i="1"/>
  <c r="EJ371" i="1"/>
  <c r="EL371" i="1"/>
  <c r="EJ372" i="1"/>
  <c r="EL372" i="1"/>
  <c r="EJ373" i="1"/>
  <c r="EL373" i="1"/>
  <c r="EJ376" i="1"/>
  <c r="EL376" i="1"/>
  <c r="EJ385" i="1"/>
  <c r="EL385" i="1"/>
  <c r="EJ386" i="1"/>
  <c r="EL386" i="1"/>
  <c r="EJ387" i="1"/>
  <c r="EL387" i="1"/>
  <c r="EJ388" i="1"/>
  <c r="EL388" i="1"/>
  <c r="EJ389" i="1"/>
  <c r="EL389" i="1"/>
  <c r="EJ390" i="1"/>
  <c r="EL390" i="1"/>
  <c r="EJ391" i="1"/>
  <c r="EL391" i="1"/>
  <c r="EJ392" i="1"/>
  <c r="EL392" i="1"/>
  <c r="EJ393" i="1"/>
  <c r="EL393" i="1"/>
  <c r="EJ394" i="1"/>
  <c r="EL394" i="1"/>
  <c r="EJ395" i="1"/>
  <c r="EL395" i="1"/>
  <c r="EJ396" i="1"/>
  <c r="EL396" i="1"/>
  <c r="EJ397" i="1"/>
  <c r="EL397" i="1"/>
  <c r="EJ399" i="1"/>
  <c r="EL399" i="1"/>
  <c r="EJ400" i="1"/>
  <c r="EL400" i="1"/>
  <c r="EJ401" i="1"/>
  <c r="EL401" i="1"/>
  <c r="EJ402" i="1"/>
  <c r="EL402" i="1"/>
  <c r="EJ403" i="1"/>
  <c r="EL403" i="1"/>
  <c r="EJ404" i="1"/>
  <c r="EL404" i="1"/>
  <c r="EJ405" i="1"/>
  <c r="EL405" i="1"/>
  <c r="EJ406" i="1"/>
  <c r="EL406" i="1"/>
  <c r="EJ407" i="1"/>
  <c r="EL407" i="1"/>
  <c r="EJ408" i="1"/>
  <c r="EL408" i="1"/>
  <c r="EJ409" i="1"/>
  <c r="EL409" i="1"/>
  <c r="EJ410" i="1"/>
  <c r="EL410" i="1"/>
  <c r="EJ411" i="1"/>
  <c r="EL411" i="1"/>
  <c r="EJ412" i="1"/>
  <c r="EL412" i="1"/>
  <c r="EJ413" i="1"/>
  <c r="EL413" i="1"/>
  <c r="EJ414" i="1"/>
  <c r="EL414" i="1"/>
  <c r="EJ415" i="1"/>
  <c r="EL415" i="1"/>
  <c r="EJ416" i="1"/>
  <c r="EL416" i="1"/>
  <c r="EJ417" i="1"/>
  <c r="EL417" i="1"/>
  <c r="EJ418" i="1"/>
  <c r="EL418" i="1"/>
  <c r="EJ419" i="1"/>
  <c r="EL419" i="1"/>
  <c r="EJ420" i="1"/>
  <c r="EL420" i="1"/>
  <c r="EJ421" i="1"/>
  <c r="EL421" i="1"/>
  <c r="EJ422" i="1"/>
  <c r="EL422" i="1"/>
  <c r="EJ423" i="1"/>
  <c r="EL423" i="1"/>
  <c r="EJ424" i="1"/>
  <c r="EL424" i="1"/>
  <c r="EJ425" i="1"/>
  <c r="EL425" i="1"/>
  <c r="EJ426" i="1"/>
  <c r="EL426" i="1"/>
  <c r="EJ427" i="1"/>
  <c r="EL427" i="1"/>
  <c r="EJ428" i="1"/>
  <c r="EL428" i="1"/>
  <c r="EJ429" i="1"/>
  <c r="EL429" i="1"/>
  <c r="EJ430" i="1"/>
  <c r="EL430" i="1"/>
  <c r="EJ431" i="1"/>
  <c r="EL431" i="1"/>
  <c r="EJ432" i="1"/>
  <c r="EL432" i="1"/>
  <c r="EJ433" i="1"/>
  <c r="EL433" i="1"/>
  <c r="EJ434" i="1"/>
  <c r="EL434" i="1"/>
  <c r="EJ435" i="1"/>
  <c r="EL435" i="1"/>
  <c r="EJ436" i="1"/>
  <c r="EL436" i="1"/>
  <c r="EJ440" i="1"/>
  <c r="EL440" i="1"/>
  <c r="EJ441" i="1"/>
  <c r="EL441" i="1"/>
  <c r="EJ442" i="1"/>
  <c r="EL442" i="1"/>
  <c r="EJ443" i="1"/>
  <c r="EL443" i="1"/>
  <c r="EL444" i="1"/>
  <c r="EJ445" i="1"/>
  <c r="EL445" i="1"/>
  <c r="EJ446" i="1"/>
  <c r="EL446" i="1"/>
  <c r="EJ447" i="1"/>
  <c r="EL447" i="1"/>
  <c r="EJ448" i="1"/>
  <c r="EL448" i="1"/>
  <c r="EJ449" i="1"/>
  <c r="EL449" i="1"/>
  <c r="EJ450" i="1"/>
  <c r="EL450" i="1"/>
  <c r="EJ451" i="1"/>
  <c r="EL451" i="1"/>
  <c r="EJ452" i="1"/>
  <c r="EL452" i="1"/>
  <c r="EJ453" i="1"/>
  <c r="EL453" i="1"/>
  <c r="EJ454" i="1"/>
  <c r="EL454" i="1"/>
  <c r="EJ455" i="1"/>
  <c r="EL455" i="1"/>
  <c r="EJ456" i="1"/>
  <c r="EL456" i="1"/>
  <c r="EJ457" i="1"/>
  <c r="EL457" i="1"/>
  <c r="EL384" i="1"/>
  <c r="EJ384" i="1"/>
  <c r="EL377" i="1"/>
  <c r="EJ377" i="1"/>
  <c r="EL334" i="1"/>
  <c r="EJ334" i="1"/>
  <c r="EL319" i="1"/>
  <c r="EJ319" i="1"/>
  <c r="EL315" i="1"/>
  <c r="EJ315" i="1"/>
  <c r="EL162" i="1"/>
  <c r="EJ162" i="1"/>
  <c r="EL76" i="1"/>
  <c r="EJ76" i="1"/>
  <c r="EL69" i="1"/>
  <c r="EJ69" i="1"/>
  <c r="EL24" i="1"/>
  <c r="EJ24" i="1"/>
  <c r="EL13" i="1"/>
  <c r="EJ13" i="1"/>
  <c r="EJ4" i="1"/>
  <c r="EL4" i="1"/>
  <c r="EJ5" i="1"/>
  <c r="EL5" i="1"/>
  <c r="EJ6" i="1"/>
  <c r="EL6" i="1"/>
  <c r="EJ7" i="1"/>
  <c r="EL7" i="1"/>
  <c r="EJ8" i="1"/>
  <c r="EL8" i="1"/>
  <c r="EJ9" i="1"/>
  <c r="EL9" i="1"/>
  <c r="EJ10" i="1"/>
  <c r="EL10" i="1"/>
  <c r="EL3" i="1"/>
  <c r="EI458" i="1"/>
  <c r="EG458" i="1"/>
  <c r="EE458" i="1"/>
  <c r="ED458" i="1"/>
  <c r="EB458" i="1"/>
  <c r="DZ458" i="1"/>
  <c r="DY458" i="1"/>
  <c r="DX458" i="1"/>
  <c r="DW458" i="1"/>
  <c r="DV458" i="1"/>
  <c r="DT458" i="1"/>
  <c r="DS458" i="1"/>
  <c r="DR458" i="1"/>
  <c r="DQ458" i="1"/>
  <c r="DP458" i="1"/>
  <c r="DO458" i="1"/>
  <c r="DN458" i="1"/>
  <c r="DM458" i="1"/>
  <c r="DL458" i="1"/>
  <c r="DK458" i="1"/>
  <c r="DH458" i="1"/>
  <c r="DG458" i="1"/>
  <c r="EH458" i="1"/>
  <c r="EI378" i="1"/>
  <c r="EH378" i="1"/>
  <c r="EG378" i="1"/>
  <c r="EE378" i="1"/>
  <c r="ED378" i="1"/>
  <c r="EC378" i="1"/>
  <c r="EB378" i="1"/>
  <c r="EA378" i="1"/>
  <c r="DZ378" i="1"/>
  <c r="DY378" i="1"/>
  <c r="DX378" i="1"/>
  <c r="DV378" i="1"/>
  <c r="DU378" i="1"/>
  <c r="DT378" i="1"/>
  <c r="DS378" i="1"/>
  <c r="DR378" i="1"/>
  <c r="DQ378" i="1"/>
  <c r="DP378" i="1"/>
  <c r="DO378" i="1"/>
  <c r="DN378" i="1"/>
  <c r="DM378" i="1"/>
  <c r="DL378" i="1"/>
  <c r="DK378" i="1"/>
  <c r="DJ378" i="1"/>
  <c r="DH378" i="1"/>
  <c r="DG378" i="1"/>
  <c r="EI374" i="1"/>
  <c r="EH374" i="1"/>
  <c r="EG374" i="1"/>
  <c r="EE374" i="1"/>
  <c r="ED374" i="1"/>
  <c r="EC374" i="1"/>
  <c r="EB374" i="1"/>
  <c r="EA374" i="1"/>
  <c r="DZ374" i="1"/>
  <c r="DY374" i="1"/>
  <c r="DX374" i="1"/>
  <c r="DW374" i="1"/>
  <c r="DV374" i="1"/>
  <c r="DT374" i="1"/>
  <c r="DS374" i="1"/>
  <c r="DR374" i="1"/>
  <c r="DQ374" i="1"/>
  <c r="DP374" i="1"/>
  <c r="DO374" i="1"/>
  <c r="DN374" i="1"/>
  <c r="DM374" i="1"/>
  <c r="DL374" i="1"/>
  <c r="DK374" i="1"/>
  <c r="DJ374" i="1"/>
  <c r="DH374" i="1"/>
  <c r="DG374" i="1"/>
  <c r="EI328" i="1"/>
  <c r="EH328" i="1"/>
  <c r="EG328" i="1"/>
  <c r="ED328" i="1"/>
  <c r="EB328" i="1"/>
  <c r="DZ328" i="1"/>
  <c r="DY328" i="1"/>
  <c r="DX328" i="1"/>
  <c r="DV328" i="1"/>
  <c r="DT328" i="1"/>
  <c r="DS328" i="1"/>
  <c r="DR328" i="1"/>
  <c r="DQ328" i="1"/>
  <c r="DP328" i="1"/>
  <c r="DO328" i="1"/>
  <c r="DN328" i="1"/>
  <c r="DM328" i="1"/>
  <c r="DL328" i="1"/>
  <c r="DK328" i="1"/>
  <c r="DJ328" i="1"/>
  <c r="DH328" i="1"/>
  <c r="DG328" i="1"/>
  <c r="EI317" i="1"/>
  <c r="EH317" i="1"/>
  <c r="EG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H317" i="1"/>
  <c r="DG317" i="1"/>
  <c r="EI311" i="1"/>
  <c r="EG311" i="1"/>
  <c r="ED311" i="1"/>
  <c r="EB311" i="1"/>
  <c r="DZ311" i="1"/>
  <c r="DY311" i="1"/>
  <c r="DX311" i="1"/>
  <c r="DW311" i="1"/>
  <c r="DV311" i="1"/>
  <c r="DT311" i="1"/>
  <c r="DS311" i="1"/>
  <c r="DR311" i="1"/>
  <c r="DQ311" i="1"/>
  <c r="DP311" i="1"/>
  <c r="DO311" i="1"/>
  <c r="DN311" i="1"/>
  <c r="DM311" i="1"/>
  <c r="DL311" i="1"/>
  <c r="DK311" i="1"/>
  <c r="DJ311" i="1"/>
  <c r="EH311" i="1"/>
  <c r="EE311" i="1"/>
  <c r="EI160" i="1"/>
  <c r="EH160" i="1"/>
  <c r="EG160" i="1"/>
  <c r="EE160" i="1"/>
  <c r="ED160" i="1"/>
  <c r="EC160" i="1"/>
  <c r="EB160" i="1"/>
  <c r="EA160" i="1"/>
  <c r="DZ160" i="1"/>
  <c r="DY160" i="1"/>
  <c r="DX160" i="1"/>
  <c r="DV160" i="1"/>
  <c r="DT160" i="1"/>
  <c r="DS160" i="1"/>
  <c r="DR160" i="1"/>
  <c r="DQ160" i="1"/>
  <c r="DP160" i="1"/>
  <c r="DN160" i="1"/>
  <c r="DM160" i="1"/>
  <c r="DL160" i="1"/>
  <c r="DK160" i="1"/>
  <c r="DJ160" i="1"/>
  <c r="DH160" i="1"/>
  <c r="DG160" i="1"/>
  <c r="DW160" i="1"/>
  <c r="EI74" i="1"/>
  <c r="EH74" i="1"/>
  <c r="EG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H74" i="1"/>
  <c r="DG74" i="1"/>
  <c r="EI67" i="1"/>
  <c r="EH67" i="1"/>
  <c r="EG67" i="1"/>
  <c r="ED67" i="1"/>
  <c r="EB67" i="1"/>
  <c r="DZ67" i="1"/>
  <c r="DX67" i="1"/>
  <c r="DW67" i="1"/>
  <c r="DV67" i="1"/>
  <c r="DU67" i="1"/>
  <c r="DT67" i="1"/>
  <c r="DR67" i="1"/>
  <c r="DP67" i="1"/>
  <c r="DO67" i="1"/>
  <c r="DN67" i="1"/>
  <c r="DL67" i="1"/>
  <c r="DJ67" i="1"/>
  <c r="DH67" i="1"/>
  <c r="DG67" i="1"/>
  <c r="DS67" i="1"/>
  <c r="EI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H22" i="1"/>
  <c r="DG22" i="1"/>
  <c r="DG462" i="1" s="1"/>
  <c r="EI11" i="1"/>
  <c r="EH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N11" i="1"/>
  <c r="DM11" i="1"/>
  <c r="DL11" i="1"/>
  <c r="DK11" i="1"/>
  <c r="DJ11" i="1"/>
  <c r="DH11" i="1"/>
  <c r="DG11" i="1"/>
  <c r="DG461" i="1" l="1"/>
  <c r="EK461" i="1"/>
  <c r="DU461" i="1"/>
  <c r="DS461" i="1"/>
  <c r="DH461" i="1"/>
  <c r="EB461" i="1"/>
  <c r="EI461" i="1"/>
  <c r="DL461" i="1"/>
  <c r="DP461" i="1"/>
  <c r="DT461" i="1"/>
  <c r="DX461" i="1"/>
  <c r="ED461" i="1"/>
  <c r="DJ461" i="1"/>
  <c r="DN461" i="1"/>
  <c r="DR461" i="1"/>
  <c r="DV461" i="1"/>
  <c r="DZ461" i="1"/>
  <c r="EG461" i="1"/>
  <c r="EJ317" i="1"/>
  <c r="EJ378" i="1"/>
  <c r="EJ458" i="1"/>
  <c r="EL458" i="1"/>
  <c r="EJ328" i="1"/>
  <c r="EJ374" i="1"/>
  <c r="EJ160" i="1"/>
  <c r="EJ22" i="1"/>
  <c r="EL317" i="1"/>
  <c r="EJ11" i="1"/>
  <c r="EL74" i="1"/>
  <c r="EJ74" i="1"/>
  <c r="EL378" i="1"/>
  <c r="EJ311" i="1"/>
  <c r="DO160" i="1"/>
  <c r="DO11" i="1"/>
  <c r="DK67" i="1"/>
  <c r="DK461" i="1" s="1"/>
  <c r="EA67" i="1"/>
  <c r="EE67" i="1"/>
  <c r="EL311" i="1"/>
  <c r="EL160" i="1"/>
  <c r="EL11" i="1"/>
  <c r="EH22" i="1"/>
  <c r="EH461" i="1" s="1"/>
  <c r="EL22" i="1"/>
  <c r="DM67" i="1"/>
  <c r="DM461" i="1" s="1"/>
  <c r="DY67" i="1"/>
  <c r="DY461" i="1" s="1"/>
  <c r="EC67" i="1"/>
  <c r="EL67" i="1"/>
  <c r="EC311" i="1"/>
  <c r="EA311" i="1"/>
  <c r="EC328" i="1"/>
  <c r="EL328" i="1"/>
  <c r="EL374" i="1"/>
  <c r="DW328" i="1"/>
  <c r="EA328" i="1"/>
  <c r="EE328" i="1"/>
  <c r="DW378" i="1"/>
  <c r="EC458" i="1"/>
  <c r="EA458" i="1"/>
  <c r="BK438" i="3"/>
  <c r="EE461" i="1" l="1"/>
  <c r="D479" i="1" s="1"/>
  <c r="D481" i="1" s="1"/>
  <c r="D482" i="1" s="1"/>
  <c r="EA461" i="1"/>
  <c r="DO461" i="1"/>
  <c r="DW461" i="1"/>
  <c r="EL461" i="1"/>
  <c r="EC461" i="1"/>
  <c r="DH463" i="1"/>
  <c r="DG463" i="1"/>
  <c r="CZ457" i="1"/>
  <c r="CZ458" i="1" s="1"/>
  <c r="CZ19" i="1"/>
  <c r="CZ372" i="1"/>
  <c r="CZ278" i="1"/>
  <c r="CZ263" i="1"/>
  <c r="CZ11" i="1"/>
  <c r="CZ67" i="1"/>
  <c r="CZ74" i="1"/>
  <c r="CZ160" i="1"/>
  <c r="CZ317" i="1"/>
  <c r="CZ328" i="1"/>
  <c r="CZ378" i="1"/>
  <c r="CZ311" i="1" l="1"/>
  <c r="CZ22" i="1"/>
  <c r="CZ374" i="1"/>
  <c r="AF304" i="3"/>
  <c r="AW304" i="3" s="1"/>
  <c r="BJ438" i="3"/>
  <c r="CX278" i="1"/>
  <c r="CX172" i="1"/>
  <c r="BM304" i="3" l="1"/>
  <c r="CC304" i="3" s="1"/>
  <c r="CZ461" i="1"/>
  <c r="CX327" i="1"/>
  <c r="CX65" i="1"/>
  <c r="DD323" i="1" l="1"/>
  <c r="DC323" i="1"/>
  <c r="DB323" i="1"/>
  <c r="BW323" i="1"/>
  <c r="BV323" i="1"/>
  <c r="AS323" i="1"/>
  <c r="AR323" i="1"/>
  <c r="AT323" i="1" l="1"/>
  <c r="BX323" i="1" s="1"/>
  <c r="DE323" i="1" s="1"/>
  <c r="EM323" i="1" l="1"/>
  <c r="FL323" i="1" s="1"/>
  <c r="CA298" i="1"/>
  <c r="DD293" i="1"/>
  <c r="DC293" i="1"/>
  <c r="DB293" i="1"/>
  <c r="BW293" i="1"/>
  <c r="BV293" i="1"/>
  <c r="AS293" i="1"/>
  <c r="AR293" i="1"/>
  <c r="M293" i="1"/>
  <c r="CT298" i="1"/>
  <c r="AT293" i="1" l="1"/>
  <c r="BX293" i="1" s="1"/>
  <c r="DE293" i="1" s="1"/>
  <c r="EM293" i="1" s="1"/>
  <c r="FL293" i="1" s="1"/>
  <c r="M4" i="1"/>
  <c r="M5" i="1"/>
  <c r="M6" i="1"/>
  <c r="M7" i="1"/>
  <c r="M8" i="1"/>
  <c r="M9" i="1"/>
  <c r="M10" i="1"/>
  <c r="M11" i="1"/>
  <c r="M12" i="1"/>
  <c r="M13" i="1"/>
  <c r="M14" i="1"/>
  <c r="M15" i="1"/>
  <c r="M18" i="1"/>
  <c r="M19" i="1"/>
  <c r="M21" i="1"/>
  <c r="M22" i="1"/>
  <c r="M23" i="1"/>
  <c r="M24" i="1"/>
  <c r="M25" i="1"/>
  <c r="M26" i="1"/>
  <c r="M28" i="1"/>
  <c r="M29" i="1"/>
  <c r="M30" i="1"/>
  <c r="M31" i="1"/>
  <c r="M32" i="1"/>
  <c r="M34" i="1"/>
  <c r="M35" i="1"/>
  <c r="M36" i="1"/>
  <c r="M37" i="1"/>
  <c r="M38" i="1"/>
  <c r="M39" i="1"/>
  <c r="M42" i="1"/>
  <c r="M43" i="1"/>
  <c r="M44" i="1"/>
  <c r="M45" i="1"/>
  <c r="M46" i="1"/>
  <c r="M47" i="1"/>
  <c r="M48" i="1"/>
  <c r="M49" i="1"/>
  <c r="M50" i="1"/>
  <c r="M52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3" i="1"/>
  <c r="M104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3" i="1"/>
  <c r="M124" i="1"/>
  <c r="M125" i="1"/>
  <c r="M127" i="1"/>
  <c r="M128" i="1"/>
  <c r="M129" i="1"/>
  <c r="M131" i="1"/>
  <c r="M132" i="1"/>
  <c r="M133" i="1"/>
  <c r="M134" i="1"/>
  <c r="M135" i="1"/>
  <c r="M136" i="1"/>
  <c r="M137" i="1"/>
  <c r="M139" i="1"/>
  <c r="M140" i="1"/>
  <c r="M141" i="1"/>
  <c r="M142" i="1"/>
  <c r="M143" i="1"/>
  <c r="M144" i="1"/>
  <c r="M145" i="1"/>
  <c r="M147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6" i="1"/>
  <c r="M167" i="1"/>
  <c r="M168" i="1"/>
  <c r="M170" i="1"/>
  <c r="M171" i="1"/>
  <c r="M172" i="1"/>
  <c r="M173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20" i="1"/>
  <c r="M221" i="1"/>
  <c r="M223" i="1"/>
  <c r="M224" i="1"/>
  <c r="M225" i="1"/>
  <c r="M226" i="1"/>
  <c r="M227" i="1"/>
  <c r="M228" i="1"/>
  <c r="M229" i="1"/>
  <c r="M230" i="1"/>
  <c r="M233" i="1"/>
  <c r="M234" i="1"/>
  <c r="M235" i="1"/>
  <c r="M236" i="1"/>
  <c r="M237" i="1"/>
  <c r="M238" i="1"/>
  <c r="M239" i="1"/>
  <c r="M240" i="1"/>
  <c r="M321" i="1"/>
  <c r="M242" i="1"/>
  <c r="M243" i="1"/>
  <c r="M245" i="1"/>
  <c r="M247" i="1"/>
  <c r="M248" i="1"/>
  <c r="M249" i="1"/>
  <c r="M251" i="1"/>
  <c r="M253" i="1"/>
  <c r="M254" i="1"/>
  <c r="M255" i="1"/>
  <c r="M256" i="1"/>
  <c r="M259" i="1"/>
  <c r="M260" i="1"/>
  <c r="M262" i="1"/>
  <c r="M263" i="1"/>
  <c r="M264" i="1"/>
  <c r="M265" i="1"/>
  <c r="M266" i="1"/>
  <c r="M267" i="1"/>
  <c r="M270" i="1"/>
  <c r="M271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5" i="1"/>
  <c r="M296" i="1"/>
  <c r="M297" i="1"/>
  <c r="M298" i="1"/>
  <c r="M301" i="1"/>
  <c r="M302" i="1"/>
  <c r="M303" i="1"/>
  <c r="M304" i="1"/>
  <c r="M305" i="1"/>
  <c r="M307" i="1"/>
  <c r="M308" i="1"/>
  <c r="M309" i="1"/>
  <c r="M310" i="1"/>
  <c r="M311" i="1"/>
  <c r="M312" i="1"/>
  <c r="M315" i="1"/>
  <c r="M316" i="1"/>
  <c r="M317" i="1"/>
  <c r="M318" i="1"/>
  <c r="M319" i="1"/>
  <c r="M320" i="1"/>
  <c r="M326" i="1"/>
  <c r="M327" i="1"/>
  <c r="M328" i="1"/>
  <c r="M329" i="1"/>
  <c r="M334" i="1"/>
  <c r="M335" i="1"/>
  <c r="M337" i="1"/>
  <c r="M338" i="1"/>
  <c r="M339" i="1"/>
  <c r="M341" i="1"/>
  <c r="M342" i="1"/>
  <c r="M343" i="1"/>
  <c r="M346" i="1"/>
  <c r="M347" i="1"/>
  <c r="M348" i="1"/>
  <c r="M349" i="1"/>
  <c r="M351" i="1"/>
  <c r="M352" i="1"/>
  <c r="M353" i="1"/>
  <c r="M356" i="1"/>
  <c r="M357" i="1"/>
  <c r="M358" i="1"/>
  <c r="M359" i="1"/>
  <c r="M360" i="1"/>
  <c r="M363" i="1"/>
  <c r="M364" i="1"/>
  <c r="M365" i="1"/>
  <c r="M367" i="1"/>
  <c r="M368" i="1"/>
  <c r="M372" i="1"/>
  <c r="M373" i="1"/>
  <c r="M374" i="1"/>
  <c r="M375" i="1"/>
  <c r="M377" i="1"/>
  <c r="M376" i="1"/>
  <c r="M378" i="1"/>
  <c r="M379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3" i="1"/>
  <c r="L362" i="3"/>
  <c r="BM410" i="3" l="1"/>
  <c r="CC410" i="3" s="1"/>
  <c r="CV411" i="1"/>
  <c r="CV320" i="1"/>
  <c r="CV278" i="1"/>
  <c r="CV266" i="1"/>
  <c r="CV260" i="1"/>
  <c r="CV24" i="1"/>
  <c r="CV284" i="1"/>
  <c r="CV245" i="1"/>
  <c r="CV162" i="1"/>
  <c r="BM389" i="3" l="1"/>
  <c r="CC389" i="3" s="1"/>
  <c r="BM420" i="3"/>
  <c r="CC420" i="3" s="1"/>
  <c r="BM424" i="3"/>
  <c r="CC424" i="3" s="1"/>
  <c r="BM372" i="3"/>
  <c r="CC372" i="3" s="1"/>
  <c r="BM384" i="3"/>
  <c r="CC384" i="3" s="1"/>
  <c r="BM370" i="3"/>
  <c r="CC370" i="3" s="1"/>
  <c r="BM408" i="3"/>
  <c r="CC408" i="3" s="1"/>
  <c r="BM382" i="3"/>
  <c r="CC382" i="3" s="1"/>
  <c r="BM363" i="3"/>
  <c r="CC363" i="3" s="1"/>
  <c r="BM368" i="3"/>
  <c r="CC368" i="3" s="1"/>
  <c r="BM386" i="3"/>
  <c r="CC386" i="3" s="1"/>
  <c r="BM373" i="3"/>
  <c r="CC373" i="3" s="1"/>
  <c r="BM376" i="3"/>
  <c r="CC376" i="3" s="1"/>
  <c r="BM405" i="3"/>
  <c r="CC405" i="3" s="1"/>
  <c r="BM378" i="3"/>
  <c r="CC378" i="3" s="1"/>
  <c r="BM395" i="3"/>
  <c r="CC395" i="3" s="1"/>
  <c r="BM380" i="3"/>
  <c r="CC380" i="3" s="1"/>
  <c r="BM402" i="3"/>
  <c r="CC402" i="3" s="1"/>
  <c r="AX438" i="3"/>
  <c r="BM362" i="3"/>
  <c r="CC362" i="3" s="1"/>
  <c r="DD77" i="1"/>
  <c r="DC77" i="1"/>
  <c r="DB77" i="1"/>
  <c r="BW77" i="1"/>
  <c r="BV77" i="1"/>
  <c r="BX77" i="1" l="1"/>
  <c r="DE77" i="1" s="1"/>
  <c r="EM77" i="1" s="1"/>
  <c r="FL77" i="1" s="1"/>
  <c r="CA328" i="1"/>
  <c r="CA311" i="1"/>
  <c r="O438" i="3" l="1"/>
  <c r="P438" i="3"/>
  <c r="R438" i="3"/>
  <c r="T438" i="3"/>
  <c r="V438" i="3"/>
  <c r="W438" i="3"/>
  <c r="X438" i="3"/>
  <c r="Y438" i="3"/>
  <c r="Z438" i="3"/>
  <c r="AA438" i="3"/>
  <c r="AB438" i="3"/>
  <c r="AD438" i="3"/>
  <c r="AE438" i="3"/>
  <c r="AY438" i="3"/>
  <c r="AZ438" i="3"/>
  <c r="BF438" i="3"/>
  <c r="AF431" i="3"/>
  <c r="AW431" i="3" s="1"/>
  <c r="BM431" i="3" s="1"/>
  <c r="CC431" i="3" s="1"/>
  <c r="AF430" i="3"/>
  <c r="AW430" i="3" s="1"/>
  <c r="BM430" i="3" s="1"/>
  <c r="CC430" i="3" s="1"/>
  <c r="AF422" i="3"/>
  <c r="AW422" i="3" s="1"/>
  <c r="BM422" i="3" s="1"/>
  <c r="CC422" i="3" s="1"/>
  <c r="AF435" i="3"/>
  <c r="AW435" i="3" s="1"/>
  <c r="BM435" i="3" s="1"/>
  <c r="CC435" i="3" s="1"/>
  <c r="AF428" i="3"/>
  <c r="AW428" i="3" s="1"/>
  <c r="BM428" i="3" s="1"/>
  <c r="CC428" i="3" s="1"/>
  <c r="AF429" i="3"/>
  <c r="AW429" i="3" s="1"/>
  <c r="BM429" i="3" s="1"/>
  <c r="CC429" i="3" s="1"/>
  <c r="AF432" i="3"/>
  <c r="AW432" i="3" s="1"/>
  <c r="BM432" i="3" s="1"/>
  <c r="CC432" i="3" s="1"/>
  <c r="AF433" i="3"/>
  <c r="AW433" i="3" s="1"/>
  <c r="BM433" i="3" s="1"/>
  <c r="CC433" i="3" s="1"/>
  <c r="AF434" i="3"/>
  <c r="AW434" i="3" s="1"/>
  <c r="BM434" i="3" s="1"/>
  <c r="CC434" i="3" s="1"/>
  <c r="BM427" i="3"/>
  <c r="CC427" i="3" s="1"/>
  <c r="BM423" i="3"/>
  <c r="CC423" i="3" s="1"/>
  <c r="AF421" i="3"/>
  <c r="AW421" i="3" s="1"/>
  <c r="BM421" i="3" s="1"/>
  <c r="CC421" i="3" s="1"/>
  <c r="AF419" i="3"/>
  <c r="AW419" i="3" s="1"/>
  <c r="BM419" i="3" s="1"/>
  <c r="CC419" i="3" s="1"/>
  <c r="AF418" i="3"/>
  <c r="AW418" i="3" s="1"/>
  <c r="BM418" i="3" s="1"/>
  <c r="CC418" i="3" s="1"/>
  <c r="AF417" i="3"/>
  <c r="AW417" i="3" s="1"/>
  <c r="BM417" i="3" s="1"/>
  <c r="CC417" i="3" s="1"/>
  <c r="AF413" i="3"/>
  <c r="AW413" i="3" s="1"/>
  <c r="BM413" i="3" s="1"/>
  <c r="CC413" i="3" s="1"/>
  <c r="AF412" i="3"/>
  <c r="AW412" i="3" s="1"/>
  <c r="BM412" i="3" s="1"/>
  <c r="CC412" i="3" s="1"/>
  <c r="AF411" i="3"/>
  <c r="AW411" i="3" s="1"/>
  <c r="BM411" i="3" s="1"/>
  <c r="CC411" i="3" s="1"/>
  <c r="AF409" i="3"/>
  <c r="AW409" i="3" s="1"/>
  <c r="BM409" i="3" s="1"/>
  <c r="CC409" i="3" s="1"/>
  <c r="AF407" i="3"/>
  <c r="AW407" i="3" s="1"/>
  <c r="BM407" i="3" s="1"/>
  <c r="CC407" i="3" s="1"/>
  <c r="AF406" i="3"/>
  <c r="AW406" i="3" s="1"/>
  <c r="BM406" i="3" s="1"/>
  <c r="CC406" i="3" s="1"/>
  <c r="AF404" i="3"/>
  <c r="AW404" i="3" s="1"/>
  <c r="BM404" i="3" s="1"/>
  <c r="CC404" i="3" s="1"/>
  <c r="AF403" i="3"/>
  <c r="AW403" i="3" s="1"/>
  <c r="BM403" i="3" s="1"/>
  <c r="CC403" i="3" s="1"/>
  <c r="AF401" i="3"/>
  <c r="AW401" i="3" s="1"/>
  <c r="BM401" i="3" s="1"/>
  <c r="CC401" i="3" s="1"/>
  <c r="AF290" i="3"/>
  <c r="AW290" i="3" s="1"/>
  <c r="BM290" i="3" s="1"/>
  <c r="CC290" i="3" s="1"/>
  <c r="AF399" i="3"/>
  <c r="AW399" i="3" s="1"/>
  <c r="BM399" i="3" s="1"/>
  <c r="CC399" i="3" s="1"/>
  <c r="AF262" i="3"/>
  <c r="AW262" i="3" s="1"/>
  <c r="BM262" i="3" s="1"/>
  <c r="CC262" i="3" s="1"/>
  <c r="AF397" i="3"/>
  <c r="AW397" i="3" s="1"/>
  <c r="BM397" i="3" s="1"/>
  <c r="CC397" i="3" s="1"/>
  <c r="AF396" i="3"/>
  <c r="AW396" i="3" s="1"/>
  <c r="BM396" i="3" s="1"/>
  <c r="CC396" i="3" s="1"/>
  <c r="AF394" i="3"/>
  <c r="AW394" i="3" s="1"/>
  <c r="BM394" i="3" s="1"/>
  <c r="CC394" i="3" s="1"/>
  <c r="AF393" i="3"/>
  <c r="AW393" i="3" s="1"/>
  <c r="BM393" i="3" s="1"/>
  <c r="CC393" i="3" s="1"/>
  <c r="AF392" i="3"/>
  <c r="AW392" i="3" s="1"/>
  <c r="BM392" i="3" s="1"/>
  <c r="CC392" i="3" s="1"/>
  <c r="AF391" i="3"/>
  <c r="AW391" i="3" s="1"/>
  <c r="BM391" i="3" s="1"/>
  <c r="CC391" i="3" s="1"/>
  <c r="AF390" i="3"/>
  <c r="AW390" i="3" s="1"/>
  <c r="BM390" i="3" s="1"/>
  <c r="CC390" i="3" s="1"/>
  <c r="AF387" i="3"/>
  <c r="AW387" i="3" s="1"/>
  <c r="BM387" i="3" s="1"/>
  <c r="CC387" i="3" s="1"/>
  <c r="AF385" i="3"/>
  <c r="AW385" i="3" s="1"/>
  <c r="BM385" i="3" s="1"/>
  <c r="CC385" i="3" s="1"/>
  <c r="AF383" i="3"/>
  <c r="AW383" i="3" s="1"/>
  <c r="BM383" i="3" s="1"/>
  <c r="CC383" i="3" s="1"/>
  <c r="AF381" i="3"/>
  <c r="AW381" i="3" s="1"/>
  <c r="BM381" i="3" s="1"/>
  <c r="CC381" i="3" s="1"/>
  <c r="AF379" i="3"/>
  <c r="AW379" i="3" s="1"/>
  <c r="BM379" i="3" s="1"/>
  <c r="CC379" i="3" s="1"/>
  <c r="Q377" i="3"/>
  <c r="AF377" i="3" s="1"/>
  <c r="AW377" i="3" s="1"/>
  <c r="BM377" i="3" s="1"/>
  <c r="CC377" i="3" s="1"/>
  <c r="AF374" i="3"/>
  <c r="AW374" i="3" s="1"/>
  <c r="BM374" i="3" s="1"/>
  <c r="CC374" i="3" s="1"/>
  <c r="AF371" i="3"/>
  <c r="AW371" i="3" s="1"/>
  <c r="BM371" i="3" s="1"/>
  <c r="CC371" i="3" s="1"/>
  <c r="AF369" i="3"/>
  <c r="AW369" i="3" s="1"/>
  <c r="BM369" i="3" s="1"/>
  <c r="CC369" i="3" s="1"/>
  <c r="AF367" i="3"/>
  <c r="AW367" i="3" s="1"/>
  <c r="BM367" i="3" s="1"/>
  <c r="CC367" i="3" s="1"/>
  <c r="AF366" i="3"/>
  <c r="AW366" i="3" s="1"/>
  <c r="BM366" i="3" s="1"/>
  <c r="CC366" i="3" s="1"/>
  <c r="Q365" i="3"/>
  <c r="AF365" i="3" s="1"/>
  <c r="AW365" i="3" s="1"/>
  <c r="BM365" i="3" s="1"/>
  <c r="CC365" i="3" s="1"/>
  <c r="AF364" i="3"/>
  <c r="AW364" i="3" s="1"/>
  <c r="BM364" i="3" s="1"/>
  <c r="CC364" i="3" s="1"/>
  <c r="AF3" i="3"/>
  <c r="AW3" i="3" s="1"/>
  <c r="BM3" i="3" s="1"/>
  <c r="CC3" i="3" s="1"/>
  <c r="AF4" i="3"/>
  <c r="AW4" i="3" s="1"/>
  <c r="BM4" i="3" s="1"/>
  <c r="CC4" i="3" s="1"/>
  <c r="AF5" i="3"/>
  <c r="AW5" i="3" s="1"/>
  <c r="BM5" i="3" s="1"/>
  <c r="CC5" i="3" s="1"/>
  <c r="AF6" i="3"/>
  <c r="AW6" i="3" s="1"/>
  <c r="BM6" i="3" s="1"/>
  <c r="CC6" i="3" s="1"/>
  <c r="AF7" i="3"/>
  <c r="AW7" i="3" s="1"/>
  <c r="BM7" i="3" s="1"/>
  <c r="CC7" i="3" s="1"/>
  <c r="AF8" i="3"/>
  <c r="AW8" i="3" s="1"/>
  <c r="BM8" i="3" s="1"/>
  <c r="CC8" i="3" s="1"/>
  <c r="AF9" i="3"/>
  <c r="AW9" i="3" s="1"/>
  <c r="BM9" i="3" s="1"/>
  <c r="CC9" i="3" s="1"/>
  <c r="AF10" i="3"/>
  <c r="AW10" i="3" s="1"/>
  <c r="BM10" i="3" s="1"/>
  <c r="CC10" i="3" s="1"/>
  <c r="AF11" i="3"/>
  <c r="AW11" i="3" s="1"/>
  <c r="BM11" i="3" s="1"/>
  <c r="CC11" i="3" s="1"/>
  <c r="AF15" i="3"/>
  <c r="AW15" i="3" s="1"/>
  <c r="BM15" i="3" s="1"/>
  <c r="CC15" i="3" s="1"/>
  <c r="AF16" i="3"/>
  <c r="AW16" i="3" s="1"/>
  <c r="BM16" i="3" s="1"/>
  <c r="CC16" i="3" s="1"/>
  <c r="AF18" i="3"/>
  <c r="AW18" i="3" s="1"/>
  <c r="BM18" i="3" s="1"/>
  <c r="CC18" i="3" s="1"/>
  <c r="AF20" i="3"/>
  <c r="AW20" i="3" s="1"/>
  <c r="BM20" i="3" s="1"/>
  <c r="CC20" i="3" s="1"/>
  <c r="AF21" i="3"/>
  <c r="AW21" i="3" s="1"/>
  <c r="BM21" i="3" s="1"/>
  <c r="CC21" i="3" s="1"/>
  <c r="AF23" i="3"/>
  <c r="AW23" i="3" s="1"/>
  <c r="BM23" i="3" s="1"/>
  <c r="CC23" i="3" s="1"/>
  <c r="AF24" i="3"/>
  <c r="AW24" i="3" s="1"/>
  <c r="BM24" i="3" s="1"/>
  <c r="CC24" i="3" s="1"/>
  <c r="AF25" i="3"/>
  <c r="AW25" i="3" s="1"/>
  <c r="BM25" i="3" s="1"/>
  <c r="CC25" i="3" s="1"/>
  <c r="AF26" i="3"/>
  <c r="AW26" i="3" s="1"/>
  <c r="BM26" i="3" s="1"/>
  <c r="CC26" i="3" s="1"/>
  <c r="AF27" i="3"/>
  <c r="AW27" i="3" s="1"/>
  <c r="BM27" i="3" s="1"/>
  <c r="CC27" i="3" s="1"/>
  <c r="AF29" i="3"/>
  <c r="AW29" i="3" s="1"/>
  <c r="BM29" i="3" s="1"/>
  <c r="CC29" i="3" s="1"/>
  <c r="AF30" i="3"/>
  <c r="AW30" i="3" s="1"/>
  <c r="BM30" i="3" s="1"/>
  <c r="CC30" i="3" s="1"/>
  <c r="AF31" i="3"/>
  <c r="AW31" i="3" s="1"/>
  <c r="BM31" i="3" s="1"/>
  <c r="CC31" i="3" s="1"/>
  <c r="AF32" i="3"/>
  <c r="AW32" i="3" s="1"/>
  <c r="BM32" i="3" s="1"/>
  <c r="CC32" i="3" s="1"/>
  <c r="AF33" i="3"/>
  <c r="AW33" i="3" s="1"/>
  <c r="BM33" i="3" s="1"/>
  <c r="CC33" i="3" s="1"/>
  <c r="AF34" i="3"/>
  <c r="AW34" i="3" s="1"/>
  <c r="BM34" i="3" s="1"/>
  <c r="CC34" i="3" s="1"/>
  <c r="AF36" i="3"/>
  <c r="AW36" i="3" s="1"/>
  <c r="BM36" i="3" s="1"/>
  <c r="CC36" i="3" s="1"/>
  <c r="AF37" i="3"/>
  <c r="AW37" i="3" s="1"/>
  <c r="BM37" i="3" s="1"/>
  <c r="CC37" i="3" s="1"/>
  <c r="AF38" i="3"/>
  <c r="AW38" i="3" s="1"/>
  <c r="BM38" i="3" s="1"/>
  <c r="CC38" i="3" s="1"/>
  <c r="AF39" i="3"/>
  <c r="AW39" i="3" s="1"/>
  <c r="BM39" i="3" s="1"/>
  <c r="CC39" i="3" s="1"/>
  <c r="AF40" i="3"/>
  <c r="AW40" i="3" s="1"/>
  <c r="BM40" i="3" s="1"/>
  <c r="CC40" i="3" s="1"/>
  <c r="AF41" i="3"/>
  <c r="AW41" i="3" s="1"/>
  <c r="BM41" i="3" s="1"/>
  <c r="CC41" i="3" s="1"/>
  <c r="AF42" i="3"/>
  <c r="AW42" i="3" s="1"/>
  <c r="BM42" i="3" s="1"/>
  <c r="CC42" i="3" s="1"/>
  <c r="AF43" i="3"/>
  <c r="AW43" i="3" s="1"/>
  <c r="BM43" i="3" s="1"/>
  <c r="CC43" i="3" s="1"/>
  <c r="AF44" i="3"/>
  <c r="AW44" i="3" s="1"/>
  <c r="BM44" i="3" s="1"/>
  <c r="CC44" i="3" s="1"/>
  <c r="AF45" i="3"/>
  <c r="AW45" i="3" s="1"/>
  <c r="BM45" i="3" s="1"/>
  <c r="CC45" i="3" s="1"/>
  <c r="AF47" i="3"/>
  <c r="AW47" i="3" s="1"/>
  <c r="BM47" i="3" s="1"/>
  <c r="CC47" i="3" s="1"/>
  <c r="AF50" i="3"/>
  <c r="AW50" i="3" s="1"/>
  <c r="BM50" i="3" s="1"/>
  <c r="CC50" i="3" s="1"/>
  <c r="AF51" i="3"/>
  <c r="AW51" i="3" s="1"/>
  <c r="BM51" i="3" s="1"/>
  <c r="CC51" i="3" s="1"/>
  <c r="AF52" i="3"/>
  <c r="AW52" i="3" s="1"/>
  <c r="BM52" i="3" s="1"/>
  <c r="CC52" i="3" s="1"/>
  <c r="AF53" i="3"/>
  <c r="AW53" i="3" s="1"/>
  <c r="BM53" i="3" s="1"/>
  <c r="CC53" i="3" s="1"/>
  <c r="AF54" i="3"/>
  <c r="AW54" i="3" s="1"/>
  <c r="BM54" i="3" s="1"/>
  <c r="CC54" i="3" s="1"/>
  <c r="AF55" i="3"/>
  <c r="AW55" i="3" s="1"/>
  <c r="BM55" i="3" s="1"/>
  <c r="CC55" i="3" s="1"/>
  <c r="AF56" i="3"/>
  <c r="AW56" i="3" s="1"/>
  <c r="BM56" i="3" s="1"/>
  <c r="CC56" i="3" s="1"/>
  <c r="AF57" i="3"/>
  <c r="AW57" i="3" s="1"/>
  <c r="BM57" i="3" s="1"/>
  <c r="CC57" i="3" s="1"/>
  <c r="AF58" i="3"/>
  <c r="AW58" i="3" s="1"/>
  <c r="BM58" i="3" s="1"/>
  <c r="CC58" i="3" s="1"/>
  <c r="AF59" i="3"/>
  <c r="AW59" i="3" s="1"/>
  <c r="BM59" i="3" s="1"/>
  <c r="CC59" i="3" s="1"/>
  <c r="AF60" i="3"/>
  <c r="AW60" i="3" s="1"/>
  <c r="BM60" i="3" s="1"/>
  <c r="CC60" i="3" s="1"/>
  <c r="AF61" i="3"/>
  <c r="AW61" i="3" s="1"/>
  <c r="BM61" i="3" s="1"/>
  <c r="CC61" i="3" s="1"/>
  <c r="AF62" i="3"/>
  <c r="AW62" i="3" s="1"/>
  <c r="BM62" i="3" s="1"/>
  <c r="CC62" i="3" s="1"/>
  <c r="AF63" i="3"/>
  <c r="AW63" i="3" s="1"/>
  <c r="BM63" i="3" s="1"/>
  <c r="CC63" i="3" s="1"/>
  <c r="AF64" i="3"/>
  <c r="AW64" i="3" s="1"/>
  <c r="BM64" i="3" s="1"/>
  <c r="CC64" i="3" s="1"/>
  <c r="AF65" i="3"/>
  <c r="AW65" i="3" s="1"/>
  <c r="BM65" i="3" s="1"/>
  <c r="CC65" i="3" s="1"/>
  <c r="AF66" i="3"/>
  <c r="AW66" i="3" s="1"/>
  <c r="BM66" i="3" s="1"/>
  <c r="CC66" i="3" s="1"/>
  <c r="AF68" i="3"/>
  <c r="AW68" i="3" s="1"/>
  <c r="Q69" i="3"/>
  <c r="AF69" i="3" s="1"/>
  <c r="AW69" i="3" s="1"/>
  <c r="Q70" i="3"/>
  <c r="AF70" i="3" s="1"/>
  <c r="AW70" i="3" s="1"/>
  <c r="Q71" i="3"/>
  <c r="AF71" i="3" s="1"/>
  <c r="AW71" i="3" s="1"/>
  <c r="Q72" i="3"/>
  <c r="AF72" i="3" s="1"/>
  <c r="AW72" i="3" s="1"/>
  <c r="Q73" i="3"/>
  <c r="AF73" i="3" s="1"/>
  <c r="AW73" i="3" s="1"/>
  <c r="AF74" i="3"/>
  <c r="AW74" i="3" s="1"/>
  <c r="Q75" i="3"/>
  <c r="AF75" i="3" s="1"/>
  <c r="AW75" i="3" s="1"/>
  <c r="AF76" i="3"/>
  <c r="AW76" i="3" s="1"/>
  <c r="AF78" i="3"/>
  <c r="AW78" i="3" s="1"/>
  <c r="AF79" i="3"/>
  <c r="AW79" i="3" s="1"/>
  <c r="AF80" i="3"/>
  <c r="AW80" i="3" s="1"/>
  <c r="AF82" i="3"/>
  <c r="AW82" i="3" s="1"/>
  <c r="AF83" i="3"/>
  <c r="AW83" i="3" s="1"/>
  <c r="AF84" i="3"/>
  <c r="AW84" i="3" s="1"/>
  <c r="AF85" i="3"/>
  <c r="AW85" i="3" s="1"/>
  <c r="AF87" i="3"/>
  <c r="AW87" i="3" s="1"/>
  <c r="AF88" i="3"/>
  <c r="AW88" i="3" s="1"/>
  <c r="AF89" i="3"/>
  <c r="AW89" i="3" s="1"/>
  <c r="AF90" i="3"/>
  <c r="AW90" i="3" s="1"/>
  <c r="AF91" i="3"/>
  <c r="AW91" i="3" s="1"/>
  <c r="AF92" i="3"/>
  <c r="AW92" i="3" s="1"/>
  <c r="AF94" i="3"/>
  <c r="AW94" i="3" s="1"/>
  <c r="AF95" i="3"/>
  <c r="AW95" i="3" s="1"/>
  <c r="AF96" i="3"/>
  <c r="AW96" i="3" s="1"/>
  <c r="AF98" i="3"/>
  <c r="AW98" i="3" s="1"/>
  <c r="AF99" i="3"/>
  <c r="AW99" i="3" s="1"/>
  <c r="AF100" i="3"/>
  <c r="AW100" i="3" s="1"/>
  <c r="AF101" i="3"/>
  <c r="AW101" i="3" s="1"/>
  <c r="AF103" i="3"/>
  <c r="AW103" i="3" s="1"/>
  <c r="AF104" i="3"/>
  <c r="AW104" i="3" s="1"/>
  <c r="AF105" i="3"/>
  <c r="AW105" i="3" s="1"/>
  <c r="AF106" i="3"/>
  <c r="AW106" i="3" s="1"/>
  <c r="AF107" i="3"/>
  <c r="AW107" i="3" s="1"/>
  <c r="AF108" i="3"/>
  <c r="AW108" i="3" s="1"/>
  <c r="AF109" i="3"/>
  <c r="AW109" i="3" s="1"/>
  <c r="AF110" i="3"/>
  <c r="AW110" i="3" s="1"/>
  <c r="AF81" i="3"/>
  <c r="AW81" i="3" s="1"/>
  <c r="AF113" i="3"/>
  <c r="AW113" i="3" s="1"/>
  <c r="AF114" i="3"/>
  <c r="AW114" i="3" s="1"/>
  <c r="AF116" i="3"/>
  <c r="AW116" i="3" s="1"/>
  <c r="AF117" i="3"/>
  <c r="AW117" i="3" s="1"/>
  <c r="AF118" i="3"/>
  <c r="AW118" i="3" s="1"/>
  <c r="AF121" i="3"/>
  <c r="AW121" i="3" s="1"/>
  <c r="AF123" i="3"/>
  <c r="AW123" i="3" s="1"/>
  <c r="AF124" i="3"/>
  <c r="AW124" i="3" s="1"/>
  <c r="AF125" i="3"/>
  <c r="AW125" i="3" s="1"/>
  <c r="AF126" i="3"/>
  <c r="AW126" i="3" s="1"/>
  <c r="AF127" i="3"/>
  <c r="AW127" i="3" s="1"/>
  <c r="AF129" i="3"/>
  <c r="AW129" i="3" s="1"/>
  <c r="AF132" i="3"/>
  <c r="AW132" i="3" s="1"/>
  <c r="AF133" i="3"/>
  <c r="AW133" i="3" s="1"/>
  <c r="AF134" i="3"/>
  <c r="AW134" i="3" s="1"/>
  <c r="AF135" i="3"/>
  <c r="AW135" i="3" s="1"/>
  <c r="AF136" i="3"/>
  <c r="AW136" i="3" s="1"/>
  <c r="AF137" i="3"/>
  <c r="AW137" i="3" s="1"/>
  <c r="AF139" i="3"/>
  <c r="AW139" i="3" s="1"/>
  <c r="AF143" i="3"/>
  <c r="AW143" i="3" s="1"/>
  <c r="AF144" i="3"/>
  <c r="AW144" i="3" s="1"/>
  <c r="AF145" i="3"/>
  <c r="AW145" i="3" s="1"/>
  <c r="AF148" i="3"/>
  <c r="AW148" i="3" s="1"/>
  <c r="AF151" i="3"/>
  <c r="AW151" i="3" s="1"/>
  <c r="AF152" i="3"/>
  <c r="AW152" i="3" s="1"/>
  <c r="AF153" i="3"/>
  <c r="AW153" i="3" s="1"/>
  <c r="AF154" i="3"/>
  <c r="AW154" i="3" s="1"/>
  <c r="AF155" i="3"/>
  <c r="AW155" i="3" s="1"/>
  <c r="AF157" i="3"/>
  <c r="AW157" i="3" s="1"/>
  <c r="AF158" i="3"/>
  <c r="AW158" i="3" s="1"/>
  <c r="AF159" i="3"/>
  <c r="AW159" i="3" s="1"/>
  <c r="AF160" i="3"/>
  <c r="AW160" i="3" s="1"/>
  <c r="AF161" i="3"/>
  <c r="AW161" i="3" s="1"/>
  <c r="AF162" i="3"/>
  <c r="AW162" i="3" s="1"/>
  <c r="AF163" i="3"/>
  <c r="AW163" i="3" s="1"/>
  <c r="BM163" i="3" s="1"/>
  <c r="Q165" i="3"/>
  <c r="AF165" i="3" s="1"/>
  <c r="AW165" i="3" s="1"/>
  <c r="BM165" i="3" s="1"/>
  <c r="Q164" i="3"/>
  <c r="AF164" i="3" s="1"/>
  <c r="AW164" i="3" s="1"/>
  <c r="BM164" i="3" s="1"/>
  <c r="AF166" i="3"/>
  <c r="AW166" i="3" s="1"/>
  <c r="BM166" i="3" s="1"/>
  <c r="AF167" i="3"/>
  <c r="AW167" i="3" s="1"/>
  <c r="BM167" i="3" s="1"/>
  <c r="AF168" i="3"/>
  <c r="AW168" i="3" s="1"/>
  <c r="BM168" i="3" s="1"/>
  <c r="AF169" i="3"/>
  <c r="AW169" i="3" s="1"/>
  <c r="BM169" i="3" s="1"/>
  <c r="AF170" i="3"/>
  <c r="AW170" i="3" s="1"/>
  <c r="BM170" i="3" s="1"/>
  <c r="AF171" i="3"/>
  <c r="AW171" i="3" s="1"/>
  <c r="BM171" i="3" s="1"/>
  <c r="AF172" i="3"/>
  <c r="AW172" i="3" s="1"/>
  <c r="BM172" i="3" s="1"/>
  <c r="AF173" i="3"/>
  <c r="AW173" i="3" s="1"/>
  <c r="BM173" i="3" s="1"/>
  <c r="AF174" i="3"/>
  <c r="AW174" i="3" s="1"/>
  <c r="BM174" i="3" s="1"/>
  <c r="AF175" i="3"/>
  <c r="AW175" i="3" s="1"/>
  <c r="BM175" i="3" s="1"/>
  <c r="AF176" i="3"/>
  <c r="AW176" i="3" s="1"/>
  <c r="BM176" i="3" s="1"/>
  <c r="AF177" i="3"/>
  <c r="AW177" i="3" s="1"/>
  <c r="BM177" i="3" s="1"/>
  <c r="AF178" i="3"/>
  <c r="AW178" i="3" s="1"/>
  <c r="BM178" i="3" s="1"/>
  <c r="AF179" i="3"/>
  <c r="AW179" i="3" s="1"/>
  <c r="BM179" i="3" s="1"/>
  <c r="AF180" i="3"/>
  <c r="AW180" i="3" s="1"/>
  <c r="BM180" i="3" s="1"/>
  <c r="AF181" i="3"/>
  <c r="AW181" i="3" s="1"/>
  <c r="BM181" i="3" s="1"/>
  <c r="AF182" i="3"/>
  <c r="AW182" i="3" s="1"/>
  <c r="BM182" i="3" s="1"/>
  <c r="AF183" i="3"/>
  <c r="AW183" i="3" s="1"/>
  <c r="BM183" i="3" s="1"/>
  <c r="AF184" i="3"/>
  <c r="AW184" i="3" s="1"/>
  <c r="BM184" i="3" s="1"/>
  <c r="AF185" i="3"/>
  <c r="AW185" i="3" s="1"/>
  <c r="BM185" i="3" s="1"/>
  <c r="AF186" i="3"/>
  <c r="AW186" i="3" s="1"/>
  <c r="BM186" i="3" s="1"/>
  <c r="AF187" i="3"/>
  <c r="AW187" i="3" s="1"/>
  <c r="BM187" i="3" s="1"/>
  <c r="AF188" i="3"/>
  <c r="AW188" i="3" s="1"/>
  <c r="BM188" i="3" s="1"/>
  <c r="AF189" i="3"/>
  <c r="AW189" i="3" s="1"/>
  <c r="BM189" i="3" s="1"/>
  <c r="AF190" i="3"/>
  <c r="AW190" i="3" s="1"/>
  <c r="BM190" i="3" s="1"/>
  <c r="AF191" i="3"/>
  <c r="AW191" i="3" s="1"/>
  <c r="BM191" i="3" s="1"/>
  <c r="AF192" i="3"/>
  <c r="AW192" i="3" s="1"/>
  <c r="BM192" i="3" s="1"/>
  <c r="AF193" i="3"/>
  <c r="AW193" i="3" s="1"/>
  <c r="BM193" i="3" s="1"/>
  <c r="AF194" i="3"/>
  <c r="AW194" i="3" s="1"/>
  <c r="BM194" i="3" s="1"/>
  <c r="AF195" i="3"/>
  <c r="AW195" i="3" s="1"/>
  <c r="BM195" i="3" s="1"/>
  <c r="AF196" i="3"/>
  <c r="AW196" i="3" s="1"/>
  <c r="BM196" i="3" s="1"/>
  <c r="AF197" i="3"/>
  <c r="AW197" i="3" s="1"/>
  <c r="BM197" i="3" s="1"/>
  <c r="AF199" i="3"/>
  <c r="AW199" i="3" s="1"/>
  <c r="BM199" i="3" s="1"/>
  <c r="AF200" i="3"/>
  <c r="AW200" i="3" s="1"/>
  <c r="BM200" i="3" s="1"/>
  <c r="AF201" i="3"/>
  <c r="AW201" i="3" s="1"/>
  <c r="BM201" i="3" s="1"/>
  <c r="AF202" i="3"/>
  <c r="AW202" i="3" s="1"/>
  <c r="BM202" i="3" s="1"/>
  <c r="AF203" i="3"/>
  <c r="AW203" i="3" s="1"/>
  <c r="BM203" i="3" s="1"/>
  <c r="AF204" i="3"/>
  <c r="AW204" i="3" s="1"/>
  <c r="BM204" i="3" s="1"/>
  <c r="AF205" i="3"/>
  <c r="AW205" i="3" s="1"/>
  <c r="BM205" i="3" s="1"/>
  <c r="AF206" i="3"/>
  <c r="AW206" i="3" s="1"/>
  <c r="BM206" i="3" s="1"/>
  <c r="AF207" i="3"/>
  <c r="AW207" i="3" s="1"/>
  <c r="BM207" i="3" s="1"/>
  <c r="AF208" i="3"/>
  <c r="AW208" i="3" s="1"/>
  <c r="BM208" i="3" s="1"/>
  <c r="AF209" i="3"/>
  <c r="AW209" i="3" s="1"/>
  <c r="BM209" i="3" s="1"/>
  <c r="AF210" i="3"/>
  <c r="AW210" i="3" s="1"/>
  <c r="BM210" i="3" s="1"/>
  <c r="AF211" i="3"/>
  <c r="AW211" i="3" s="1"/>
  <c r="BM211" i="3" s="1"/>
  <c r="AF212" i="3"/>
  <c r="AW212" i="3" s="1"/>
  <c r="BM212" i="3" s="1"/>
  <c r="AF213" i="3"/>
  <c r="AW213" i="3" s="1"/>
  <c r="BM213" i="3" s="1"/>
  <c r="AF214" i="3"/>
  <c r="AW214" i="3" s="1"/>
  <c r="BM214" i="3" s="1"/>
  <c r="AF215" i="3"/>
  <c r="AW215" i="3" s="1"/>
  <c r="BM215" i="3" s="1"/>
  <c r="AF216" i="3"/>
  <c r="AW216" i="3" s="1"/>
  <c r="BM216" i="3" s="1"/>
  <c r="AF217" i="3"/>
  <c r="AW217" i="3" s="1"/>
  <c r="BM217" i="3" s="1"/>
  <c r="AF218" i="3"/>
  <c r="AW218" i="3" s="1"/>
  <c r="BM218" i="3" s="1"/>
  <c r="AF219" i="3"/>
  <c r="AW219" i="3" s="1"/>
  <c r="BM219" i="3" s="1"/>
  <c r="AF220" i="3"/>
  <c r="AW220" i="3" s="1"/>
  <c r="BM220" i="3" s="1"/>
  <c r="AF221" i="3"/>
  <c r="AW221" i="3" s="1"/>
  <c r="BM221" i="3" s="1"/>
  <c r="AF222" i="3"/>
  <c r="AW222" i="3" s="1"/>
  <c r="BM222" i="3" s="1"/>
  <c r="AF223" i="3"/>
  <c r="AW223" i="3" s="1"/>
  <c r="BM223" i="3" s="1"/>
  <c r="AF224" i="3"/>
  <c r="AW224" i="3" s="1"/>
  <c r="BM224" i="3" s="1"/>
  <c r="AF225" i="3"/>
  <c r="AW225" i="3" s="1"/>
  <c r="BM225" i="3" s="1"/>
  <c r="AF227" i="3"/>
  <c r="AW227" i="3" s="1"/>
  <c r="BM227" i="3" s="1"/>
  <c r="AF228" i="3"/>
  <c r="AW228" i="3" s="1"/>
  <c r="BM228" i="3" s="1"/>
  <c r="AF229" i="3"/>
  <c r="AW229" i="3" s="1"/>
  <c r="BM229" i="3" s="1"/>
  <c r="AF230" i="3"/>
  <c r="AW230" i="3" s="1"/>
  <c r="BM230" i="3" s="1"/>
  <c r="AF231" i="3"/>
  <c r="AW231" i="3" s="1"/>
  <c r="BM231" i="3" s="1"/>
  <c r="AF235" i="3"/>
  <c r="AW235" i="3" s="1"/>
  <c r="BM235" i="3" s="1"/>
  <c r="AF236" i="3"/>
  <c r="AW236" i="3" s="1"/>
  <c r="BM236" i="3" s="1"/>
  <c r="AF237" i="3"/>
  <c r="AW237" i="3" s="1"/>
  <c r="BM237" i="3" s="1"/>
  <c r="CC237" i="3" s="1"/>
  <c r="AF86" i="3"/>
  <c r="AW86" i="3" s="1"/>
  <c r="BM86" i="3" s="1"/>
  <c r="CC86" i="3" s="1"/>
  <c r="AF239" i="3"/>
  <c r="AW239" i="3" s="1"/>
  <c r="BM239" i="3" s="1"/>
  <c r="CC239" i="3" s="1"/>
  <c r="AF112" i="3"/>
  <c r="AW112" i="3" s="1"/>
  <c r="BM112" i="3" s="1"/>
  <c r="CC112" i="3" s="1"/>
  <c r="AF238" i="3"/>
  <c r="AW238" i="3" s="1"/>
  <c r="BM238" i="3" s="1"/>
  <c r="CC238" i="3" s="1"/>
  <c r="AF243" i="3"/>
  <c r="AW243" i="3" s="1"/>
  <c r="BM243" i="3" s="1"/>
  <c r="CC243" i="3" s="1"/>
  <c r="AF244" i="3"/>
  <c r="AW244" i="3" s="1"/>
  <c r="BM244" i="3" s="1"/>
  <c r="CC244" i="3" s="1"/>
  <c r="AF245" i="3"/>
  <c r="AW245" i="3" s="1"/>
  <c r="BM245" i="3" s="1"/>
  <c r="CC245" i="3" s="1"/>
  <c r="AF246" i="3"/>
  <c r="AW246" i="3" s="1"/>
  <c r="BM246" i="3" s="1"/>
  <c r="CC246" i="3" s="1"/>
  <c r="AF247" i="3"/>
  <c r="AW247" i="3" s="1"/>
  <c r="BM247" i="3" s="1"/>
  <c r="CC247" i="3" s="1"/>
  <c r="AF248" i="3"/>
  <c r="AW248" i="3" s="1"/>
  <c r="BM248" i="3" s="1"/>
  <c r="CC248" i="3" s="1"/>
  <c r="AF249" i="3"/>
  <c r="AW249" i="3" s="1"/>
  <c r="BM249" i="3" s="1"/>
  <c r="CC249" i="3" s="1"/>
  <c r="AF251" i="3"/>
  <c r="AW251" i="3" s="1"/>
  <c r="BM251" i="3" s="1"/>
  <c r="CC251" i="3" s="1"/>
  <c r="AF253" i="3"/>
  <c r="AW253" i="3" s="1"/>
  <c r="BM253" i="3" s="1"/>
  <c r="CC253" i="3" s="1"/>
  <c r="AF254" i="3"/>
  <c r="AW254" i="3" s="1"/>
  <c r="BM254" i="3" s="1"/>
  <c r="CC254" i="3" s="1"/>
  <c r="AF255" i="3"/>
  <c r="AW255" i="3" s="1"/>
  <c r="BM255" i="3" s="1"/>
  <c r="CC255" i="3" s="1"/>
  <c r="AF256" i="3"/>
  <c r="AW256" i="3" s="1"/>
  <c r="BM256" i="3" s="1"/>
  <c r="CC256" i="3" s="1"/>
  <c r="AF257" i="3"/>
  <c r="AW257" i="3" s="1"/>
  <c r="BM257" i="3" s="1"/>
  <c r="CC257" i="3" s="1"/>
  <c r="AF258" i="3"/>
  <c r="AW258" i="3" s="1"/>
  <c r="BM258" i="3" s="1"/>
  <c r="CC258" i="3" s="1"/>
  <c r="AF259" i="3"/>
  <c r="AW259" i="3" s="1"/>
  <c r="BM259" i="3" s="1"/>
  <c r="CC259" i="3" s="1"/>
  <c r="AF306" i="3"/>
  <c r="AW306" i="3" s="1"/>
  <c r="BM306" i="3" s="1"/>
  <c r="CC306" i="3" s="1"/>
  <c r="AF263" i="3"/>
  <c r="AW263" i="3" s="1"/>
  <c r="BM263" i="3" s="1"/>
  <c r="CC263" i="3" s="1"/>
  <c r="AF266" i="3"/>
  <c r="AW266" i="3" s="1"/>
  <c r="BM266" i="3" s="1"/>
  <c r="CC266" i="3" s="1"/>
  <c r="AF267" i="3"/>
  <c r="AW267" i="3" s="1"/>
  <c r="BM267" i="3" s="1"/>
  <c r="CC267" i="3" s="1"/>
  <c r="AF268" i="3"/>
  <c r="AW268" i="3" s="1"/>
  <c r="BM268" i="3" s="1"/>
  <c r="CC268" i="3" s="1"/>
  <c r="AF269" i="3"/>
  <c r="AW269" i="3" s="1"/>
  <c r="BM269" i="3" s="1"/>
  <c r="CC269" i="3" s="1"/>
  <c r="AF270" i="3"/>
  <c r="AW270" i="3" s="1"/>
  <c r="BM270" i="3" s="1"/>
  <c r="CC270" i="3" s="1"/>
  <c r="AF271" i="3"/>
  <c r="AW271" i="3" s="1"/>
  <c r="BM271" i="3" s="1"/>
  <c r="CC271" i="3" s="1"/>
  <c r="AF272" i="3"/>
  <c r="AW272" i="3" s="1"/>
  <c r="BM272" i="3" s="1"/>
  <c r="CC272" i="3" s="1"/>
  <c r="AF273" i="3"/>
  <c r="AW273" i="3" s="1"/>
  <c r="BM273" i="3" s="1"/>
  <c r="CC273" i="3" s="1"/>
  <c r="AF274" i="3"/>
  <c r="AW274" i="3" s="1"/>
  <c r="BM274" i="3" s="1"/>
  <c r="CC274" i="3" s="1"/>
  <c r="AF275" i="3"/>
  <c r="AW275" i="3" s="1"/>
  <c r="BM275" i="3" s="1"/>
  <c r="CC275" i="3" s="1"/>
  <c r="AF276" i="3"/>
  <c r="AW276" i="3" s="1"/>
  <c r="BM276" i="3" s="1"/>
  <c r="CC276" i="3" s="1"/>
  <c r="AF277" i="3"/>
  <c r="AW277" i="3" s="1"/>
  <c r="BM277" i="3" s="1"/>
  <c r="CC277" i="3" s="1"/>
  <c r="AF278" i="3"/>
  <c r="AW278" i="3" s="1"/>
  <c r="BM278" i="3" s="1"/>
  <c r="CC278" i="3" s="1"/>
  <c r="AF279" i="3"/>
  <c r="AW279" i="3" s="1"/>
  <c r="BM279" i="3" s="1"/>
  <c r="CC279" i="3" s="1"/>
  <c r="AF280" i="3"/>
  <c r="AW280" i="3" s="1"/>
  <c r="BM280" i="3" s="1"/>
  <c r="CC280" i="3" s="1"/>
  <c r="AF281" i="3"/>
  <c r="AW281" i="3" s="1"/>
  <c r="BM281" i="3" s="1"/>
  <c r="CC281" i="3" s="1"/>
  <c r="AF282" i="3"/>
  <c r="AW282" i="3" s="1"/>
  <c r="BM282" i="3" s="1"/>
  <c r="CC282" i="3" s="1"/>
  <c r="AF283" i="3"/>
  <c r="AW283" i="3" s="1"/>
  <c r="BM283" i="3" s="1"/>
  <c r="CC283" i="3" s="1"/>
  <c r="AF284" i="3"/>
  <c r="AW284" i="3" s="1"/>
  <c r="BM284" i="3" s="1"/>
  <c r="CC284" i="3" s="1"/>
  <c r="AF286" i="3"/>
  <c r="AW286" i="3" s="1"/>
  <c r="BM286" i="3" s="1"/>
  <c r="CC286" i="3" s="1"/>
  <c r="AF287" i="3"/>
  <c r="AW287" i="3" s="1"/>
  <c r="BM287" i="3" s="1"/>
  <c r="CC287" i="3" s="1"/>
  <c r="AF288" i="3"/>
  <c r="AW288" i="3" s="1"/>
  <c r="BM288" i="3" s="1"/>
  <c r="CC288" i="3" s="1"/>
  <c r="AF289" i="3"/>
  <c r="AW289" i="3" s="1"/>
  <c r="BM289" i="3" s="1"/>
  <c r="CC289" i="3" s="1"/>
  <c r="AF353" i="3"/>
  <c r="AW353" i="3" s="1"/>
  <c r="BM353" i="3" s="1"/>
  <c r="CC353" i="3" s="1"/>
  <c r="AF291" i="3"/>
  <c r="AW291" i="3" s="1"/>
  <c r="BM291" i="3" s="1"/>
  <c r="CC291" i="3" s="1"/>
  <c r="AF292" i="3"/>
  <c r="AW292" i="3" s="1"/>
  <c r="BM292" i="3" s="1"/>
  <c r="CC292" i="3" s="1"/>
  <c r="AF293" i="3"/>
  <c r="AW293" i="3" s="1"/>
  <c r="BM293" i="3" s="1"/>
  <c r="CC293" i="3" s="1"/>
  <c r="AF294" i="3"/>
  <c r="AW294" i="3" s="1"/>
  <c r="BM294" i="3" s="1"/>
  <c r="CC294" i="3" s="1"/>
  <c r="AF295" i="3"/>
  <c r="AW295" i="3" s="1"/>
  <c r="BM295" i="3" s="1"/>
  <c r="CC295" i="3" s="1"/>
  <c r="AF296" i="3"/>
  <c r="AW296" i="3" s="1"/>
  <c r="BM296" i="3" s="1"/>
  <c r="CC296" i="3" s="1"/>
  <c r="AF297" i="3"/>
  <c r="AW297" i="3" s="1"/>
  <c r="BM297" i="3" s="1"/>
  <c r="CC297" i="3" s="1"/>
  <c r="AF298" i="3"/>
  <c r="AW298" i="3" s="1"/>
  <c r="BM298" i="3" s="1"/>
  <c r="CC298" i="3" s="1"/>
  <c r="AF310" i="3"/>
  <c r="AW310" i="3" s="1"/>
  <c r="BM310" i="3" s="1"/>
  <c r="CC310" i="3" s="1"/>
  <c r="AF311" i="3"/>
  <c r="AW311" i="3" s="1"/>
  <c r="BM311" i="3" s="1"/>
  <c r="CC311" i="3" s="1"/>
  <c r="AF299" i="3"/>
  <c r="AW299" i="3" s="1"/>
  <c r="BM299" i="3" s="1"/>
  <c r="CC299" i="3" s="1"/>
  <c r="AF300" i="3"/>
  <c r="AW300" i="3" s="1"/>
  <c r="BM300" i="3" s="1"/>
  <c r="CC300" i="3" s="1"/>
  <c r="AF398" i="3"/>
  <c r="AW398" i="3" s="1"/>
  <c r="AF307" i="3"/>
  <c r="AW307" i="3" s="1"/>
  <c r="BM307" i="3" s="1"/>
  <c r="CC307" i="3" s="1"/>
  <c r="AF318" i="3"/>
  <c r="AW318" i="3" s="1"/>
  <c r="AF319" i="3"/>
  <c r="AW319" i="3" s="1"/>
  <c r="AF321" i="3"/>
  <c r="AW321" i="3" s="1"/>
  <c r="AF322" i="3"/>
  <c r="AW322" i="3" s="1"/>
  <c r="AF323" i="3"/>
  <c r="AW323" i="3" s="1"/>
  <c r="AF325" i="3"/>
  <c r="AW325" i="3" s="1"/>
  <c r="AF326" i="3"/>
  <c r="AW326" i="3" s="1"/>
  <c r="AF327" i="3"/>
  <c r="AW327" i="3" s="1"/>
  <c r="AF330" i="3"/>
  <c r="AW330" i="3" s="1"/>
  <c r="AF331" i="3"/>
  <c r="AW331" i="3" s="1"/>
  <c r="AF332" i="3"/>
  <c r="AW332" i="3" s="1"/>
  <c r="AF333" i="3"/>
  <c r="AW333" i="3" s="1"/>
  <c r="AF335" i="3"/>
  <c r="AW335" i="3" s="1"/>
  <c r="AF336" i="3"/>
  <c r="AW336" i="3" s="1"/>
  <c r="AF337" i="3"/>
  <c r="AW337" i="3" s="1"/>
  <c r="AF340" i="3"/>
  <c r="AW340" i="3" s="1"/>
  <c r="AF341" i="3"/>
  <c r="AW341" i="3" s="1"/>
  <c r="AF342" i="3"/>
  <c r="AW342" i="3" s="1"/>
  <c r="AF343" i="3"/>
  <c r="AW343" i="3" s="1"/>
  <c r="AF344" i="3"/>
  <c r="AW344" i="3" s="1"/>
  <c r="AF347" i="3"/>
  <c r="AW347" i="3" s="1"/>
  <c r="AF348" i="3"/>
  <c r="AW348" i="3" s="1"/>
  <c r="AF350" i="3"/>
  <c r="AW350" i="3" s="1"/>
  <c r="AF352" i="3"/>
  <c r="AW352" i="3" s="1"/>
  <c r="AF315" i="3"/>
  <c r="AW315" i="3" s="1"/>
  <c r="AF355" i="3"/>
  <c r="AW355" i="3" s="1"/>
  <c r="AF357" i="3"/>
  <c r="AW357" i="3" s="1"/>
  <c r="AF358" i="3"/>
  <c r="AW358" i="3" s="1"/>
  <c r="AF359" i="3"/>
  <c r="AW359" i="3" s="1"/>
  <c r="BM359" i="3" s="1"/>
  <c r="CC359" i="3" s="1"/>
  <c r="AF360" i="3"/>
  <c r="AW360" i="3" s="1"/>
  <c r="BM360" i="3" s="1"/>
  <c r="CC360" i="3" s="1"/>
  <c r="Q361" i="3"/>
  <c r="AF361" i="3" s="1"/>
  <c r="AW361" i="3" s="1"/>
  <c r="BM361" i="3" s="1"/>
  <c r="CC361" i="3" s="1"/>
  <c r="Q2" i="3"/>
  <c r="AF2" i="3" s="1"/>
  <c r="AW2" i="3" s="1"/>
  <c r="BM2" i="3" s="1"/>
  <c r="CC2" i="3" s="1"/>
  <c r="AF388" i="3"/>
  <c r="AW388" i="3" s="1"/>
  <c r="BM388" i="3" s="1"/>
  <c r="CC388" i="3" s="1"/>
  <c r="BD438" i="3"/>
  <c r="BB438" i="3"/>
  <c r="AC438" i="3"/>
  <c r="CC231" i="3" l="1"/>
  <c r="CE231" i="3" s="1"/>
  <c r="CC173" i="3"/>
  <c r="CE173" i="3" s="1"/>
  <c r="CC230" i="3"/>
  <c r="CE230" i="3" s="1"/>
  <c r="CC221" i="3"/>
  <c r="CE221" i="3" s="1"/>
  <c r="CC213" i="3"/>
  <c r="CE213" i="3" s="1"/>
  <c r="CC205" i="3"/>
  <c r="CE205" i="3" s="1"/>
  <c r="CC196" i="3"/>
  <c r="CE196" i="3" s="1"/>
  <c r="CC188" i="3"/>
  <c r="CE188" i="3" s="1"/>
  <c r="CC180" i="3"/>
  <c r="CE180" i="3" s="1"/>
  <c r="CC172" i="3"/>
  <c r="CE172" i="3" s="1"/>
  <c r="CC165" i="3"/>
  <c r="CE165" i="3" s="1"/>
  <c r="CC181" i="3"/>
  <c r="CE181" i="3" s="1"/>
  <c r="CC229" i="3"/>
  <c r="CE229" i="3" s="1"/>
  <c r="CC220" i="3"/>
  <c r="CE220" i="3" s="1"/>
  <c r="CC212" i="3"/>
  <c r="CE212" i="3" s="1"/>
  <c r="CC204" i="3"/>
  <c r="CE204" i="3" s="1"/>
  <c r="CC195" i="3"/>
  <c r="CE195" i="3" s="1"/>
  <c r="CC187" i="3"/>
  <c r="CE187" i="3" s="1"/>
  <c r="CC179" i="3"/>
  <c r="CE179" i="3" s="1"/>
  <c r="CC171" i="3"/>
  <c r="CE171" i="3" s="1"/>
  <c r="CC163" i="3"/>
  <c r="CE163" i="3" s="1"/>
  <c r="CC214" i="3"/>
  <c r="CE214" i="3" s="1"/>
  <c r="CC228" i="3"/>
  <c r="CE228" i="3" s="1"/>
  <c r="CC219" i="3"/>
  <c r="CE219" i="3" s="1"/>
  <c r="CC211" i="3"/>
  <c r="CE211" i="3" s="1"/>
  <c r="CC203" i="3"/>
  <c r="CE203" i="3" s="1"/>
  <c r="CC194" i="3"/>
  <c r="CE194" i="3" s="1"/>
  <c r="CC186" i="3"/>
  <c r="CE186" i="3" s="1"/>
  <c r="CC178" i="3"/>
  <c r="CE178" i="3" s="1"/>
  <c r="CC170" i="3"/>
  <c r="CE170" i="3" s="1"/>
  <c r="CC206" i="3"/>
  <c r="CE206" i="3" s="1"/>
  <c r="CC227" i="3"/>
  <c r="CE227" i="3" s="1"/>
  <c r="CC218" i="3"/>
  <c r="CE218" i="3" s="1"/>
  <c r="CC210" i="3"/>
  <c r="CE210" i="3" s="1"/>
  <c r="CC202" i="3"/>
  <c r="CE202" i="3" s="1"/>
  <c r="CC193" i="3"/>
  <c r="CE193" i="3" s="1"/>
  <c r="CC185" i="3"/>
  <c r="CE185" i="3" s="1"/>
  <c r="CC177" i="3"/>
  <c r="CE177" i="3" s="1"/>
  <c r="CC169" i="3"/>
  <c r="CE169" i="3" s="1"/>
  <c r="CC197" i="3"/>
  <c r="CE197" i="3" s="1"/>
  <c r="CC225" i="3"/>
  <c r="CE225" i="3" s="1"/>
  <c r="CC217" i="3"/>
  <c r="CE217" i="3" s="1"/>
  <c r="CC209" i="3"/>
  <c r="CE209" i="3" s="1"/>
  <c r="CC201" i="3"/>
  <c r="CE201" i="3" s="1"/>
  <c r="CC192" i="3"/>
  <c r="CE192" i="3" s="1"/>
  <c r="CC184" i="3"/>
  <c r="CE184" i="3" s="1"/>
  <c r="CC176" i="3"/>
  <c r="CE176" i="3" s="1"/>
  <c r="CC168" i="3"/>
  <c r="CE168" i="3" s="1"/>
  <c r="CC189" i="3"/>
  <c r="CE189" i="3" s="1"/>
  <c r="CC236" i="3"/>
  <c r="CE236" i="3" s="1"/>
  <c r="CC224" i="3"/>
  <c r="CE224" i="3" s="1"/>
  <c r="CC216" i="3"/>
  <c r="CE216" i="3" s="1"/>
  <c r="CC208" i="3"/>
  <c r="CE208" i="3" s="1"/>
  <c r="CC200" i="3"/>
  <c r="CE200" i="3" s="1"/>
  <c r="CC191" i="3"/>
  <c r="CE191" i="3" s="1"/>
  <c r="CC183" i="3"/>
  <c r="CE183" i="3" s="1"/>
  <c r="CC175" i="3"/>
  <c r="CE175" i="3" s="1"/>
  <c r="CC167" i="3"/>
  <c r="CE167" i="3" s="1"/>
  <c r="CC222" i="3"/>
  <c r="CE222" i="3" s="1"/>
  <c r="CC164" i="3"/>
  <c r="CE164" i="3" s="1"/>
  <c r="CC235" i="3"/>
  <c r="CE235" i="3" s="1"/>
  <c r="CC223" i="3"/>
  <c r="CE223" i="3" s="1"/>
  <c r="CC215" i="3"/>
  <c r="CE215" i="3" s="1"/>
  <c r="CC207" i="3"/>
  <c r="CE207" i="3" s="1"/>
  <c r="CC199" i="3"/>
  <c r="CE199" i="3" s="1"/>
  <c r="CC190" i="3"/>
  <c r="CE190" i="3" s="1"/>
  <c r="CC182" i="3"/>
  <c r="CE182" i="3" s="1"/>
  <c r="CC174" i="3"/>
  <c r="CE174" i="3" s="1"/>
  <c r="CC166" i="3"/>
  <c r="CE166" i="3" s="1"/>
  <c r="BM108" i="3"/>
  <c r="CC108" i="3" s="1"/>
  <c r="BM155" i="3"/>
  <c r="CC155" i="3" s="1"/>
  <c r="BM143" i="3"/>
  <c r="CC143" i="3" s="1"/>
  <c r="BM129" i="3"/>
  <c r="CC129" i="3" s="1"/>
  <c r="BM117" i="3"/>
  <c r="CC117" i="3" s="1"/>
  <c r="BM107" i="3"/>
  <c r="CC107" i="3" s="1"/>
  <c r="BM98" i="3"/>
  <c r="CC98" i="3" s="1"/>
  <c r="BM88" i="3"/>
  <c r="CC88" i="3" s="1"/>
  <c r="BM78" i="3"/>
  <c r="CC78" i="3" s="1"/>
  <c r="BM69" i="3"/>
  <c r="CC69" i="3" s="1"/>
  <c r="BM99" i="3"/>
  <c r="CC99" i="3" s="1"/>
  <c r="BM154" i="3"/>
  <c r="CC154" i="3" s="1"/>
  <c r="BM139" i="3"/>
  <c r="CC139" i="3" s="1"/>
  <c r="BM127" i="3"/>
  <c r="CC127" i="3" s="1"/>
  <c r="BM116" i="3"/>
  <c r="CC116" i="3" s="1"/>
  <c r="BM106" i="3"/>
  <c r="CC106" i="3" s="1"/>
  <c r="BM96" i="3"/>
  <c r="CC96" i="3" s="1"/>
  <c r="BM87" i="3"/>
  <c r="CC87" i="3" s="1"/>
  <c r="BM76" i="3"/>
  <c r="CC76" i="3" s="1"/>
  <c r="BM68" i="3"/>
  <c r="CC68" i="3" s="1"/>
  <c r="BM157" i="3"/>
  <c r="CC157" i="3" s="1"/>
  <c r="BM162" i="3"/>
  <c r="CC162" i="3" s="1"/>
  <c r="BM153" i="3"/>
  <c r="CC153" i="3" s="1"/>
  <c r="BM137" i="3"/>
  <c r="CC137" i="3" s="1"/>
  <c r="BM126" i="3"/>
  <c r="CC126" i="3" s="1"/>
  <c r="BM114" i="3"/>
  <c r="CC114" i="3" s="1"/>
  <c r="BM105" i="3"/>
  <c r="CC105" i="3" s="1"/>
  <c r="BM95" i="3"/>
  <c r="CC95" i="3" s="1"/>
  <c r="BM85" i="3"/>
  <c r="CC85" i="3" s="1"/>
  <c r="BM75" i="3"/>
  <c r="CC75" i="3" s="1"/>
  <c r="BM89" i="3"/>
  <c r="CC89" i="3" s="1"/>
  <c r="BM161" i="3"/>
  <c r="CC161" i="3" s="1"/>
  <c r="BM152" i="3"/>
  <c r="CC152" i="3" s="1"/>
  <c r="BM136" i="3"/>
  <c r="CC136" i="3" s="1"/>
  <c r="BM125" i="3"/>
  <c r="CC125" i="3" s="1"/>
  <c r="BM113" i="3"/>
  <c r="CC113" i="3" s="1"/>
  <c r="BM104" i="3"/>
  <c r="CC104" i="3" s="1"/>
  <c r="BM94" i="3"/>
  <c r="CC94" i="3" s="1"/>
  <c r="BM84" i="3"/>
  <c r="CC84" i="3" s="1"/>
  <c r="BM74" i="3"/>
  <c r="CC74" i="3" s="1"/>
  <c r="BM144" i="3"/>
  <c r="CC144" i="3" s="1"/>
  <c r="BM70" i="3"/>
  <c r="CC70" i="3" s="1"/>
  <c r="BM160" i="3"/>
  <c r="CC160" i="3" s="1"/>
  <c r="BM151" i="3"/>
  <c r="CC151" i="3" s="1"/>
  <c r="BM135" i="3"/>
  <c r="CC135" i="3" s="1"/>
  <c r="BM124" i="3"/>
  <c r="CC124" i="3" s="1"/>
  <c r="BM81" i="3"/>
  <c r="CC81" i="3" s="1"/>
  <c r="BM103" i="3"/>
  <c r="CC103" i="3" s="1"/>
  <c r="BM92" i="3"/>
  <c r="CC92" i="3" s="1"/>
  <c r="BM83" i="3"/>
  <c r="CC83" i="3" s="1"/>
  <c r="BM73" i="3"/>
  <c r="CC73" i="3" s="1"/>
  <c r="BM132" i="3"/>
  <c r="CC132" i="3" s="1"/>
  <c r="BM79" i="3"/>
  <c r="CC79" i="3" s="1"/>
  <c r="BM159" i="3"/>
  <c r="CC159" i="3" s="1"/>
  <c r="BM148" i="3"/>
  <c r="CC148" i="3" s="1"/>
  <c r="BM134" i="3"/>
  <c r="CC134" i="3" s="1"/>
  <c r="BM123" i="3"/>
  <c r="CC123" i="3" s="1"/>
  <c r="BM110" i="3"/>
  <c r="CC110" i="3" s="1"/>
  <c r="BM101" i="3"/>
  <c r="CC101" i="3" s="1"/>
  <c r="BM91" i="3"/>
  <c r="CC91" i="3" s="1"/>
  <c r="BM82" i="3"/>
  <c r="CC82" i="3" s="1"/>
  <c r="BM72" i="3"/>
  <c r="CC72" i="3" s="1"/>
  <c r="BM118" i="3"/>
  <c r="CC118" i="3" s="1"/>
  <c r="BM158" i="3"/>
  <c r="CC158" i="3" s="1"/>
  <c r="BM145" i="3"/>
  <c r="CC145" i="3" s="1"/>
  <c r="BM133" i="3"/>
  <c r="CC133" i="3" s="1"/>
  <c r="BM121" i="3"/>
  <c r="CC121" i="3" s="1"/>
  <c r="BM109" i="3"/>
  <c r="CC109" i="3" s="1"/>
  <c r="BM100" i="3"/>
  <c r="CC100" i="3" s="1"/>
  <c r="BM90" i="3"/>
  <c r="CC90" i="3" s="1"/>
  <c r="BM80" i="3"/>
  <c r="CC80" i="3" s="1"/>
  <c r="BM71" i="3"/>
  <c r="CC71" i="3" s="1"/>
  <c r="BM352" i="3"/>
  <c r="CC352" i="3" s="1"/>
  <c r="BM340" i="3"/>
  <c r="CC340" i="3" s="1"/>
  <c r="BM327" i="3"/>
  <c r="CC327" i="3" s="1"/>
  <c r="BM315" i="3"/>
  <c r="CC315" i="3" s="1"/>
  <c r="BM350" i="3"/>
  <c r="CC350" i="3" s="1"/>
  <c r="BM337" i="3"/>
  <c r="CC337" i="3" s="1"/>
  <c r="BM326" i="3"/>
  <c r="CC326" i="3" s="1"/>
  <c r="BM348" i="3"/>
  <c r="CC348" i="3" s="1"/>
  <c r="BM336" i="3"/>
  <c r="CC336" i="3" s="1"/>
  <c r="BM325" i="3"/>
  <c r="CC325" i="3" s="1"/>
  <c r="BM347" i="3"/>
  <c r="CC347" i="3" s="1"/>
  <c r="BM335" i="3"/>
  <c r="CC335" i="3" s="1"/>
  <c r="BM323" i="3"/>
  <c r="CC323" i="3" s="1"/>
  <c r="BM330" i="3"/>
  <c r="CC330" i="3" s="1"/>
  <c r="BM358" i="3"/>
  <c r="CC358" i="3" s="1"/>
  <c r="BM344" i="3"/>
  <c r="CC344" i="3" s="1"/>
  <c r="BM333" i="3"/>
  <c r="CC333" i="3" s="1"/>
  <c r="BM322" i="3"/>
  <c r="CC322" i="3" s="1"/>
  <c r="BM341" i="3"/>
  <c r="CC341" i="3" s="1"/>
  <c r="BM357" i="3"/>
  <c r="CC357" i="3" s="1"/>
  <c r="BM343" i="3"/>
  <c r="CC343" i="3" s="1"/>
  <c r="BM332" i="3"/>
  <c r="CC332" i="3" s="1"/>
  <c r="BM321" i="3"/>
  <c r="CC321" i="3" s="1"/>
  <c r="BM318" i="3"/>
  <c r="CC318" i="3" s="1"/>
  <c r="BM355" i="3"/>
  <c r="CC355" i="3" s="1"/>
  <c r="BM342" i="3"/>
  <c r="CC342" i="3" s="1"/>
  <c r="BM331" i="3"/>
  <c r="CC331" i="3" s="1"/>
  <c r="BM319" i="3"/>
  <c r="CC319" i="3" s="1"/>
  <c r="BM398" i="3"/>
  <c r="CC398" i="3" s="1"/>
  <c r="AF19" i="3"/>
  <c r="AW19" i="3" s="1"/>
  <c r="BM19" i="3" s="1"/>
  <c r="CC19" i="3" s="1"/>
  <c r="AF140" i="3"/>
  <c r="AW140" i="3" s="1"/>
  <c r="AF142" i="3"/>
  <c r="AW142" i="3" s="1"/>
  <c r="AF141" i="3"/>
  <c r="AW141" i="3" s="1"/>
  <c r="U438" i="3"/>
  <c r="BG438" i="3"/>
  <c r="S438" i="3"/>
  <c r="BE438" i="3"/>
  <c r="BC438" i="3"/>
  <c r="BI438" i="3"/>
  <c r="BH438" i="3"/>
  <c r="M438" i="3"/>
  <c r="N438" i="3"/>
  <c r="BM140" i="3" l="1"/>
  <c r="CC140" i="3" s="1"/>
  <c r="BM142" i="3"/>
  <c r="CC142" i="3" s="1"/>
  <c r="BM141" i="3"/>
  <c r="CC141" i="3" s="1"/>
  <c r="Q438" i="3"/>
  <c r="AW438" i="3"/>
  <c r="AF438" i="3"/>
  <c r="CT326" i="1" l="1"/>
  <c r="CT278" i="1"/>
  <c r="CT256" i="1"/>
  <c r="CT253" i="1"/>
  <c r="CT170" i="1"/>
  <c r="CT35" i="1"/>
  <c r="CT32" i="1"/>
  <c r="CT26" i="1"/>
  <c r="CT25" i="1"/>
  <c r="CT320" i="1"/>
  <c r="CT445" i="1"/>
  <c r="CT275" i="1"/>
  <c r="DD435" i="1" l="1"/>
  <c r="DC435" i="1"/>
  <c r="DB435" i="1"/>
  <c r="BW435" i="1"/>
  <c r="BV435" i="1"/>
  <c r="AS435" i="1"/>
  <c r="AR435" i="1"/>
  <c r="DD389" i="1"/>
  <c r="DC389" i="1"/>
  <c r="DB389" i="1"/>
  <c r="BW389" i="1"/>
  <c r="BV389" i="1"/>
  <c r="AS389" i="1"/>
  <c r="AR389" i="1"/>
  <c r="DD368" i="1"/>
  <c r="DC368" i="1"/>
  <c r="DB368" i="1"/>
  <c r="BW368" i="1"/>
  <c r="BV368" i="1"/>
  <c r="DD367" i="1"/>
  <c r="DC367" i="1"/>
  <c r="DB367" i="1"/>
  <c r="BW367" i="1"/>
  <c r="BV367" i="1"/>
  <c r="DD358" i="1"/>
  <c r="DC358" i="1"/>
  <c r="DB358" i="1"/>
  <c r="BW358" i="1"/>
  <c r="BV358" i="1"/>
  <c r="DD349" i="1"/>
  <c r="DC349" i="1"/>
  <c r="DB349" i="1"/>
  <c r="BW349" i="1"/>
  <c r="BV349" i="1"/>
  <c r="DD339" i="1"/>
  <c r="DC339" i="1"/>
  <c r="DB339" i="1"/>
  <c r="BW339" i="1"/>
  <c r="BV339" i="1"/>
  <c r="DC301" i="1"/>
  <c r="DD270" i="1"/>
  <c r="DC270" i="1"/>
  <c r="DB270" i="1"/>
  <c r="BW270" i="1"/>
  <c r="BV270" i="1"/>
  <c r="AS270" i="1"/>
  <c r="AR270" i="1"/>
  <c r="DD309" i="1"/>
  <c r="DC309" i="1"/>
  <c r="DB309" i="1"/>
  <c r="BW309" i="1"/>
  <c r="BV309" i="1"/>
  <c r="AS309" i="1"/>
  <c r="AR309" i="1"/>
  <c r="DD308" i="1"/>
  <c r="DC308" i="1"/>
  <c r="DB308" i="1"/>
  <c r="BW308" i="1"/>
  <c r="BV308" i="1"/>
  <c r="AS308" i="1"/>
  <c r="AR308" i="1"/>
  <c r="DD173" i="1"/>
  <c r="DC173" i="1"/>
  <c r="DB173" i="1"/>
  <c r="BW173" i="1"/>
  <c r="BV173" i="1"/>
  <c r="AS173" i="1"/>
  <c r="AR173" i="1"/>
  <c r="DD301" i="1"/>
  <c r="DB301" i="1"/>
  <c r="BW301" i="1"/>
  <c r="BV301" i="1"/>
  <c r="AS301" i="1"/>
  <c r="AR301" i="1"/>
  <c r="DD178" i="1"/>
  <c r="DC178" i="1"/>
  <c r="DB178" i="1"/>
  <c r="BW178" i="1"/>
  <c r="BV178" i="1"/>
  <c r="AS178" i="1"/>
  <c r="AR178" i="1"/>
  <c r="DD179" i="1"/>
  <c r="DC179" i="1"/>
  <c r="DB179" i="1"/>
  <c r="BW179" i="1"/>
  <c r="BV179" i="1"/>
  <c r="AS179" i="1"/>
  <c r="AR179" i="1"/>
  <c r="DD171" i="1"/>
  <c r="DC171" i="1"/>
  <c r="DB171" i="1"/>
  <c r="BW171" i="1"/>
  <c r="BV171" i="1"/>
  <c r="AS171" i="1"/>
  <c r="AR171" i="1"/>
  <c r="DD177" i="1"/>
  <c r="DC177" i="1"/>
  <c r="DB177" i="1"/>
  <c r="BW177" i="1"/>
  <c r="BV177" i="1"/>
  <c r="AS177" i="1"/>
  <c r="AR177" i="1"/>
  <c r="DD296" i="1"/>
  <c r="DC296" i="1"/>
  <c r="DB296" i="1"/>
  <c r="BW296" i="1"/>
  <c r="BV296" i="1"/>
  <c r="AS296" i="1"/>
  <c r="AR296" i="1"/>
  <c r="DD295" i="1"/>
  <c r="DC295" i="1"/>
  <c r="DB295" i="1"/>
  <c r="BW295" i="1"/>
  <c r="BV295" i="1"/>
  <c r="AS295" i="1"/>
  <c r="AR295" i="1"/>
  <c r="DD291" i="1"/>
  <c r="DC291" i="1"/>
  <c r="DB291" i="1"/>
  <c r="BW291" i="1"/>
  <c r="BV291" i="1"/>
  <c r="AS291" i="1"/>
  <c r="AR291" i="1"/>
  <c r="DD292" i="1"/>
  <c r="DC292" i="1"/>
  <c r="DB292" i="1"/>
  <c r="BW292" i="1"/>
  <c r="BV292" i="1"/>
  <c r="AS292" i="1"/>
  <c r="AR292" i="1"/>
  <c r="DD163" i="1"/>
  <c r="DC163" i="1"/>
  <c r="DB163" i="1"/>
  <c r="BW163" i="1"/>
  <c r="BV163" i="1"/>
  <c r="AS163" i="1"/>
  <c r="AR163" i="1"/>
  <c r="DD274" i="1"/>
  <c r="DC274" i="1"/>
  <c r="DB274" i="1"/>
  <c r="BW274" i="1"/>
  <c r="BV274" i="1"/>
  <c r="AS274" i="1"/>
  <c r="AR274" i="1"/>
  <c r="DD88" i="1"/>
  <c r="DC88" i="1"/>
  <c r="DB88" i="1"/>
  <c r="BW88" i="1"/>
  <c r="BV88" i="1"/>
  <c r="AS88" i="1"/>
  <c r="AR88" i="1"/>
  <c r="DD132" i="1"/>
  <c r="DC132" i="1"/>
  <c r="DB132" i="1"/>
  <c r="BW132" i="1"/>
  <c r="BV132" i="1"/>
  <c r="DD135" i="1"/>
  <c r="DC135" i="1"/>
  <c r="DB135" i="1"/>
  <c r="BW135" i="1"/>
  <c r="BV135" i="1"/>
  <c r="DD129" i="1"/>
  <c r="DC129" i="1"/>
  <c r="DB129" i="1"/>
  <c r="BW129" i="1"/>
  <c r="BV129" i="1"/>
  <c r="DD108" i="1"/>
  <c r="DB108" i="1"/>
  <c r="DC108" i="1"/>
  <c r="BW108" i="1"/>
  <c r="BV108" i="1"/>
  <c r="DD120" i="1"/>
  <c r="DB120" i="1"/>
  <c r="DC120" i="1"/>
  <c r="BW120" i="1"/>
  <c r="BV120" i="1"/>
  <c r="DD116" i="1"/>
  <c r="DC116" i="1"/>
  <c r="DB116" i="1"/>
  <c r="BW116" i="1"/>
  <c r="BV116" i="1"/>
  <c r="AS116" i="1"/>
  <c r="AR116" i="1"/>
  <c r="DD156" i="1"/>
  <c r="DC156" i="1"/>
  <c r="DB156" i="1"/>
  <c r="BW156" i="1"/>
  <c r="BV156" i="1"/>
  <c r="DD157" i="1"/>
  <c r="DC157" i="1"/>
  <c r="DB157" i="1"/>
  <c r="BW157" i="1"/>
  <c r="BV157" i="1"/>
  <c r="DD158" i="1"/>
  <c r="DC158" i="1"/>
  <c r="DB158" i="1"/>
  <c r="BW158" i="1"/>
  <c r="BV158" i="1"/>
  <c r="DD123" i="1"/>
  <c r="DC123" i="1"/>
  <c r="DB123" i="1"/>
  <c r="BW123" i="1"/>
  <c r="BV123" i="1"/>
  <c r="DD100" i="1"/>
  <c r="DC100" i="1"/>
  <c r="DB100" i="1"/>
  <c r="BW100" i="1"/>
  <c r="BV100" i="1"/>
  <c r="CC67" i="1"/>
  <c r="AR28" i="1"/>
  <c r="AS28" i="1"/>
  <c r="BV28" i="1"/>
  <c r="BW28" i="1"/>
  <c r="DC28" i="1"/>
  <c r="DB28" i="1"/>
  <c r="DD28" i="1"/>
  <c r="AR29" i="1"/>
  <c r="AS29" i="1"/>
  <c r="BV29" i="1"/>
  <c r="BW29" i="1"/>
  <c r="DB29" i="1"/>
  <c r="DC29" i="1"/>
  <c r="DD29" i="1"/>
  <c r="AR57" i="1"/>
  <c r="AS57" i="1"/>
  <c r="BV57" i="1"/>
  <c r="BW57" i="1"/>
  <c r="DB57" i="1"/>
  <c r="DC57" i="1"/>
  <c r="DD57" i="1"/>
  <c r="AR62" i="1"/>
  <c r="AS62" i="1"/>
  <c r="BV62" i="1"/>
  <c r="BW62" i="1"/>
  <c r="DB62" i="1"/>
  <c r="DC62" i="1"/>
  <c r="DD62" i="1"/>
  <c r="AR63" i="1"/>
  <c r="AS63" i="1"/>
  <c r="BV63" i="1"/>
  <c r="BW63" i="1"/>
  <c r="DB63" i="1"/>
  <c r="DC63" i="1"/>
  <c r="DD63" i="1"/>
  <c r="AT435" i="1" l="1"/>
  <c r="BX435" i="1" s="1"/>
  <c r="DE435" i="1" s="1"/>
  <c r="EM435" i="1" s="1"/>
  <c r="FL435" i="1" s="1"/>
  <c r="AT389" i="1"/>
  <c r="BX389" i="1" s="1"/>
  <c r="DE389" i="1" s="1"/>
  <c r="EM389" i="1" s="1"/>
  <c r="FL389" i="1" s="1"/>
  <c r="BX358" i="1"/>
  <c r="DE358" i="1" s="1"/>
  <c r="BX367" i="1"/>
  <c r="DE367" i="1" s="1"/>
  <c r="BX339" i="1"/>
  <c r="DE339" i="1" s="1"/>
  <c r="BX368" i="1"/>
  <c r="DE368" i="1" s="1"/>
  <c r="AT270" i="1"/>
  <c r="BX270" i="1" s="1"/>
  <c r="DE270" i="1" s="1"/>
  <c r="EM270" i="1" s="1"/>
  <c r="FL270" i="1" s="1"/>
  <c r="AT292" i="1"/>
  <c r="BX292" i="1" s="1"/>
  <c r="DE292" i="1" s="1"/>
  <c r="EM292" i="1" s="1"/>
  <c r="FL292" i="1" s="1"/>
  <c r="AT177" i="1"/>
  <c r="BX177" i="1" s="1"/>
  <c r="DE177" i="1" s="1"/>
  <c r="EM177" i="1" s="1"/>
  <c r="FL177" i="1" s="1"/>
  <c r="AT309" i="1"/>
  <c r="BX309" i="1" s="1"/>
  <c r="DE309" i="1" s="1"/>
  <c r="EM309" i="1" s="1"/>
  <c r="FL309" i="1" s="1"/>
  <c r="BX349" i="1"/>
  <c r="DE349" i="1" s="1"/>
  <c r="BX120" i="1"/>
  <c r="DE120" i="1" s="1"/>
  <c r="AT178" i="1"/>
  <c r="BX178" i="1" s="1"/>
  <c r="DE178" i="1" s="1"/>
  <c r="EM178" i="1" s="1"/>
  <c r="FL178" i="1" s="1"/>
  <c r="AT308" i="1"/>
  <c r="BX308" i="1" s="1"/>
  <c r="DE308" i="1" s="1"/>
  <c r="EM308" i="1" s="1"/>
  <c r="FL308" i="1" s="1"/>
  <c r="AT291" i="1"/>
  <c r="BX291" i="1" s="1"/>
  <c r="DE291" i="1" s="1"/>
  <c r="EM291" i="1" s="1"/>
  <c r="FL291" i="1" s="1"/>
  <c r="AT173" i="1"/>
  <c r="BX173" i="1" s="1"/>
  <c r="DE173" i="1" s="1"/>
  <c r="EM173" i="1" s="1"/>
  <c r="FL173" i="1" s="1"/>
  <c r="AT295" i="1"/>
  <c r="BX295" i="1" s="1"/>
  <c r="DE295" i="1" s="1"/>
  <c r="EM295" i="1" s="1"/>
  <c r="FL295" i="1" s="1"/>
  <c r="AT179" i="1"/>
  <c r="BX179" i="1" s="1"/>
  <c r="DE179" i="1" s="1"/>
  <c r="EM179" i="1" s="1"/>
  <c r="FL179" i="1" s="1"/>
  <c r="BX135" i="1"/>
  <c r="DE135" i="1" s="1"/>
  <c r="AT163" i="1"/>
  <c r="AT301" i="1"/>
  <c r="BX301" i="1" s="1"/>
  <c r="DE301" i="1" s="1"/>
  <c r="EM301" i="1" s="1"/>
  <c r="FL301" i="1" s="1"/>
  <c r="AT274" i="1"/>
  <c r="BX274" i="1" s="1"/>
  <c r="DE274" i="1" s="1"/>
  <c r="EM274" i="1" s="1"/>
  <c r="FL274" i="1" s="1"/>
  <c r="AT171" i="1"/>
  <c r="BX171" i="1" s="1"/>
  <c r="DE171" i="1" s="1"/>
  <c r="EM171" i="1" s="1"/>
  <c r="FL171" i="1" s="1"/>
  <c r="AT296" i="1"/>
  <c r="BX296" i="1" s="1"/>
  <c r="DE296" i="1" s="1"/>
  <c r="EM296" i="1" s="1"/>
  <c r="FL296" i="1" s="1"/>
  <c r="AT28" i="1"/>
  <c r="AT62" i="1"/>
  <c r="BX62" i="1" s="1"/>
  <c r="DE62" i="1" s="1"/>
  <c r="EM62" i="1" s="1"/>
  <c r="FL62" i="1" s="1"/>
  <c r="BX123" i="1"/>
  <c r="DE123" i="1" s="1"/>
  <c r="AT116" i="1"/>
  <c r="BX116" i="1" s="1"/>
  <c r="DE116" i="1" s="1"/>
  <c r="BX156" i="1"/>
  <c r="DE156" i="1" s="1"/>
  <c r="AT88" i="1"/>
  <c r="BX157" i="1"/>
  <c r="DE157" i="1" s="1"/>
  <c r="BX158" i="1"/>
  <c r="DE158" i="1" s="1"/>
  <c r="BX108" i="1"/>
  <c r="DE108" i="1" s="1"/>
  <c r="BX100" i="1"/>
  <c r="DE100" i="1" s="1"/>
  <c r="BX129" i="1"/>
  <c r="DE129" i="1" s="1"/>
  <c r="BX132" i="1"/>
  <c r="DE132" i="1" s="1"/>
  <c r="AT63" i="1"/>
  <c r="BX63" i="1" s="1"/>
  <c r="DE63" i="1" s="1"/>
  <c r="EM63" i="1" s="1"/>
  <c r="FL63" i="1" s="1"/>
  <c r="AT57" i="1"/>
  <c r="BX57" i="1" s="1"/>
  <c r="DE57" i="1" s="1"/>
  <c r="EM57" i="1" s="1"/>
  <c r="FL57" i="1" s="1"/>
  <c r="AT29" i="1"/>
  <c r="BX29" i="1" s="1"/>
  <c r="DE29" i="1" s="1"/>
  <c r="EM29" i="1" s="1"/>
  <c r="FL29" i="1" s="1"/>
  <c r="BX88" i="1" l="1"/>
  <c r="DE88" i="1" s="1"/>
  <c r="EM88" i="1" s="1"/>
  <c r="FL88" i="1" s="1"/>
  <c r="BX28" i="1"/>
  <c r="BX163" i="1"/>
  <c r="EM158" i="1"/>
  <c r="FL158" i="1" s="1"/>
  <c r="EM157" i="1"/>
  <c r="FL157" i="1" s="1"/>
  <c r="EM108" i="1"/>
  <c r="FL108" i="1" s="1"/>
  <c r="EM368" i="1"/>
  <c r="FL368" i="1" s="1"/>
  <c r="EM156" i="1"/>
  <c r="FL156" i="1" s="1"/>
  <c r="EM339" i="1"/>
  <c r="FL339" i="1" s="1"/>
  <c r="EM132" i="1"/>
  <c r="FL132" i="1" s="1"/>
  <c r="EM367" i="1"/>
  <c r="FL367" i="1" s="1"/>
  <c r="EM129" i="1"/>
  <c r="FL129" i="1" s="1"/>
  <c r="EM123" i="1"/>
  <c r="FL123" i="1" s="1"/>
  <c r="EM135" i="1"/>
  <c r="FL135" i="1" s="1"/>
  <c r="EM349" i="1"/>
  <c r="FL349" i="1" s="1"/>
  <c r="EM358" i="1"/>
  <c r="FL358" i="1" s="1"/>
  <c r="EM116" i="1"/>
  <c r="FL116" i="1" s="1"/>
  <c r="EM120" i="1"/>
  <c r="FL120" i="1" s="1"/>
  <c r="EM100" i="1"/>
  <c r="FL100" i="1" s="1"/>
  <c r="AR316" i="1"/>
  <c r="AS316" i="1"/>
  <c r="AV11" i="1"/>
  <c r="AV22" i="1"/>
  <c r="AV74" i="1"/>
  <c r="AV160" i="1"/>
  <c r="AV317" i="1"/>
  <c r="AV328" i="1"/>
  <c r="AV374" i="1"/>
  <c r="AV378" i="1"/>
  <c r="AV458" i="1"/>
  <c r="CC458" i="1"/>
  <c r="BZ458" i="1"/>
  <c r="CC378" i="1"/>
  <c r="BZ378" i="1"/>
  <c r="CC374" i="1"/>
  <c r="BZ374" i="1"/>
  <c r="CC328" i="1"/>
  <c r="BZ328" i="1"/>
  <c r="CC317" i="1"/>
  <c r="BZ317" i="1"/>
  <c r="CC311" i="1"/>
  <c r="CC160" i="1"/>
  <c r="BZ160" i="1"/>
  <c r="CC74" i="1"/>
  <c r="BZ74" i="1"/>
  <c r="CA67" i="1"/>
  <c r="CC22" i="1"/>
  <c r="BZ22" i="1"/>
  <c r="CC11" i="1"/>
  <c r="BZ11" i="1"/>
  <c r="AV67" i="1"/>
  <c r="BZ67" i="1"/>
  <c r="BZ311" i="1"/>
  <c r="AV311" i="1"/>
  <c r="DE28" i="1" l="1"/>
  <c r="DE163" i="1"/>
  <c r="CC461" i="1"/>
  <c r="AV461" i="1"/>
  <c r="BZ461" i="1"/>
  <c r="AT316" i="1"/>
  <c r="AW311" i="1"/>
  <c r="AR164" i="1"/>
  <c r="AS164" i="1"/>
  <c r="AR166" i="1"/>
  <c r="AS166" i="1"/>
  <c r="AR167" i="1"/>
  <c r="AS167" i="1"/>
  <c r="AR168" i="1"/>
  <c r="AS168" i="1"/>
  <c r="AR170" i="1"/>
  <c r="AS170" i="1"/>
  <c r="AR172" i="1"/>
  <c r="AS172" i="1"/>
  <c r="AR176" i="1"/>
  <c r="AS176" i="1"/>
  <c r="AR180" i="1"/>
  <c r="AS180" i="1"/>
  <c r="AR182" i="1"/>
  <c r="AS182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238" i="1"/>
  <c r="AS238" i="1"/>
  <c r="AR228" i="1"/>
  <c r="AS228" i="1"/>
  <c r="AR191" i="1"/>
  <c r="AS191" i="1"/>
  <c r="AR194" i="1"/>
  <c r="AS194" i="1"/>
  <c r="AR192" i="1"/>
  <c r="AS192" i="1"/>
  <c r="AR193" i="1"/>
  <c r="AS193" i="1"/>
  <c r="AR217" i="1"/>
  <c r="AS217" i="1"/>
  <c r="AR218" i="1"/>
  <c r="AS218" i="1"/>
  <c r="AR195" i="1"/>
  <c r="AS195" i="1"/>
  <c r="AR196" i="1"/>
  <c r="AS196" i="1"/>
  <c r="AR199" i="1"/>
  <c r="AS199" i="1"/>
  <c r="AR200" i="1"/>
  <c r="AS200" i="1"/>
  <c r="AR197" i="1"/>
  <c r="AS197" i="1"/>
  <c r="AR198" i="1"/>
  <c r="AS198" i="1"/>
  <c r="AR210" i="1"/>
  <c r="AS210" i="1"/>
  <c r="AR239" i="1"/>
  <c r="AS239" i="1"/>
  <c r="AR240" i="1"/>
  <c r="AS240" i="1"/>
  <c r="AR216" i="1"/>
  <c r="AS216" i="1"/>
  <c r="AR202" i="1"/>
  <c r="AS202" i="1"/>
  <c r="AR203" i="1"/>
  <c r="AS203" i="1"/>
  <c r="AR204" i="1"/>
  <c r="AS204" i="1"/>
  <c r="AR205" i="1"/>
  <c r="AS205" i="1"/>
  <c r="AR223" i="1"/>
  <c r="AS223" i="1"/>
  <c r="AR208" i="1"/>
  <c r="AS208" i="1"/>
  <c r="AR211" i="1"/>
  <c r="AS211" i="1"/>
  <c r="AR212" i="1"/>
  <c r="AS212" i="1"/>
  <c r="AR206" i="1"/>
  <c r="AS206" i="1"/>
  <c r="AR209" i="1"/>
  <c r="AS209" i="1"/>
  <c r="AR183" i="1"/>
  <c r="AS183" i="1"/>
  <c r="AR213" i="1"/>
  <c r="AS213" i="1"/>
  <c r="AR215" i="1"/>
  <c r="AS215" i="1"/>
  <c r="AR214" i="1"/>
  <c r="AS214" i="1"/>
  <c r="AR207" i="1"/>
  <c r="AS207" i="1"/>
  <c r="AR220" i="1"/>
  <c r="AS220" i="1"/>
  <c r="AR225" i="1"/>
  <c r="AS225" i="1"/>
  <c r="AR226" i="1"/>
  <c r="AS226" i="1"/>
  <c r="AR221" i="1"/>
  <c r="AS221" i="1"/>
  <c r="AR224" i="1"/>
  <c r="AS224" i="1"/>
  <c r="AR181" i="1"/>
  <c r="AS181" i="1"/>
  <c r="AR227" i="1"/>
  <c r="AS227" i="1"/>
  <c r="AR229" i="1"/>
  <c r="AS229" i="1"/>
  <c r="AR230" i="1"/>
  <c r="AS230" i="1"/>
  <c r="AR233" i="1"/>
  <c r="AS233" i="1"/>
  <c r="AR234" i="1"/>
  <c r="AS234" i="1"/>
  <c r="AR235" i="1"/>
  <c r="AS235" i="1"/>
  <c r="AR237" i="1"/>
  <c r="AS237" i="1"/>
  <c r="AR236" i="1"/>
  <c r="AS236" i="1"/>
  <c r="AR247" i="1"/>
  <c r="AS247" i="1"/>
  <c r="AR245" i="1"/>
  <c r="AS245" i="1"/>
  <c r="AR243" i="1"/>
  <c r="AS243" i="1"/>
  <c r="AR242" i="1"/>
  <c r="AS242" i="1"/>
  <c r="AR248" i="1"/>
  <c r="AS248" i="1"/>
  <c r="AR249" i="1"/>
  <c r="AS249" i="1"/>
  <c r="AR251" i="1"/>
  <c r="AS251" i="1"/>
  <c r="AR253" i="1"/>
  <c r="AS253" i="1"/>
  <c r="AR254" i="1"/>
  <c r="AS254" i="1"/>
  <c r="AR255" i="1"/>
  <c r="AS255" i="1"/>
  <c r="AR256" i="1"/>
  <c r="AS256" i="1"/>
  <c r="AR259" i="1"/>
  <c r="AS259" i="1"/>
  <c r="AR260" i="1"/>
  <c r="AS260" i="1"/>
  <c r="AR262" i="1"/>
  <c r="AS262" i="1"/>
  <c r="AR267" i="1"/>
  <c r="AS267" i="1"/>
  <c r="AR263" i="1"/>
  <c r="AS263" i="1"/>
  <c r="AR264" i="1"/>
  <c r="AS264" i="1"/>
  <c r="AR265" i="1"/>
  <c r="AS265" i="1"/>
  <c r="AR266" i="1"/>
  <c r="AS266" i="1"/>
  <c r="AR271" i="1"/>
  <c r="AS271" i="1"/>
  <c r="AR279" i="1"/>
  <c r="AS279" i="1"/>
  <c r="AR275" i="1"/>
  <c r="AS275" i="1"/>
  <c r="AR276" i="1"/>
  <c r="AS276" i="1"/>
  <c r="AR277" i="1"/>
  <c r="AS277" i="1"/>
  <c r="AR278" i="1"/>
  <c r="AS278" i="1"/>
  <c r="AR283" i="1"/>
  <c r="AS283" i="1"/>
  <c r="AR284" i="1"/>
  <c r="AS284" i="1"/>
  <c r="AR280" i="1"/>
  <c r="AS280" i="1"/>
  <c r="AR281" i="1"/>
  <c r="AS281" i="1"/>
  <c r="AR282" i="1"/>
  <c r="AS282" i="1"/>
  <c r="AR285" i="1"/>
  <c r="AS285" i="1"/>
  <c r="AR288" i="1"/>
  <c r="AS288" i="1"/>
  <c r="AR287" i="1"/>
  <c r="AS287" i="1"/>
  <c r="AR286" i="1"/>
  <c r="AS286" i="1"/>
  <c r="AR290" i="1"/>
  <c r="AS290" i="1"/>
  <c r="AR289" i="1"/>
  <c r="AS289" i="1"/>
  <c r="AR297" i="1"/>
  <c r="AS297" i="1"/>
  <c r="AR298" i="1"/>
  <c r="AS298" i="1"/>
  <c r="AR303" i="1"/>
  <c r="AS303" i="1"/>
  <c r="AR302" i="1"/>
  <c r="AS302" i="1"/>
  <c r="AR305" i="1"/>
  <c r="AS305" i="1"/>
  <c r="AR307" i="1"/>
  <c r="AS307" i="1"/>
  <c r="AR304" i="1"/>
  <c r="AS304" i="1"/>
  <c r="AR310" i="1"/>
  <c r="AS310" i="1"/>
  <c r="EM28" i="1" l="1"/>
  <c r="FL28" i="1" s="1"/>
  <c r="EM163" i="1"/>
  <c r="FL163" i="1" s="1"/>
  <c r="AT182" i="1"/>
  <c r="AT230" i="1"/>
  <c r="AT224" i="1"/>
  <c r="AT220" i="1"/>
  <c r="AT213" i="1"/>
  <c r="AT212" i="1"/>
  <c r="AT208" i="1"/>
  <c r="AT205" i="1"/>
  <c r="AT203" i="1"/>
  <c r="AT198" i="1"/>
  <c r="AT196" i="1"/>
  <c r="AT193" i="1"/>
  <c r="AT228" i="1"/>
  <c r="AT190" i="1"/>
  <c r="AT188" i="1"/>
  <c r="AT186" i="1"/>
  <c r="AT184" i="1"/>
  <c r="AT180" i="1"/>
  <c r="AT168" i="1"/>
  <c r="AT221" i="1"/>
  <c r="AT271" i="1"/>
  <c r="AT265" i="1"/>
  <c r="AT262" i="1"/>
  <c r="AT259" i="1"/>
  <c r="AT255" i="1"/>
  <c r="AT253" i="1"/>
  <c r="AT249" i="1"/>
  <c r="AT242" i="1"/>
  <c r="AT245" i="1"/>
  <c r="AT236" i="1"/>
  <c r="AT235" i="1"/>
  <c r="AT233" i="1"/>
  <c r="AT229" i="1"/>
  <c r="AT181" i="1"/>
  <c r="AT176" i="1"/>
  <c r="AT164" i="1"/>
  <c r="AT170" i="1"/>
  <c r="AT284" i="1"/>
  <c r="AT251" i="1"/>
  <c r="AT237" i="1"/>
  <c r="AT275" i="1"/>
  <c r="AT225" i="1"/>
  <c r="AT207" i="1"/>
  <c r="AT215" i="1"/>
  <c r="AT183" i="1"/>
  <c r="AT206" i="1"/>
  <c r="AT211" i="1"/>
  <c r="AT223" i="1"/>
  <c r="AT204" i="1"/>
  <c r="AT202" i="1"/>
  <c r="AT240" i="1"/>
  <c r="AT210" i="1"/>
  <c r="AT197" i="1"/>
  <c r="AT199" i="1"/>
  <c r="AT195" i="1"/>
  <c r="AT217" i="1"/>
  <c r="AT191" i="1"/>
  <c r="AT238" i="1"/>
  <c r="AT189" i="1"/>
  <c r="AT187" i="1"/>
  <c r="AT185" i="1"/>
  <c r="AT264" i="1"/>
  <c r="AT260" i="1"/>
  <c r="AT243" i="1"/>
  <c r="AT192" i="1"/>
  <c r="AT167" i="1"/>
  <c r="AT277" i="1"/>
  <c r="AT307" i="1"/>
  <c r="AT288" i="1"/>
  <c r="AT286" i="1"/>
  <c r="AT304" i="1"/>
  <c r="AT305" i="1"/>
  <c r="AT303" i="1"/>
  <c r="AT297" i="1"/>
  <c r="AT290" i="1"/>
  <c r="AT287" i="1"/>
  <c r="AT285" i="1"/>
  <c r="AT281" i="1"/>
  <c r="AT278" i="1"/>
  <c r="AT276" i="1"/>
  <c r="AT279" i="1"/>
  <c r="AT266" i="1"/>
  <c r="AT267" i="1"/>
  <c r="AT256" i="1"/>
  <c r="AT254" i="1"/>
  <c r="AT248" i="1"/>
  <c r="AT247" i="1"/>
  <c r="AT234" i="1"/>
  <c r="AT227" i="1"/>
  <c r="AT226" i="1"/>
  <c r="AT214" i="1"/>
  <c r="AT209" i="1"/>
  <c r="AT216" i="1"/>
  <c r="AT239" i="1"/>
  <c r="AT200" i="1"/>
  <c r="AT218" i="1"/>
  <c r="AT194" i="1"/>
  <c r="AT172" i="1"/>
  <c r="AT166" i="1"/>
  <c r="AT298" i="1"/>
  <c r="AT282" i="1"/>
  <c r="AT310" i="1"/>
  <c r="AT302" i="1"/>
  <c r="AT289" i="1"/>
  <c r="AT280" i="1"/>
  <c r="AT283" i="1"/>
  <c r="AT263" i="1"/>
  <c r="S411" i="1"/>
  <c r="G411" i="1" s="1"/>
  <c r="K411" i="1" s="1"/>
  <c r="L411" i="1" s="1"/>
  <c r="AR384" i="1"/>
  <c r="AS384" i="1"/>
  <c r="AR388" i="1"/>
  <c r="AS388" i="1"/>
  <c r="AR386" i="1"/>
  <c r="AS386" i="1"/>
  <c r="AR387" i="1"/>
  <c r="AS387" i="1"/>
  <c r="AR390" i="1"/>
  <c r="AS390" i="1"/>
  <c r="AR396" i="1"/>
  <c r="AS396" i="1"/>
  <c r="AR397" i="1"/>
  <c r="AS397" i="1"/>
  <c r="AR391" i="1"/>
  <c r="AS391" i="1"/>
  <c r="AR392" i="1"/>
  <c r="AS392" i="1"/>
  <c r="AR393" i="1"/>
  <c r="AS393" i="1"/>
  <c r="AR394" i="1"/>
  <c r="AS394" i="1"/>
  <c r="AR395" i="1"/>
  <c r="AS395" i="1"/>
  <c r="AR401" i="1"/>
  <c r="AS401" i="1"/>
  <c r="AR402" i="1"/>
  <c r="AS402" i="1"/>
  <c r="AR399" i="1"/>
  <c r="AS399" i="1"/>
  <c r="AR400" i="1"/>
  <c r="AS400" i="1"/>
  <c r="AR412" i="1"/>
  <c r="AS412" i="1"/>
  <c r="AR413" i="1"/>
  <c r="AS413" i="1"/>
  <c r="AR403" i="1"/>
  <c r="AS403" i="1"/>
  <c r="AR404" i="1"/>
  <c r="AS404" i="1"/>
  <c r="AR407" i="1"/>
  <c r="AS407" i="1"/>
  <c r="AR408" i="1"/>
  <c r="AS408" i="1"/>
  <c r="AR405" i="1"/>
  <c r="AS405" i="1"/>
  <c r="AR406" i="1"/>
  <c r="AS406" i="1"/>
  <c r="AR411" i="1"/>
  <c r="AS411" i="1"/>
  <c r="AR409" i="1"/>
  <c r="AS409" i="1"/>
  <c r="AR410" i="1"/>
  <c r="AS410" i="1"/>
  <c r="AR414" i="1"/>
  <c r="AS414" i="1"/>
  <c r="AR415" i="1"/>
  <c r="AS415" i="1"/>
  <c r="AR423" i="1"/>
  <c r="AS423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4" i="1"/>
  <c r="AS424" i="1"/>
  <c r="AR433" i="1"/>
  <c r="AS433" i="1"/>
  <c r="AR434" i="1"/>
  <c r="AS43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43" i="1"/>
  <c r="AS443" i="1"/>
  <c r="AR436" i="1"/>
  <c r="AS436" i="1"/>
  <c r="AR440" i="1"/>
  <c r="AS440" i="1"/>
  <c r="AR441" i="1"/>
  <c r="AS441" i="1"/>
  <c r="AR442" i="1"/>
  <c r="AS442" i="1"/>
  <c r="AR444" i="1"/>
  <c r="AS444" i="1"/>
  <c r="AR445" i="1"/>
  <c r="AS445" i="1"/>
  <c r="AR450" i="1"/>
  <c r="AS450" i="1"/>
  <c r="AR446" i="1"/>
  <c r="AS446" i="1"/>
  <c r="AR447" i="1"/>
  <c r="AS447" i="1"/>
  <c r="AR449" i="1"/>
  <c r="AS449" i="1"/>
  <c r="AR448" i="1"/>
  <c r="AS448" i="1"/>
  <c r="AR451" i="1"/>
  <c r="AS451" i="1"/>
  <c r="AR457" i="1"/>
  <c r="AS457" i="1"/>
  <c r="AR452" i="1"/>
  <c r="AS452" i="1"/>
  <c r="AR455" i="1"/>
  <c r="AS455" i="1"/>
  <c r="AR454" i="1"/>
  <c r="AS454" i="1"/>
  <c r="AR453" i="1"/>
  <c r="AS453" i="1"/>
  <c r="AR456" i="1"/>
  <c r="AS456" i="1"/>
  <c r="AR385" i="1"/>
  <c r="AS385" i="1"/>
  <c r="AT385" i="1" l="1"/>
  <c r="AT455" i="1" l="1"/>
  <c r="AT457" i="1"/>
  <c r="AT447" i="1"/>
  <c r="AT446" i="1"/>
  <c r="AT419" i="1"/>
  <c r="AT394" i="1"/>
  <c r="AT397" i="1"/>
  <c r="CR35" i="1" l="1"/>
  <c r="CR34" i="1"/>
  <c r="CR32" i="1"/>
  <c r="CR24" i="1"/>
  <c r="CR39" i="1"/>
  <c r="CR38" i="1"/>
  <c r="CR30" i="1" l="1"/>
  <c r="CR36" i="1"/>
  <c r="CP320" i="1" l="1"/>
  <c r="CP117" i="1"/>
  <c r="DC275" i="1" l="1"/>
  <c r="DD275" i="1" l="1"/>
  <c r="DB275" i="1"/>
  <c r="BW275" i="1"/>
  <c r="BV275" i="1"/>
  <c r="BX275" i="1" l="1"/>
  <c r="DE275" i="1" s="1"/>
  <c r="EM275" i="1" s="1"/>
  <c r="FL275" i="1" s="1"/>
  <c r="CP159" i="1"/>
  <c r="CP118" i="1"/>
  <c r="CP121" i="1"/>
  <c r="AW118" i="1"/>
  <c r="H118" i="1" s="1"/>
  <c r="K118" i="1" s="1"/>
  <c r="L118" i="1" s="1"/>
  <c r="AW119" i="1"/>
  <c r="H119" i="1" s="1"/>
  <c r="K119" i="1" s="1"/>
  <c r="L119" i="1" s="1"/>
  <c r="AW117" i="1"/>
  <c r="H117" i="1" s="1"/>
  <c r="K117" i="1" s="1"/>
  <c r="L117" i="1" s="1"/>
  <c r="DD121" i="1"/>
  <c r="DB121" i="1"/>
  <c r="BW121" i="1"/>
  <c r="BV121" i="1"/>
  <c r="CP119" i="1"/>
  <c r="DC121" i="1" l="1"/>
  <c r="BX121" i="1"/>
  <c r="CP311" i="1"/>
  <c r="DE121" i="1" l="1"/>
  <c r="B570" i="1"/>
  <c r="B4" i="2" s="1"/>
  <c r="EM121" i="1" l="1"/>
  <c r="FL121" i="1" s="1"/>
  <c r="DD14" i="1"/>
  <c r="DC14" i="1"/>
  <c r="DB14" i="1"/>
  <c r="BW14" i="1"/>
  <c r="BV14" i="1"/>
  <c r="AS14" i="1"/>
  <c r="AR14" i="1"/>
  <c r="AT14" i="1" l="1"/>
  <c r="CL59" i="1"/>
  <c r="CL35" i="1"/>
  <c r="CL31" i="1"/>
  <c r="CL24" i="1"/>
  <c r="BX14" i="1" l="1"/>
  <c r="DE14" i="1" s="1"/>
  <c r="EM14" i="1" s="1"/>
  <c r="FL14" i="1" s="1"/>
  <c r="CH10" i="1"/>
  <c r="CJ41" i="1" l="1"/>
  <c r="DD436" i="1" l="1"/>
  <c r="DC436" i="1"/>
  <c r="DB436" i="1"/>
  <c r="BW436" i="1"/>
  <c r="BV436" i="1"/>
  <c r="AT436" i="1"/>
  <c r="BX436" i="1" l="1"/>
  <c r="DE436" i="1" s="1"/>
  <c r="EM436" i="1" s="1"/>
  <c r="FL436" i="1" s="1"/>
  <c r="DD363" i="1"/>
  <c r="DC363" i="1"/>
  <c r="DB363" i="1"/>
  <c r="BW363" i="1"/>
  <c r="BV363" i="1"/>
  <c r="BX363" i="1" l="1"/>
  <c r="DE363" i="1" s="1"/>
  <c r="CH151" i="1"/>
  <c r="CF36" i="1"/>
  <c r="CD37" i="1"/>
  <c r="CD24" i="1"/>
  <c r="CF31" i="1"/>
  <c r="DD37" i="1"/>
  <c r="DC37" i="1"/>
  <c r="BW37" i="1"/>
  <c r="BV37" i="1"/>
  <c r="AS37" i="1"/>
  <c r="AR3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Q67" i="1"/>
  <c r="BR67" i="1"/>
  <c r="BS67" i="1"/>
  <c r="BT67" i="1"/>
  <c r="BU67" i="1"/>
  <c r="CE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DA67" i="1"/>
  <c r="DD36" i="1"/>
  <c r="DC36" i="1"/>
  <c r="BW36" i="1"/>
  <c r="BV36" i="1"/>
  <c r="AS36" i="1"/>
  <c r="AR36" i="1"/>
  <c r="DD35" i="1"/>
  <c r="DC35" i="1"/>
  <c r="DB35" i="1"/>
  <c r="BW35" i="1"/>
  <c r="BV35" i="1"/>
  <c r="AS35" i="1"/>
  <c r="AR35" i="1"/>
  <c r="DD34" i="1"/>
  <c r="DC34" i="1"/>
  <c r="DB34" i="1"/>
  <c r="BW34" i="1"/>
  <c r="BV34" i="1"/>
  <c r="AS34" i="1"/>
  <c r="AR34" i="1"/>
  <c r="DD32" i="1"/>
  <c r="DC32" i="1"/>
  <c r="DB32" i="1"/>
  <c r="BW32" i="1"/>
  <c r="BV32" i="1"/>
  <c r="AS32" i="1"/>
  <c r="AR32" i="1"/>
  <c r="DD31" i="1"/>
  <c r="DC31" i="1"/>
  <c r="BW31" i="1"/>
  <c r="BV31" i="1"/>
  <c r="AS31" i="1"/>
  <c r="AR31" i="1"/>
  <c r="DD30" i="1"/>
  <c r="DC30" i="1"/>
  <c r="DB30" i="1"/>
  <c r="BW30" i="1"/>
  <c r="BV30" i="1"/>
  <c r="AS30" i="1"/>
  <c r="AR30" i="1"/>
  <c r="DD26" i="1"/>
  <c r="DC26" i="1"/>
  <c r="DB26" i="1"/>
  <c r="BW26" i="1"/>
  <c r="BV26" i="1"/>
  <c r="AS26" i="1"/>
  <c r="AR26" i="1"/>
  <c r="DD25" i="1"/>
  <c r="DC25" i="1"/>
  <c r="DB25" i="1"/>
  <c r="BW25" i="1"/>
  <c r="BV25" i="1"/>
  <c r="DD24" i="1"/>
  <c r="DC24" i="1"/>
  <c r="BW24" i="1"/>
  <c r="BP24" i="1"/>
  <c r="BV24" i="1" s="1"/>
  <c r="AS24" i="1"/>
  <c r="AR24" i="1"/>
  <c r="EM363" i="1" l="1"/>
  <c r="FL363" i="1" s="1"/>
  <c r="DB37" i="1"/>
  <c r="DB36" i="1"/>
  <c r="DB24" i="1"/>
  <c r="BX25" i="1"/>
  <c r="DE25" i="1" s="1"/>
  <c r="EM25" i="1" s="1"/>
  <c r="FL25" i="1" s="1"/>
  <c r="CF67" i="1"/>
  <c r="AT37" i="1"/>
  <c r="BX37" i="1" s="1"/>
  <c r="DB31" i="1"/>
  <c r="BP67" i="1"/>
  <c r="AT26" i="1"/>
  <c r="AT34" i="1"/>
  <c r="AT36" i="1"/>
  <c r="AT24" i="1"/>
  <c r="AT30" i="1"/>
  <c r="AT31" i="1"/>
  <c r="BX31" i="1" s="1"/>
  <c r="AT35" i="1"/>
  <c r="AT32" i="1"/>
  <c r="DE37" i="1" l="1"/>
  <c r="EM37" i="1" s="1"/>
  <c r="FL37" i="1" s="1"/>
  <c r="DE31" i="1"/>
  <c r="BX24" i="1"/>
  <c r="DE24" i="1" s="1"/>
  <c r="EM24" i="1" s="1"/>
  <c r="FL24" i="1" s="1"/>
  <c r="BX35" i="1"/>
  <c r="DE35" i="1" s="1"/>
  <c r="BX36" i="1"/>
  <c r="DE36" i="1" s="1"/>
  <c r="BX34" i="1"/>
  <c r="DE34" i="1" s="1"/>
  <c r="BX32" i="1"/>
  <c r="DE32" i="1" s="1"/>
  <c r="BX30" i="1"/>
  <c r="DE30" i="1" s="1"/>
  <c r="BX26" i="1"/>
  <c r="DE26" i="1" s="1"/>
  <c r="EM30" i="1" l="1"/>
  <c r="FL30" i="1" s="1"/>
  <c r="EM32" i="1"/>
  <c r="FL32" i="1" s="1"/>
  <c r="EM34" i="1"/>
  <c r="FL34" i="1" s="1"/>
  <c r="EM31" i="1"/>
  <c r="FL31" i="1" s="1"/>
  <c r="EM26" i="1"/>
  <c r="FL26" i="1" s="1"/>
  <c r="EM36" i="1"/>
  <c r="FL36" i="1" s="1"/>
  <c r="CF458" i="1"/>
  <c r="FN30" i="1" l="1"/>
  <c r="FN32" i="1"/>
  <c r="FN36" i="1"/>
  <c r="FN31" i="1"/>
  <c r="FN26" i="1"/>
  <c r="FN34" i="1"/>
  <c r="AW160" i="1"/>
  <c r="AW458" i="1"/>
  <c r="AW378" i="1"/>
  <c r="AW374" i="1"/>
  <c r="AW328" i="1"/>
  <c r="AW317" i="1"/>
  <c r="AW74" i="1"/>
  <c r="AW22" i="1"/>
  <c r="AW11" i="1"/>
  <c r="DA378" i="1"/>
  <c r="CY378" i="1"/>
  <c r="CX378" i="1"/>
  <c r="CW378" i="1"/>
  <c r="CV378" i="1"/>
  <c r="CU378" i="1"/>
  <c r="CT378" i="1"/>
  <c r="CS378" i="1"/>
  <c r="CR378" i="1"/>
  <c r="CQ378" i="1"/>
  <c r="CP378" i="1"/>
  <c r="CO378" i="1"/>
  <c r="CN378" i="1"/>
  <c r="CM378" i="1"/>
  <c r="CL378" i="1"/>
  <c r="CK378" i="1"/>
  <c r="CJ378" i="1"/>
  <c r="CI378" i="1"/>
  <c r="CH378" i="1"/>
  <c r="CG378" i="1"/>
  <c r="CF378" i="1"/>
  <c r="CE378" i="1"/>
  <c r="CD378" i="1"/>
  <c r="CA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DD376" i="1"/>
  <c r="DC376" i="1"/>
  <c r="DB376" i="1"/>
  <c r="BW376" i="1"/>
  <c r="BV376" i="1"/>
  <c r="DD377" i="1"/>
  <c r="DC377" i="1"/>
  <c r="DB377" i="1"/>
  <c r="BW377" i="1"/>
  <c r="BV377" i="1"/>
  <c r="AW461" i="1" l="1"/>
  <c r="BX376" i="1"/>
  <c r="DE376" i="1" s="1"/>
  <c r="EM376" i="1" s="1"/>
  <c r="FL376" i="1" s="1"/>
  <c r="BX377" i="1"/>
  <c r="DE377" i="1" s="1"/>
  <c r="EM377" i="1" s="1"/>
  <c r="FL377" i="1" s="1"/>
  <c r="DC378" i="1"/>
  <c r="DD378" i="1"/>
  <c r="DB378" i="1"/>
  <c r="BW378" i="1"/>
  <c r="BV378" i="1"/>
  <c r="EM378" i="1" l="1"/>
  <c r="FL378" i="1" s="1"/>
  <c r="BX378" i="1"/>
  <c r="DE378" i="1"/>
  <c r="DA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A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DD21" i="1"/>
  <c r="DC21" i="1"/>
  <c r="DB21" i="1"/>
  <c r="BW21" i="1"/>
  <c r="BV21" i="1"/>
  <c r="AS21" i="1"/>
  <c r="AR21" i="1"/>
  <c r="DD19" i="1"/>
  <c r="DC19" i="1"/>
  <c r="DB19" i="1"/>
  <c r="BW19" i="1"/>
  <c r="BV19" i="1"/>
  <c r="AS19" i="1"/>
  <c r="AR19" i="1"/>
  <c r="DD18" i="1"/>
  <c r="DC18" i="1"/>
  <c r="DB18" i="1"/>
  <c r="BW18" i="1"/>
  <c r="BV18" i="1"/>
  <c r="AS18" i="1"/>
  <c r="AR18" i="1"/>
  <c r="DD15" i="1"/>
  <c r="DC15" i="1"/>
  <c r="DB15" i="1"/>
  <c r="BW15" i="1"/>
  <c r="BV15" i="1"/>
  <c r="AS15" i="1"/>
  <c r="AR15" i="1"/>
  <c r="DD13" i="1"/>
  <c r="DC13" i="1"/>
  <c r="DB13" i="1"/>
  <c r="BW13" i="1"/>
  <c r="BV13" i="1"/>
  <c r="AS13" i="1"/>
  <c r="AR13" i="1"/>
  <c r="AR22" i="1" l="1"/>
  <c r="DB22" i="1"/>
  <c r="DC22" i="1"/>
  <c r="AT13" i="1"/>
  <c r="BX13" i="1" s="1"/>
  <c r="DE13" i="1" s="1"/>
  <c r="EM13" i="1" s="1"/>
  <c r="FL13" i="1" s="1"/>
  <c r="AT19" i="1"/>
  <c r="AT21" i="1"/>
  <c r="DD22" i="1"/>
  <c r="AT15" i="1"/>
  <c r="AT18" i="1"/>
  <c r="BV22" i="1"/>
  <c r="BW22" i="1"/>
  <c r="AS22" i="1"/>
  <c r="DD421" i="1"/>
  <c r="DC421" i="1"/>
  <c r="DB421" i="1"/>
  <c r="BW421" i="1"/>
  <c r="BV421" i="1"/>
  <c r="AT421" i="1"/>
  <c r="DD424" i="1"/>
  <c r="DC424" i="1"/>
  <c r="DB424" i="1"/>
  <c r="BW424" i="1"/>
  <c r="BV424" i="1"/>
  <c r="DD415" i="1"/>
  <c r="DC415" i="1"/>
  <c r="DB415" i="1"/>
  <c r="BW415" i="1"/>
  <c r="BV415" i="1"/>
  <c r="DD426" i="1"/>
  <c r="DC426" i="1"/>
  <c r="DB426" i="1"/>
  <c r="BW426" i="1"/>
  <c r="BV426" i="1"/>
  <c r="AT426" i="1"/>
  <c r="DD428" i="1"/>
  <c r="DC428" i="1"/>
  <c r="DB428" i="1"/>
  <c r="BW428" i="1"/>
  <c r="BV428" i="1"/>
  <c r="DD6" i="1"/>
  <c r="DC6" i="1"/>
  <c r="DB6" i="1"/>
  <c r="BW6" i="1"/>
  <c r="BV6" i="1"/>
  <c r="AS6" i="1"/>
  <c r="AR6" i="1"/>
  <c r="BX428" i="1" l="1"/>
  <c r="DE428" i="1" s="1"/>
  <c r="EM428" i="1" s="1"/>
  <c r="FL428" i="1" s="1"/>
  <c r="BX15" i="1"/>
  <c r="DE15" i="1" s="1"/>
  <c r="EM15" i="1" s="1"/>
  <c r="FL15" i="1" s="1"/>
  <c r="BX426" i="1"/>
  <c r="DE426" i="1" s="1"/>
  <c r="EM426" i="1" s="1"/>
  <c r="FL426" i="1" s="1"/>
  <c r="BX421" i="1"/>
  <c r="DE421" i="1" s="1"/>
  <c r="EM421" i="1" s="1"/>
  <c r="FL421" i="1" s="1"/>
  <c r="BX21" i="1"/>
  <c r="DE21" i="1" s="1"/>
  <c r="EM21" i="1" s="1"/>
  <c r="FL21" i="1" s="1"/>
  <c r="BX18" i="1"/>
  <c r="DE18" i="1" s="1"/>
  <c r="EM18" i="1" s="1"/>
  <c r="FL18" i="1" s="1"/>
  <c r="BX19" i="1"/>
  <c r="DE19" i="1" s="1"/>
  <c r="EM19" i="1" s="1"/>
  <c r="FL19" i="1" s="1"/>
  <c r="AT424" i="1"/>
  <c r="AT415" i="1"/>
  <c r="AT22" i="1"/>
  <c r="AT6" i="1"/>
  <c r="EM22" i="1" l="1"/>
  <c r="FL22" i="1" s="1"/>
  <c r="DE22" i="1"/>
  <c r="BX415" i="1"/>
  <c r="DE415" i="1" s="1"/>
  <c r="EM415" i="1" s="1"/>
  <c r="FL415" i="1" s="1"/>
  <c r="BX424" i="1"/>
  <c r="DE424" i="1" s="1"/>
  <c r="EM424" i="1" s="1"/>
  <c r="FL424" i="1" s="1"/>
  <c r="BX6" i="1"/>
  <c r="DE6" i="1" s="1"/>
  <c r="EM6" i="1" s="1"/>
  <c r="FL6" i="1" s="1"/>
  <c r="BX22" i="1"/>
  <c r="S328" i="1" l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DB384" i="1"/>
  <c r="DC384" i="1"/>
  <c r="DD384" i="1"/>
  <c r="DB388" i="1"/>
  <c r="DC388" i="1"/>
  <c r="DD388" i="1"/>
  <c r="DB386" i="1"/>
  <c r="DC386" i="1"/>
  <c r="DD386" i="1"/>
  <c r="DB387" i="1"/>
  <c r="DC387" i="1"/>
  <c r="DD387" i="1"/>
  <c r="DB390" i="1"/>
  <c r="DC390" i="1"/>
  <c r="DD390" i="1"/>
  <c r="DB396" i="1"/>
  <c r="DC396" i="1"/>
  <c r="DD396" i="1"/>
  <c r="DB397" i="1"/>
  <c r="DC397" i="1"/>
  <c r="DD397" i="1"/>
  <c r="DB391" i="1"/>
  <c r="DC391" i="1"/>
  <c r="DD391" i="1"/>
  <c r="DB392" i="1"/>
  <c r="DC392" i="1"/>
  <c r="DD392" i="1"/>
  <c r="DB393" i="1"/>
  <c r="DC393" i="1"/>
  <c r="DD393" i="1"/>
  <c r="DB394" i="1"/>
  <c r="DC394" i="1"/>
  <c r="DD394" i="1"/>
  <c r="DB395" i="1"/>
  <c r="DC395" i="1"/>
  <c r="DD395" i="1"/>
  <c r="DB401" i="1"/>
  <c r="DC401" i="1"/>
  <c r="DD401" i="1"/>
  <c r="DB402" i="1"/>
  <c r="DC402" i="1"/>
  <c r="DD402" i="1"/>
  <c r="DB399" i="1"/>
  <c r="DC399" i="1"/>
  <c r="DD399" i="1"/>
  <c r="DB400" i="1"/>
  <c r="DC400" i="1"/>
  <c r="DD400" i="1"/>
  <c r="DB412" i="1"/>
  <c r="DC412" i="1"/>
  <c r="DD412" i="1"/>
  <c r="DB413" i="1"/>
  <c r="DC413" i="1"/>
  <c r="DD413" i="1"/>
  <c r="DB403" i="1"/>
  <c r="DC403" i="1"/>
  <c r="DD403" i="1"/>
  <c r="DB404" i="1"/>
  <c r="DC404" i="1"/>
  <c r="DD404" i="1"/>
  <c r="DB407" i="1"/>
  <c r="DC407" i="1"/>
  <c r="DD407" i="1"/>
  <c r="DB408" i="1"/>
  <c r="DC408" i="1"/>
  <c r="DD408" i="1"/>
  <c r="DB405" i="1"/>
  <c r="DC405" i="1"/>
  <c r="DD405" i="1"/>
  <c r="DB406" i="1"/>
  <c r="DC406" i="1"/>
  <c r="DD406" i="1"/>
  <c r="DB411" i="1"/>
  <c r="DC411" i="1"/>
  <c r="DD411" i="1"/>
  <c r="DB409" i="1"/>
  <c r="DC409" i="1"/>
  <c r="DD409" i="1"/>
  <c r="DB410" i="1"/>
  <c r="DC410" i="1"/>
  <c r="DD410" i="1"/>
  <c r="DB414" i="1"/>
  <c r="DC414" i="1"/>
  <c r="DD414" i="1"/>
  <c r="DB423" i="1"/>
  <c r="DC423" i="1"/>
  <c r="DD423" i="1"/>
  <c r="DB416" i="1"/>
  <c r="DC416" i="1"/>
  <c r="DD416" i="1"/>
  <c r="DB417" i="1"/>
  <c r="DC417" i="1"/>
  <c r="DD417" i="1"/>
  <c r="DB418" i="1"/>
  <c r="DC418" i="1"/>
  <c r="DD418" i="1"/>
  <c r="DB419" i="1"/>
  <c r="DC419" i="1"/>
  <c r="DD419" i="1"/>
  <c r="DB420" i="1"/>
  <c r="DC420" i="1"/>
  <c r="DD420" i="1"/>
  <c r="DB422" i="1"/>
  <c r="DC422" i="1"/>
  <c r="DD422" i="1"/>
  <c r="DB433" i="1"/>
  <c r="DC433" i="1"/>
  <c r="DD433" i="1"/>
  <c r="DB434" i="1"/>
  <c r="DC434" i="1"/>
  <c r="DD434" i="1"/>
  <c r="DB425" i="1"/>
  <c r="DC425" i="1"/>
  <c r="DD425" i="1"/>
  <c r="DB427" i="1"/>
  <c r="DC427" i="1"/>
  <c r="DD427" i="1"/>
  <c r="DB429" i="1"/>
  <c r="DC429" i="1"/>
  <c r="DD429" i="1"/>
  <c r="DB430" i="1"/>
  <c r="DC430" i="1"/>
  <c r="DD430" i="1"/>
  <c r="DB431" i="1"/>
  <c r="DC431" i="1"/>
  <c r="DD431" i="1"/>
  <c r="DB432" i="1"/>
  <c r="DC432" i="1"/>
  <c r="DD432" i="1"/>
  <c r="DB443" i="1"/>
  <c r="DC443" i="1"/>
  <c r="DD443" i="1"/>
  <c r="DB440" i="1"/>
  <c r="DC440" i="1"/>
  <c r="DD440" i="1"/>
  <c r="DB441" i="1"/>
  <c r="DC441" i="1"/>
  <c r="DD441" i="1"/>
  <c r="DB442" i="1"/>
  <c r="DC442" i="1"/>
  <c r="DD442" i="1"/>
  <c r="DB444" i="1"/>
  <c r="DC444" i="1"/>
  <c r="DD444" i="1"/>
  <c r="DB445" i="1"/>
  <c r="DC445" i="1"/>
  <c r="DD445" i="1"/>
  <c r="DB450" i="1"/>
  <c r="DC450" i="1"/>
  <c r="DD450" i="1"/>
  <c r="DB446" i="1"/>
  <c r="DC446" i="1"/>
  <c r="DD446" i="1"/>
  <c r="DB447" i="1"/>
  <c r="DC447" i="1"/>
  <c r="DD447" i="1"/>
  <c r="DB449" i="1"/>
  <c r="DC449" i="1"/>
  <c r="DD449" i="1"/>
  <c r="DB448" i="1"/>
  <c r="DC448" i="1"/>
  <c r="DD448" i="1"/>
  <c r="DB451" i="1"/>
  <c r="DC451" i="1"/>
  <c r="DD451" i="1"/>
  <c r="DB457" i="1"/>
  <c r="DC457" i="1"/>
  <c r="DD457" i="1"/>
  <c r="DB452" i="1"/>
  <c r="DC452" i="1"/>
  <c r="DD452" i="1"/>
  <c r="DB455" i="1"/>
  <c r="DC455" i="1"/>
  <c r="DD455" i="1"/>
  <c r="DB454" i="1"/>
  <c r="DC454" i="1"/>
  <c r="DD454" i="1"/>
  <c r="DB453" i="1"/>
  <c r="DC453" i="1"/>
  <c r="DD453" i="1"/>
  <c r="DB456" i="1"/>
  <c r="DC456" i="1"/>
  <c r="DD456" i="1"/>
  <c r="DD385" i="1"/>
  <c r="DC385" i="1"/>
  <c r="DB385" i="1"/>
  <c r="DB334" i="1"/>
  <c r="DC334" i="1"/>
  <c r="DD334" i="1"/>
  <c r="DB335" i="1"/>
  <c r="DC335" i="1"/>
  <c r="DD335" i="1"/>
  <c r="DB337" i="1"/>
  <c r="DC337" i="1"/>
  <c r="DD337" i="1"/>
  <c r="DB338" i="1"/>
  <c r="DC338" i="1"/>
  <c r="DD338" i="1"/>
  <c r="DB341" i="1"/>
  <c r="DC341" i="1"/>
  <c r="DD341" i="1"/>
  <c r="DB342" i="1"/>
  <c r="DC342" i="1"/>
  <c r="DD342" i="1"/>
  <c r="DB343" i="1"/>
  <c r="DC343" i="1"/>
  <c r="DD343" i="1"/>
  <c r="DB346" i="1"/>
  <c r="DC346" i="1"/>
  <c r="DD346" i="1"/>
  <c r="DB347" i="1"/>
  <c r="DC347" i="1"/>
  <c r="DD347" i="1"/>
  <c r="DB348" i="1"/>
  <c r="DC348" i="1"/>
  <c r="DD348" i="1"/>
  <c r="DB351" i="1"/>
  <c r="DC351" i="1"/>
  <c r="DD351" i="1"/>
  <c r="DB352" i="1"/>
  <c r="DC352" i="1"/>
  <c r="DD352" i="1"/>
  <c r="DB353" i="1"/>
  <c r="DC353" i="1"/>
  <c r="DD353" i="1"/>
  <c r="DB356" i="1"/>
  <c r="DC356" i="1"/>
  <c r="DD356" i="1"/>
  <c r="DB357" i="1"/>
  <c r="DC357" i="1"/>
  <c r="DD357" i="1"/>
  <c r="DB359" i="1"/>
  <c r="DC359" i="1"/>
  <c r="DD359" i="1"/>
  <c r="DB360" i="1"/>
  <c r="DC360" i="1"/>
  <c r="DD360" i="1"/>
  <c r="DB364" i="1"/>
  <c r="DC364" i="1"/>
  <c r="DD364" i="1"/>
  <c r="DB365" i="1"/>
  <c r="DC365" i="1"/>
  <c r="DD365" i="1"/>
  <c r="DB371" i="1"/>
  <c r="DC371" i="1"/>
  <c r="DD371" i="1"/>
  <c r="DB372" i="1"/>
  <c r="DC372" i="1"/>
  <c r="DD372" i="1"/>
  <c r="DB373" i="1"/>
  <c r="DC373" i="1"/>
  <c r="DD373" i="1"/>
  <c r="DB320" i="1"/>
  <c r="DC320" i="1"/>
  <c r="DD320" i="1"/>
  <c r="DB326" i="1"/>
  <c r="DC326" i="1"/>
  <c r="DD326" i="1"/>
  <c r="DB327" i="1"/>
  <c r="DC327" i="1"/>
  <c r="DD327" i="1"/>
  <c r="DD319" i="1"/>
  <c r="DC319" i="1"/>
  <c r="DB319" i="1"/>
  <c r="DB316" i="1"/>
  <c r="DC316" i="1"/>
  <c r="DD316" i="1"/>
  <c r="DD315" i="1"/>
  <c r="DC315" i="1"/>
  <c r="DB315" i="1"/>
  <c r="DD310" i="1"/>
  <c r="DC310" i="1"/>
  <c r="DB310" i="1"/>
  <c r="DD304" i="1"/>
  <c r="DC304" i="1"/>
  <c r="DB304" i="1"/>
  <c r="DD307" i="1"/>
  <c r="DC307" i="1"/>
  <c r="DB307" i="1"/>
  <c r="DD305" i="1"/>
  <c r="DC305" i="1"/>
  <c r="DB305" i="1"/>
  <c r="DD302" i="1"/>
  <c r="DC302" i="1"/>
  <c r="DB302" i="1"/>
  <c r="DD303" i="1"/>
  <c r="DC303" i="1"/>
  <c r="DB303" i="1"/>
  <c r="DD298" i="1"/>
  <c r="DC298" i="1"/>
  <c r="DD297" i="1"/>
  <c r="DC297" i="1"/>
  <c r="DD289" i="1"/>
  <c r="DC289" i="1"/>
  <c r="DB289" i="1"/>
  <c r="DD290" i="1"/>
  <c r="DC290" i="1"/>
  <c r="DB290" i="1"/>
  <c r="DD286" i="1"/>
  <c r="DC286" i="1"/>
  <c r="DB286" i="1"/>
  <c r="DD287" i="1"/>
  <c r="DC287" i="1"/>
  <c r="DB287" i="1"/>
  <c r="DD288" i="1"/>
  <c r="DC288" i="1"/>
  <c r="DB288" i="1"/>
  <c r="DD285" i="1"/>
  <c r="DC285" i="1"/>
  <c r="DB285" i="1"/>
  <c r="DD282" i="1"/>
  <c r="DC282" i="1"/>
  <c r="DB282" i="1"/>
  <c r="DD281" i="1"/>
  <c r="DC281" i="1"/>
  <c r="DB281" i="1"/>
  <c r="DD280" i="1"/>
  <c r="DC280" i="1"/>
  <c r="DB280" i="1"/>
  <c r="DD284" i="1"/>
  <c r="DC284" i="1"/>
  <c r="DB284" i="1"/>
  <c r="DD283" i="1"/>
  <c r="DC283" i="1"/>
  <c r="DB283" i="1"/>
  <c r="DD278" i="1"/>
  <c r="DC278" i="1"/>
  <c r="DB278" i="1"/>
  <c r="DD277" i="1"/>
  <c r="DC277" i="1"/>
  <c r="DB277" i="1"/>
  <c r="DD276" i="1"/>
  <c r="DC276" i="1"/>
  <c r="DB276" i="1"/>
  <c r="DD279" i="1"/>
  <c r="DC279" i="1"/>
  <c r="DB279" i="1"/>
  <c r="DD271" i="1"/>
  <c r="DC271" i="1"/>
  <c r="DB271" i="1"/>
  <c r="DD266" i="1"/>
  <c r="DC266" i="1"/>
  <c r="DB266" i="1"/>
  <c r="DD265" i="1"/>
  <c r="DC265" i="1"/>
  <c r="DB265" i="1"/>
  <c r="DD264" i="1"/>
  <c r="DC264" i="1"/>
  <c r="DB264" i="1"/>
  <c r="DD263" i="1"/>
  <c r="DC263" i="1"/>
  <c r="DB263" i="1"/>
  <c r="DD267" i="1"/>
  <c r="DC267" i="1"/>
  <c r="DB267" i="1"/>
  <c r="DD262" i="1"/>
  <c r="DC262" i="1"/>
  <c r="DB262" i="1"/>
  <c r="DD260" i="1"/>
  <c r="DC260" i="1"/>
  <c r="DB260" i="1"/>
  <c r="DD321" i="1"/>
  <c r="DC321" i="1"/>
  <c r="DB321" i="1"/>
  <c r="DD259" i="1"/>
  <c r="DC259" i="1"/>
  <c r="DB259" i="1"/>
  <c r="DD256" i="1"/>
  <c r="DC256" i="1"/>
  <c r="DB256" i="1"/>
  <c r="DD255" i="1"/>
  <c r="DC255" i="1"/>
  <c r="DB255" i="1"/>
  <c r="DD254" i="1"/>
  <c r="DC254" i="1"/>
  <c r="DB254" i="1"/>
  <c r="DD253" i="1"/>
  <c r="DC253" i="1"/>
  <c r="DB253" i="1"/>
  <c r="DD251" i="1"/>
  <c r="DC251" i="1"/>
  <c r="DB251" i="1"/>
  <c r="DD249" i="1"/>
  <c r="DC249" i="1"/>
  <c r="DB249" i="1"/>
  <c r="DD248" i="1"/>
  <c r="DC248" i="1"/>
  <c r="DB248" i="1"/>
  <c r="DD242" i="1"/>
  <c r="DC242" i="1"/>
  <c r="DB242" i="1"/>
  <c r="DD243" i="1"/>
  <c r="DC243" i="1"/>
  <c r="DB243" i="1"/>
  <c r="DD245" i="1"/>
  <c r="DC245" i="1"/>
  <c r="DB245" i="1"/>
  <c r="DD247" i="1"/>
  <c r="DC247" i="1"/>
  <c r="DB247" i="1"/>
  <c r="DD236" i="1"/>
  <c r="DC236" i="1"/>
  <c r="DB236" i="1"/>
  <c r="DD237" i="1"/>
  <c r="DC237" i="1"/>
  <c r="DB237" i="1"/>
  <c r="DD235" i="1"/>
  <c r="DC235" i="1"/>
  <c r="DB235" i="1"/>
  <c r="DD234" i="1"/>
  <c r="DC234" i="1"/>
  <c r="DB234" i="1"/>
  <c r="DD233" i="1"/>
  <c r="DC233" i="1"/>
  <c r="DB233" i="1"/>
  <c r="DD230" i="1"/>
  <c r="DC230" i="1"/>
  <c r="DB230" i="1"/>
  <c r="DD229" i="1"/>
  <c r="DC229" i="1"/>
  <c r="DB229" i="1"/>
  <c r="DD227" i="1"/>
  <c r="DC227" i="1"/>
  <c r="DB227" i="1"/>
  <c r="DD181" i="1"/>
  <c r="DC181" i="1"/>
  <c r="DB181" i="1"/>
  <c r="DD224" i="1"/>
  <c r="DC224" i="1"/>
  <c r="DB224" i="1"/>
  <c r="DD221" i="1"/>
  <c r="DC221" i="1"/>
  <c r="DB221" i="1"/>
  <c r="DD226" i="1"/>
  <c r="DC226" i="1"/>
  <c r="DB226" i="1"/>
  <c r="DD225" i="1"/>
  <c r="DC225" i="1"/>
  <c r="DB225" i="1"/>
  <c r="DD220" i="1"/>
  <c r="DC220" i="1"/>
  <c r="DB220" i="1"/>
  <c r="DD207" i="1"/>
  <c r="DC207" i="1"/>
  <c r="DB207" i="1"/>
  <c r="DD214" i="1"/>
  <c r="DC214" i="1"/>
  <c r="DB214" i="1"/>
  <c r="DD215" i="1"/>
  <c r="DC215" i="1"/>
  <c r="DB215" i="1"/>
  <c r="DD213" i="1"/>
  <c r="DC213" i="1"/>
  <c r="DB213" i="1"/>
  <c r="DD183" i="1"/>
  <c r="DC183" i="1"/>
  <c r="DB183" i="1"/>
  <c r="DD209" i="1"/>
  <c r="DC209" i="1"/>
  <c r="DB209" i="1"/>
  <c r="DD206" i="1"/>
  <c r="DC206" i="1"/>
  <c r="DB206" i="1"/>
  <c r="DD212" i="1"/>
  <c r="DC212" i="1"/>
  <c r="DB212" i="1"/>
  <c r="DD211" i="1"/>
  <c r="DC211" i="1"/>
  <c r="DB211" i="1"/>
  <c r="DD208" i="1"/>
  <c r="DC208" i="1"/>
  <c r="DB208" i="1"/>
  <c r="DD223" i="1"/>
  <c r="DC223" i="1"/>
  <c r="DB223" i="1"/>
  <c r="DD205" i="1"/>
  <c r="DC205" i="1"/>
  <c r="DB205" i="1"/>
  <c r="DD204" i="1"/>
  <c r="DC204" i="1"/>
  <c r="DB204" i="1"/>
  <c r="DD203" i="1"/>
  <c r="DC203" i="1"/>
  <c r="DB203" i="1"/>
  <c r="DD202" i="1"/>
  <c r="DC202" i="1"/>
  <c r="DB202" i="1"/>
  <c r="DD216" i="1"/>
  <c r="DC216" i="1"/>
  <c r="DB216" i="1"/>
  <c r="DD240" i="1"/>
  <c r="DC240" i="1"/>
  <c r="DB240" i="1"/>
  <c r="DD239" i="1"/>
  <c r="DC239" i="1"/>
  <c r="DB239" i="1"/>
  <c r="DD210" i="1"/>
  <c r="DC210" i="1"/>
  <c r="DB210" i="1"/>
  <c r="DD198" i="1"/>
  <c r="DC198" i="1"/>
  <c r="DB198" i="1"/>
  <c r="DD197" i="1"/>
  <c r="DC197" i="1"/>
  <c r="DB197" i="1"/>
  <c r="DD200" i="1"/>
  <c r="DC200" i="1"/>
  <c r="DB200" i="1"/>
  <c r="DD199" i="1"/>
  <c r="DC199" i="1"/>
  <c r="DB199" i="1"/>
  <c r="DD196" i="1"/>
  <c r="DC196" i="1"/>
  <c r="DB196" i="1"/>
  <c r="DD195" i="1"/>
  <c r="DC195" i="1"/>
  <c r="DB195" i="1"/>
  <c r="DD218" i="1"/>
  <c r="DC218" i="1"/>
  <c r="DB218" i="1"/>
  <c r="DD217" i="1"/>
  <c r="DC217" i="1"/>
  <c r="DB217" i="1"/>
  <c r="DD193" i="1"/>
  <c r="DC193" i="1"/>
  <c r="DB193" i="1"/>
  <c r="DD192" i="1"/>
  <c r="DC192" i="1"/>
  <c r="DB192" i="1"/>
  <c r="DD194" i="1"/>
  <c r="DC194" i="1"/>
  <c r="DB194" i="1"/>
  <c r="DD191" i="1"/>
  <c r="DC191" i="1"/>
  <c r="DB191" i="1"/>
  <c r="DD228" i="1"/>
  <c r="DC228" i="1"/>
  <c r="DB228" i="1"/>
  <c r="DD238" i="1"/>
  <c r="DC238" i="1"/>
  <c r="DB238" i="1"/>
  <c r="DD190" i="1"/>
  <c r="DC190" i="1"/>
  <c r="DB190" i="1"/>
  <c r="DD189" i="1"/>
  <c r="DC189" i="1"/>
  <c r="DB189" i="1"/>
  <c r="DD188" i="1"/>
  <c r="DC188" i="1"/>
  <c r="DB188" i="1"/>
  <c r="DD187" i="1"/>
  <c r="DC187" i="1"/>
  <c r="DB187" i="1"/>
  <c r="DD186" i="1"/>
  <c r="DC186" i="1"/>
  <c r="DB186" i="1"/>
  <c r="DD185" i="1"/>
  <c r="DC185" i="1"/>
  <c r="DB185" i="1"/>
  <c r="DB164" i="1"/>
  <c r="DC164" i="1"/>
  <c r="DD164" i="1"/>
  <c r="DB166" i="1"/>
  <c r="DC166" i="1"/>
  <c r="DD166" i="1"/>
  <c r="DB167" i="1"/>
  <c r="DC167" i="1"/>
  <c r="DD167" i="1"/>
  <c r="DB168" i="1"/>
  <c r="DC168" i="1"/>
  <c r="DD168" i="1"/>
  <c r="DB170" i="1"/>
  <c r="DC170" i="1"/>
  <c r="DD170" i="1"/>
  <c r="DB172" i="1"/>
  <c r="DC172" i="1"/>
  <c r="DD172" i="1"/>
  <c r="DB176" i="1"/>
  <c r="DC176" i="1"/>
  <c r="DD176" i="1"/>
  <c r="DB180" i="1"/>
  <c r="DC180" i="1"/>
  <c r="DD180" i="1"/>
  <c r="DB182" i="1"/>
  <c r="DC182" i="1"/>
  <c r="DD182" i="1"/>
  <c r="DB184" i="1"/>
  <c r="DC184" i="1"/>
  <c r="DD184" i="1"/>
  <c r="DD162" i="1"/>
  <c r="DC162" i="1"/>
  <c r="DB162" i="1"/>
  <c r="DD159" i="1"/>
  <c r="DC159" i="1"/>
  <c r="DB159" i="1"/>
  <c r="DD155" i="1"/>
  <c r="DC155" i="1"/>
  <c r="DB155" i="1"/>
  <c r="DD154" i="1"/>
  <c r="DC154" i="1"/>
  <c r="DB154" i="1"/>
  <c r="DD153" i="1"/>
  <c r="DC153" i="1"/>
  <c r="DB153" i="1"/>
  <c r="DD152" i="1"/>
  <c r="DC152" i="1"/>
  <c r="DB152" i="1"/>
  <c r="DD151" i="1"/>
  <c r="DC151" i="1"/>
  <c r="DB151" i="1"/>
  <c r="DD150" i="1"/>
  <c r="DC150" i="1"/>
  <c r="DB150" i="1"/>
  <c r="DD149" i="1"/>
  <c r="DC149" i="1"/>
  <c r="DB149" i="1"/>
  <c r="DD147" i="1"/>
  <c r="DC147" i="1"/>
  <c r="DB147" i="1"/>
  <c r="DD145" i="1"/>
  <c r="DC145" i="1"/>
  <c r="DB145" i="1"/>
  <c r="DD144" i="1"/>
  <c r="DC144" i="1"/>
  <c r="DB144" i="1"/>
  <c r="DD143" i="1"/>
  <c r="DC143" i="1"/>
  <c r="DB143" i="1"/>
  <c r="DD142" i="1"/>
  <c r="DC142" i="1"/>
  <c r="DB142" i="1"/>
  <c r="DD141" i="1"/>
  <c r="DC141" i="1"/>
  <c r="DB141" i="1"/>
  <c r="DD140" i="1"/>
  <c r="DC140" i="1"/>
  <c r="DB140" i="1"/>
  <c r="DD139" i="1"/>
  <c r="DC139" i="1"/>
  <c r="DB139" i="1"/>
  <c r="DD137" i="1"/>
  <c r="DC137" i="1"/>
  <c r="DB137" i="1"/>
  <c r="DD136" i="1"/>
  <c r="DC136" i="1"/>
  <c r="DB136" i="1"/>
  <c r="DD134" i="1"/>
  <c r="DC134" i="1"/>
  <c r="DB134" i="1"/>
  <c r="DD133" i="1"/>
  <c r="DC133" i="1"/>
  <c r="DB133" i="1"/>
  <c r="DD131" i="1"/>
  <c r="DC131" i="1"/>
  <c r="DB131" i="1"/>
  <c r="DD128" i="1"/>
  <c r="DC128" i="1"/>
  <c r="DB128" i="1"/>
  <c r="DD127" i="1"/>
  <c r="DC127" i="1"/>
  <c r="DB127" i="1"/>
  <c r="DD125" i="1"/>
  <c r="DC125" i="1"/>
  <c r="DB125" i="1"/>
  <c r="DD124" i="1"/>
  <c r="DC124" i="1"/>
  <c r="DB124" i="1"/>
  <c r="DD119" i="1"/>
  <c r="DC119" i="1"/>
  <c r="DB119" i="1"/>
  <c r="DD118" i="1"/>
  <c r="DC118" i="1"/>
  <c r="DB118" i="1"/>
  <c r="DD117" i="1"/>
  <c r="DC117" i="1"/>
  <c r="DB117" i="1"/>
  <c r="DD115" i="1"/>
  <c r="DC115" i="1"/>
  <c r="DB115" i="1"/>
  <c r="DD114" i="1"/>
  <c r="DC114" i="1"/>
  <c r="DB114" i="1"/>
  <c r="DD113" i="1"/>
  <c r="DC113" i="1"/>
  <c r="DB113" i="1"/>
  <c r="DD112" i="1"/>
  <c r="DC112" i="1"/>
  <c r="DB112" i="1"/>
  <c r="DD111" i="1"/>
  <c r="DC111" i="1"/>
  <c r="DB111" i="1"/>
  <c r="DD110" i="1"/>
  <c r="DC110" i="1"/>
  <c r="DB110" i="1"/>
  <c r="DD109" i="1"/>
  <c r="DC109" i="1"/>
  <c r="DB109" i="1"/>
  <c r="DD106" i="1"/>
  <c r="DC106" i="1"/>
  <c r="DB106" i="1"/>
  <c r="DD105" i="1"/>
  <c r="DC105" i="1"/>
  <c r="DB105" i="1"/>
  <c r="DD104" i="1"/>
  <c r="DC104" i="1"/>
  <c r="DB104" i="1"/>
  <c r="DD103" i="1"/>
  <c r="DC103" i="1"/>
  <c r="DB103" i="1"/>
  <c r="DD101" i="1"/>
  <c r="DC101" i="1"/>
  <c r="DB101" i="1"/>
  <c r="DD99" i="1"/>
  <c r="DC99" i="1"/>
  <c r="DB99" i="1"/>
  <c r="DD98" i="1"/>
  <c r="DC98" i="1"/>
  <c r="DB98" i="1"/>
  <c r="DD97" i="1"/>
  <c r="DC97" i="1"/>
  <c r="DB97" i="1"/>
  <c r="DD96" i="1"/>
  <c r="DC96" i="1"/>
  <c r="DB96" i="1"/>
  <c r="DD95" i="1"/>
  <c r="DC95" i="1"/>
  <c r="DB95" i="1"/>
  <c r="DD94" i="1"/>
  <c r="DC94" i="1"/>
  <c r="DB94" i="1"/>
  <c r="DD93" i="1"/>
  <c r="DC93" i="1"/>
  <c r="DB93" i="1"/>
  <c r="DD92" i="1"/>
  <c r="DC92" i="1"/>
  <c r="DB92" i="1"/>
  <c r="DD91" i="1"/>
  <c r="DC91" i="1"/>
  <c r="DB91" i="1"/>
  <c r="DD90" i="1"/>
  <c r="DC90" i="1"/>
  <c r="DB90" i="1"/>
  <c r="DD89" i="1"/>
  <c r="DC89" i="1"/>
  <c r="DB89" i="1"/>
  <c r="DD87" i="1"/>
  <c r="DC87" i="1"/>
  <c r="DB87" i="1"/>
  <c r="DD86" i="1"/>
  <c r="DC86" i="1"/>
  <c r="DB86" i="1"/>
  <c r="DD85" i="1"/>
  <c r="DC85" i="1"/>
  <c r="DB85" i="1"/>
  <c r="DD84" i="1"/>
  <c r="DC84" i="1"/>
  <c r="DB84" i="1"/>
  <c r="DD83" i="1"/>
  <c r="DC83" i="1"/>
  <c r="DB83" i="1"/>
  <c r="DD82" i="1"/>
  <c r="DC82" i="1"/>
  <c r="DB82" i="1"/>
  <c r="DD81" i="1"/>
  <c r="DC81" i="1"/>
  <c r="DB81" i="1"/>
  <c r="DD76" i="1"/>
  <c r="DC76" i="1"/>
  <c r="DB76" i="1"/>
  <c r="DD80" i="1"/>
  <c r="DC80" i="1"/>
  <c r="DB80" i="1"/>
  <c r="DD79" i="1"/>
  <c r="DC79" i="1"/>
  <c r="DB79" i="1"/>
  <c r="DD78" i="1"/>
  <c r="DC78" i="1"/>
  <c r="DB78" i="1"/>
  <c r="DB70" i="1"/>
  <c r="DC70" i="1"/>
  <c r="DD70" i="1"/>
  <c r="DB71" i="1"/>
  <c r="DC71" i="1"/>
  <c r="DD71" i="1"/>
  <c r="DB72" i="1"/>
  <c r="DC72" i="1"/>
  <c r="DD72" i="1"/>
  <c r="DB73" i="1"/>
  <c r="DC73" i="1"/>
  <c r="DD73" i="1"/>
  <c r="DD69" i="1"/>
  <c r="DC69" i="1"/>
  <c r="DB69" i="1"/>
  <c r="DB38" i="1"/>
  <c r="DC38" i="1"/>
  <c r="DD38" i="1"/>
  <c r="DB39" i="1"/>
  <c r="DC39" i="1"/>
  <c r="DD39" i="1"/>
  <c r="DB41" i="1"/>
  <c r="DC41" i="1"/>
  <c r="DD41" i="1"/>
  <c r="DB42" i="1"/>
  <c r="DC42" i="1"/>
  <c r="DD42" i="1"/>
  <c r="DB43" i="1"/>
  <c r="DC43" i="1"/>
  <c r="DD43" i="1"/>
  <c r="DB44" i="1"/>
  <c r="DC44" i="1"/>
  <c r="DD44" i="1"/>
  <c r="DB45" i="1"/>
  <c r="DC45" i="1"/>
  <c r="DD45" i="1"/>
  <c r="DB46" i="1"/>
  <c r="DC46" i="1"/>
  <c r="DD46" i="1"/>
  <c r="DB47" i="1"/>
  <c r="DC47" i="1"/>
  <c r="DD47" i="1"/>
  <c r="DB48" i="1"/>
  <c r="DC48" i="1"/>
  <c r="DD48" i="1"/>
  <c r="DB49" i="1"/>
  <c r="DC49" i="1"/>
  <c r="DD49" i="1"/>
  <c r="DB50" i="1"/>
  <c r="DC50" i="1"/>
  <c r="DD50" i="1"/>
  <c r="DB52" i="1"/>
  <c r="DC52" i="1"/>
  <c r="DD52" i="1"/>
  <c r="DB55" i="1"/>
  <c r="DC55" i="1"/>
  <c r="DD55" i="1"/>
  <c r="DB56" i="1"/>
  <c r="DC56" i="1"/>
  <c r="DD56" i="1"/>
  <c r="DB58" i="1"/>
  <c r="DC58" i="1"/>
  <c r="DD58" i="1"/>
  <c r="DB59" i="1"/>
  <c r="DC59" i="1"/>
  <c r="DD59" i="1"/>
  <c r="DB60" i="1"/>
  <c r="DC60" i="1"/>
  <c r="DD60" i="1"/>
  <c r="DB61" i="1"/>
  <c r="DC61" i="1"/>
  <c r="DD61" i="1"/>
  <c r="DC64" i="1"/>
  <c r="DD64" i="1"/>
  <c r="DB65" i="1"/>
  <c r="DC65" i="1"/>
  <c r="DD65" i="1"/>
  <c r="DB66" i="1"/>
  <c r="DC66" i="1"/>
  <c r="DD66" i="1"/>
  <c r="DC10" i="1"/>
  <c r="DB4" i="1"/>
  <c r="DC4" i="1"/>
  <c r="DD4" i="1"/>
  <c r="DB5" i="1"/>
  <c r="DC5" i="1"/>
  <c r="DD5" i="1"/>
  <c r="DB7" i="1"/>
  <c r="DC7" i="1"/>
  <c r="DD7" i="1"/>
  <c r="DB8" i="1"/>
  <c r="DC8" i="1"/>
  <c r="DD8" i="1"/>
  <c r="DB9" i="1"/>
  <c r="DC9" i="1"/>
  <c r="DD9" i="1"/>
  <c r="DB10" i="1"/>
  <c r="DD10" i="1"/>
  <c r="DD3" i="1"/>
  <c r="DC3" i="1"/>
  <c r="DB3" i="1"/>
  <c r="BW456" i="1"/>
  <c r="BV456" i="1"/>
  <c r="AT456" i="1"/>
  <c r="BW452" i="1"/>
  <c r="BV452" i="1"/>
  <c r="AT452" i="1"/>
  <c r="BW451" i="1"/>
  <c r="BV451" i="1"/>
  <c r="AT451" i="1"/>
  <c r="BW450" i="1"/>
  <c r="BV450" i="1"/>
  <c r="AT450" i="1"/>
  <c r="BW444" i="1"/>
  <c r="BV444" i="1"/>
  <c r="BW440" i="1"/>
  <c r="BV440" i="1"/>
  <c r="BW429" i="1"/>
  <c r="BV429" i="1"/>
  <c r="AT429" i="1"/>
  <c r="BW395" i="1"/>
  <c r="BV395" i="1"/>
  <c r="BW391" i="1"/>
  <c r="BV391" i="1"/>
  <c r="BW390" i="1"/>
  <c r="BV390" i="1"/>
  <c r="AT390" i="1"/>
  <c r="BW403" i="1"/>
  <c r="BV403" i="1"/>
  <c r="BW334" i="1"/>
  <c r="BV334" i="1"/>
  <c r="AS334" i="1"/>
  <c r="AR334" i="1"/>
  <c r="BW260" i="1"/>
  <c r="BV260" i="1"/>
  <c r="BW203" i="1"/>
  <c r="BV203" i="1"/>
  <c r="BW167" i="1"/>
  <c r="BV167" i="1"/>
  <c r="BW162" i="1"/>
  <c r="BV162" i="1"/>
  <c r="AS162" i="1"/>
  <c r="AR162" i="1"/>
  <c r="BW234" i="1"/>
  <c r="BV234" i="1"/>
  <c r="BW127" i="1"/>
  <c r="BV127" i="1"/>
  <c r="AS127" i="1"/>
  <c r="AR127" i="1"/>
  <c r="BW125" i="1"/>
  <c r="BV125" i="1"/>
  <c r="AS125" i="1"/>
  <c r="AR125" i="1"/>
  <c r="BW115" i="1"/>
  <c r="BV115" i="1"/>
  <c r="AS115" i="1"/>
  <c r="AR115" i="1"/>
  <c r="BW99" i="1"/>
  <c r="BV99" i="1"/>
  <c r="AS99" i="1"/>
  <c r="AR99" i="1"/>
  <c r="BW92" i="1"/>
  <c r="BV92" i="1"/>
  <c r="AS92" i="1"/>
  <c r="AR92" i="1"/>
  <c r="BW46" i="1"/>
  <c r="BV46" i="1"/>
  <c r="AS46" i="1"/>
  <c r="AR46" i="1"/>
  <c r="BW8" i="1"/>
  <c r="BV8" i="1"/>
  <c r="AS8" i="1"/>
  <c r="AR8" i="1"/>
  <c r="BW9" i="1"/>
  <c r="BV9" i="1"/>
  <c r="AS9" i="1"/>
  <c r="AR9" i="1"/>
  <c r="BW7" i="1"/>
  <c r="BV7" i="1"/>
  <c r="AS7" i="1"/>
  <c r="AR7" i="1"/>
  <c r="BW3" i="1"/>
  <c r="BV3" i="1"/>
  <c r="AS3" i="1"/>
  <c r="AR3" i="1"/>
  <c r="BW4" i="1"/>
  <c r="BV4" i="1"/>
  <c r="AS4" i="1"/>
  <c r="AR4" i="1"/>
  <c r="BX391" i="1" l="1"/>
  <c r="DE391" i="1" s="1"/>
  <c r="EM391" i="1" s="1"/>
  <c r="FL391" i="1" s="1"/>
  <c r="BX429" i="1"/>
  <c r="DE429" i="1" s="1"/>
  <c r="EM429" i="1" s="1"/>
  <c r="FL429" i="1" s="1"/>
  <c r="BX456" i="1"/>
  <c r="DE456" i="1" s="1"/>
  <c r="EM456" i="1" s="1"/>
  <c r="FL456" i="1" s="1"/>
  <c r="BX390" i="1"/>
  <c r="DE390" i="1" s="1"/>
  <c r="EM390" i="1" s="1"/>
  <c r="FL390" i="1" s="1"/>
  <c r="BX444" i="1"/>
  <c r="DE444" i="1" s="1"/>
  <c r="EM444" i="1" s="1"/>
  <c r="FL444" i="1" s="1"/>
  <c r="BX452" i="1"/>
  <c r="DE452" i="1" s="1"/>
  <c r="EM452" i="1" s="1"/>
  <c r="FL452" i="1" s="1"/>
  <c r="BX395" i="1"/>
  <c r="DE395" i="1" s="1"/>
  <c r="EM395" i="1" s="1"/>
  <c r="FL395" i="1" s="1"/>
  <c r="BX451" i="1"/>
  <c r="DE451" i="1" s="1"/>
  <c r="EM451" i="1" s="1"/>
  <c r="FL451" i="1" s="1"/>
  <c r="BX403" i="1"/>
  <c r="DE403" i="1" s="1"/>
  <c r="EM403" i="1" s="1"/>
  <c r="FL403" i="1" s="1"/>
  <c r="BX440" i="1"/>
  <c r="DE440" i="1" s="1"/>
  <c r="EM440" i="1" s="1"/>
  <c r="FL440" i="1" s="1"/>
  <c r="BX450" i="1"/>
  <c r="DE450" i="1" s="1"/>
  <c r="EM450" i="1" s="1"/>
  <c r="FL450" i="1" s="1"/>
  <c r="BX167" i="1"/>
  <c r="DE167" i="1" s="1"/>
  <c r="EM167" i="1" s="1"/>
  <c r="FL167" i="1" s="1"/>
  <c r="BX260" i="1"/>
  <c r="DE260" i="1" s="1"/>
  <c r="EM260" i="1" s="1"/>
  <c r="FL260" i="1" s="1"/>
  <c r="BX234" i="1"/>
  <c r="DE234" i="1" s="1"/>
  <c r="EM234" i="1" s="1"/>
  <c r="FL234" i="1" s="1"/>
  <c r="BX203" i="1"/>
  <c r="DE203" i="1" s="1"/>
  <c r="EM203" i="1" s="1"/>
  <c r="FL203" i="1" s="1"/>
  <c r="DD67" i="1"/>
  <c r="DC67" i="1"/>
  <c r="AT334" i="1"/>
  <c r="AT162" i="1"/>
  <c r="AT115" i="1"/>
  <c r="AT127" i="1"/>
  <c r="AT99" i="1"/>
  <c r="AT125" i="1"/>
  <c r="AT92" i="1"/>
  <c r="AT46" i="1"/>
  <c r="AT3" i="1"/>
  <c r="BX3" i="1" s="1"/>
  <c r="DE3" i="1" s="1"/>
  <c r="EM3" i="1" s="1"/>
  <c r="FL3" i="1" s="1"/>
  <c r="AT8" i="1"/>
  <c r="AT4" i="1"/>
  <c r="AT9" i="1"/>
  <c r="AT7" i="1"/>
  <c r="BX92" i="1" l="1"/>
  <c r="DE92" i="1" s="1"/>
  <c r="EM92" i="1" s="1"/>
  <c r="FL92" i="1" s="1"/>
  <c r="BX125" i="1"/>
  <c r="DE125" i="1" s="1"/>
  <c r="BX7" i="1"/>
  <c r="DE7" i="1" s="1"/>
  <c r="EM7" i="1" s="1"/>
  <c r="FL7" i="1" s="1"/>
  <c r="BX99" i="1"/>
  <c r="DE99" i="1" s="1"/>
  <c r="BX9" i="1"/>
  <c r="DE9" i="1" s="1"/>
  <c r="EM9" i="1" s="1"/>
  <c r="FL9" i="1" s="1"/>
  <c r="BX8" i="1"/>
  <c r="DE8" i="1" s="1"/>
  <c r="EM8" i="1" s="1"/>
  <c r="FL8" i="1" s="1"/>
  <c r="BX334" i="1"/>
  <c r="BX46" i="1"/>
  <c r="BX127" i="1"/>
  <c r="DE127" i="1" s="1"/>
  <c r="BX4" i="1"/>
  <c r="DE4" i="1" s="1"/>
  <c r="EM4" i="1" s="1"/>
  <c r="FL4" i="1" s="1"/>
  <c r="BX115" i="1"/>
  <c r="DE115" i="1" s="1"/>
  <c r="BX162" i="1"/>
  <c r="DE162" i="1" s="1"/>
  <c r="EM162" i="1" s="1"/>
  <c r="FL162" i="1" s="1"/>
  <c r="DE46" i="1" l="1"/>
  <c r="EM99" i="1"/>
  <c r="FL99" i="1" s="1"/>
  <c r="EM125" i="1"/>
  <c r="FL125" i="1" s="1"/>
  <c r="EM115" i="1"/>
  <c r="FL115" i="1" s="1"/>
  <c r="EM127" i="1"/>
  <c r="FL127" i="1" s="1"/>
  <c r="DE334" i="1"/>
  <c r="CD64" i="1"/>
  <c r="EM46" i="1" l="1"/>
  <c r="FL46" i="1" s="1"/>
  <c r="EM334" i="1"/>
  <c r="FL334" i="1" s="1"/>
  <c r="DB64" i="1"/>
  <c r="DB67" i="1" s="1"/>
  <c r="CD67" i="1"/>
  <c r="DB297" i="1"/>
  <c r="DB298" i="1"/>
  <c r="DC74" i="1" l="1"/>
  <c r="DC160" i="1"/>
  <c r="DC317" i="1"/>
  <c r="DC311" i="1"/>
  <c r="DC328" i="1"/>
  <c r="DC458" i="1"/>
  <c r="DC11" i="1"/>
  <c r="DC374" i="1"/>
  <c r="DC461" i="1" l="1"/>
  <c r="BW172" i="1"/>
  <c r="BV172" i="1"/>
  <c r="BX172" i="1" l="1"/>
  <c r="DE172" i="1" s="1"/>
  <c r="EM172" i="1" s="1"/>
  <c r="FL172" i="1" s="1"/>
  <c r="DA458" i="1"/>
  <c r="CY458" i="1"/>
  <c r="CX458" i="1"/>
  <c r="CW458" i="1"/>
  <c r="CV458" i="1"/>
  <c r="CU458" i="1"/>
  <c r="CT458" i="1"/>
  <c r="CS458" i="1"/>
  <c r="CR458" i="1"/>
  <c r="CQ458" i="1"/>
  <c r="CP458" i="1"/>
  <c r="CO458" i="1"/>
  <c r="CN458" i="1"/>
  <c r="CM458" i="1"/>
  <c r="CL458" i="1"/>
  <c r="CK458" i="1"/>
  <c r="CI458" i="1"/>
  <c r="CH458" i="1"/>
  <c r="CG458" i="1"/>
  <c r="CE458" i="1"/>
  <c r="CD458" i="1"/>
  <c r="CA458" i="1"/>
  <c r="DA374" i="1"/>
  <c r="CY374" i="1"/>
  <c r="CX374" i="1"/>
  <c r="CW374" i="1"/>
  <c r="CV374" i="1"/>
  <c r="CU374" i="1"/>
  <c r="CT374" i="1"/>
  <c r="CS374" i="1"/>
  <c r="CR374" i="1"/>
  <c r="CQ374" i="1"/>
  <c r="CP374" i="1"/>
  <c r="CO374" i="1"/>
  <c r="CN374" i="1"/>
  <c r="CM374" i="1"/>
  <c r="CL374" i="1"/>
  <c r="CK374" i="1"/>
  <c r="CJ374" i="1"/>
  <c r="CI374" i="1"/>
  <c r="CH374" i="1"/>
  <c r="CG374" i="1"/>
  <c r="CF374" i="1"/>
  <c r="CE374" i="1"/>
  <c r="CD374" i="1"/>
  <c r="CA374" i="1"/>
  <c r="DA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DA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A317" i="1"/>
  <c r="DA311" i="1"/>
  <c r="CY311" i="1"/>
  <c r="CX311" i="1"/>
  <c r="CW311" i="1"/>
  <c r="CU311" i="1"/>
  <c r="CT311" i="1"/>
  <c r="CS311" i="1"/>
  <c r="CQ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DA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A160" i="1"/>
  <c r="DA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A74" i="1"/>
  <c r="DA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A11" i="1"/>
  <c r="CG461" i="1" l="1"/>
  <c r="CL461" i="1"/>
  <c r="CP461" i="1"/>
  <c r="CX461" i="1"/>
  <c r="CF461" i="1"/>
  <c r="CA461" i="1"/>
  <c r="CH461" i="1"/>
  <c r="CM461" i="1"/>
  <c r="CQ461" i="1"/>
  <c r="CU461" i="1"/>
  <c r="CY461" i="1"/>
  <c r="CT461" i="1"/>
  <c r="CD461" i="1"/>
  <c r="CI461" i="1"/>
  <c r="CN461" i="1"/>
  <c r="DA461" i="1"/>
  <c r="CE461" i="1"/>
  <c r="CK461" i="1"/>
  <c r="CO461" i="1"/>
  <c r="CS461" i="1"/>
  <c r="CW461" i="1"/>
  <c r="DD317" i="1"/>
  <c r="DB160" i="1"/>
  <c r="DD374" i="1"/>
  <c r="DB328" i="1"/>
  <c r="DD11" i="1"/>
  <c r="DB74" i="1"/>
  <c r="DB11" i="1"/>
  <c r="DD74" i="1"/>
  <c r="DD160" i="1"/>
  <c r="DD311" i="1"/>
  <c r="DD328" i="1"/>
  <c r="DB317" i="1"/>
  <c r="DB458" i="1"/>
  <c r="DB311" i="1"/>
  <c r="CR311" i="1"/>
  <c r="CR461" i="1" s="1"/>
  <c r="CV311" i="1"/>
  <c r="CV461" i="1" s="1"/>
  <c r="DB374" i="1"/>
  <c r="DD458" i="1"/>
  <c r="CJ458" i="1"/>
  <c r="CJ461" i="1" s="1"/>
  <c r="BW265" i="1"/>
  <c r="BV265" i="1"/>
  <c r="DD461" i="1" l="1"/>
  <c r="DB461" i="1"/>
  <c r="BX265" i="1"/>
  <c r="DE265" i="1" s="1"/>
  <c r="EM265" i="1" s="1"/>
  <c r="FL265" i="1" s="1"/>
  <c r="AX328" i="1" l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W180" i="1" l="1"/>
  <c r="BV180" i="1"/>
  <c r="BV316" i="1"/>
  <c r="BW316" i="1"/>
  <c r="BX316" i="1" l="1"/>
  <c r="DE316" i="1" s="1"/>
  <c r="EM316" i="1" s="1"/>
  <c r="FL316" i="1" s="1"/>
  <c r="BX180" i="1"/>
  <c r="DE180" i="1" s="1"/>
  <c r="EM180" i="1" s="1"/>
  <c r="FL180" i="1" s="1"/>
  <c r="B3" i="2" l="1"/>
  <c r="B568" i="1"/>
  <c r="B573" i="1" s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W220" i="1"/>
  <c r="BV220" i="1"/>
  <c r="BV202" i="1"/>
  <c r="BW202" i="1"/>
  <c r="BV409" i="1"/>
  <c r="BW409" i="1"/>
  <c r="BV419" i="1"/>
  <c r="BW419" i="1"/>
  <c r="BV433" i="1"/>
  <c r="BW433" i="1"/>
  <c r="BV397" i="1"/>
  <c r="BW397" i="1"/>
  <c r="BV394" i="1"/>
  <c r="BW394" i="1"/>
  <c r="BV399" i="1"/>
  <c r="BW399" i="1"/>
  <c r="BV446" i="1"/>
  <c r="BW446" i="1"/>
  <c r="BV447" i="1"/>
  <c r="BW447" i="1"/>
  <c r="BV457" i="1"/>
  <c r="BW457" i="1"/>
  <c r="BV455" i="1"/>
  <c r="BW455" i="1"/>
  <c r="BV327" i="1"/>
  <c r="BW327" i="1"/>
  <c r="BV337" i="1"/>
  <c r="BW337" i="1"/>
  <c r="BV338" i="1"/>
  <c r="BW338" i="1"/>
  <c r="BV341" i="1"/>
  <c r="BW341" i="1"/>
  <c r="BV342" i="1"/>
  <c r="BW342" i="1"/>
  <c r="BV343" i="1"/>
  <c r="BW343" i="1"/>
  <c r="BV346" i="1"/>
  <c r="BW346" i="1"/>
  <c r="BV347" i="1"/>
  <c r="BW347" i="1"/>
  <c r="BV351" i="1"/>
  <c r="BW351" i="1"/>
  <c r="BV352" i="1"/>
  <c r="BW352" i="1"/>
  <c r="BV353" i="1"/>
  <c r="BW353" i="1"/>
  <c r="BV356" i="1"/>
  <c r="BW356" i="1"/>
  <c r="BV357" i="1"/>
  <c r="BW357" i="1"/>
  <c r="BV359" i="1"/>
  <c r="BW359" i="1"/>
  <c r="BV360" i="1"/>
  <c r="BW360" i="1"/>
  <c r="BV364" i="1"/>
  <c r="BW364" i="1"/>
  <c r="BV365" i="1"/>
  <c r="BW365" i="1"/>
  <c r="BV371" i="1"/>
  <c r="BW371" i="1"/>
  <c r="BV373" i="1"/>
  <c r="BW373" i="1"/>
  <c r="BV372" i="1"/>
  <c r="BW372" i="1"/>
  <c r="BW335" i="1"/>
  <c r="BV335" i="1"/>
  <c r="BW319" i="1"/>
  <c r="AS328" i="1"/>
  <c r="AT328" i="1"/>
  <c r="BV320" i="1"/>
  <c r="BW320" i="1"/>
  <c r="BV326" i="1"/>
  <c r="BW326" i="1"/>
  <c r="BV170" i="1"/>
  <c r="BW170" i="1"/>
  <c r="BV185" i="1"/>
  <c r="BW185" i="1"/>
  <c r="BV186" i="1"/>
  <c r="BW186" i="1"/>
  <c r="BV187" i="1"/>
  <c r="BW187" i="1"/>
  <c r="BV188" i="1"/>
  <c r="BW188" i="1"/>
  <c r="BV189" i="1"/>
  <c r="BW189" i="1"/>
  <c r="BV238" i="1"/>
  <c r="BW238" i="1"/>
  <c r="BV228" i="1"/>
  <c r="BW228" i="1"/>
  <c r="BV194" i="1"/>
  <c r="BW194" i="1"/>
  <c r="BV193" i="1"/>
  <c r="BW193" i="1"/>
  <c r="BV217" i="1"/>
  <c r="BW217" i="1"/>
  <c r="BV195" i="1"/>
  <c r="BW195" i="1"/>
  <c r="BV199" i="1"/>
  <c r="BW199" i="1"/>
  <c r="BV198" i="1"/>
  <c r="BW198" i="1"/>
  <c r="BV239" i="1"/>
  <c r="BW239" i="1"/>
  <c r="BV204" i="1"/>
  <c r="BW204" i="1"/>
  <c r="BV223" i="1"/>
  <c r="BW223" i="1"/>
  <c r="BV212" i="1"/>
  <c r="BW212" i="1"/>
  <c r="BV209" i="1"/>
  <c r="BW209" i="1"/>
  <c r="BV183" i="1"/>
  <c r="BW183" i="1"/>
  <c r="BV213" i="1"/>
  <c r="BW213" i="1"/>
  <c r="BV215" i="1"/>
  <c r="BW215" i="1"/>
  <c r="BV214" i="1"/>
  <c r="BW214" i="1"/>
  <c r="BV348" i="1"/>
  <c r="BW348" i="1"/>
  <c r="BV225" i="1"/>
  <c r="BW225" i="1"/>
  <c r="BV226" i="1"/>
  <c r="BW226" i="1"/>
  <c r="BV221" i="1"/>
  <c r="BW221" i="1"/>
  <c r="BV224" i="1"/>
  <c r="BW224" i="1"/>
  <c r="BV229" i="1"/>
  <c r="BW229" i="1"/>
  <c r="BV230" i="1"/>
  <c r="BW230" i="1"/>
  <c r="BV233" i="1"/>
  <c r="BW233" i="1"/>
  <c r="BV235" i="1"/>
  <c r="BW235" i="1"/>
  <c r="BV237" i="1"/>
  <c r="BW237" i="1"/>
  <c r="BV236" i="1"/>
  <c r="BW236" i="1"/>
  <c r="BV245" i="1"/>
  <c r="BW245" i="1"/>
  <c r="BV243" i="1"/>
  <c r="BW243" i="1"/>
  <c r="BV248" i="1"/>
  <c r="BW248" i="1"/>
  <c r="BV249" i="1"/>
  <c r="BW249" i="1"/>
  <c r="BV251" i="1"/>
  <c r="BW251" i="1"/>
  <c r="BV254" i="1"/>
  <c r="BW254" i="1"/>
  <c r="BV255" i="1"/>
  <c r="BW255" i="1"/>
  <c r="BV262" i="1"/>
  <c r="BW262" i="1"/>
  <c r="BV267" i="1"/>
  <c r="BW267" i="1"/>
  <c r="BV263" i="1"/>
  <c r="BW263" i="1"/>
  <c r="BV264" i="1"/>
  <c r="BW264" i="1"/>
  <c r="BV276" i="1"/>
  <c r="BW276" i="1"/>
  <c r="BV277" i="1"/>
  <c r="BW277" i="1"/>
  <c r="BV287" i="1"/>
  <c r="BW287" i="1"/>
  <c r="BV286" i="1"/>
  <c r="BW286" i="1"/>
  <c r="BV289" i="1"/>
  <c r="BW289" i="1"/>
  <c r="BV303" i="1"/>
  <c r="BW303" i="1"/>
  <c r="BV302" i="1"/>
  <c r="BW302" i="1"/>
  <c r="BV305" i="1"/>
  <c r="BW305" i="1"/>
  <c r="BV307" i="1"/>
  <c r="BW307" i="1"/>
  <c r="BV304" i="1"/>
  <c r="BW304" i="1"/>
  <c r="BV184" i="1"/>
  <c r="BW184" i="1"/>
  <c r="BV321" i="1"/>
  <c r="BW321" i="1"/>
  <c r="BV191" i="1"/>
  <c r="BW191" i="1"/>
  <c r="BV192" i="1"/>
  <c r="BW192" i="1"/>
  <c r="BV218" i="1"/>
  <c r="BW218" i="1"/>
  <c r="BV196" i="1"/>
  <c r="BW196" i="1"/>
  <c r="BV200" i="1"/>
  <c r="BW200" i="1"/>
  <c r="BV197" i="1"/>
  <c r="BW197" i="1"/>
  <c r="BV210" i="1"/>
  <c r="BW210" i="1"/>
  <c r="BV240" i="1"/>
  <c r="BW240" i="1"/>
  <c r="BV216" i="1"/>
  <c r="BW216" i="1"/>
  <c r="BV205" i="1"/>
  <c r="BW205" i="1"/>
  <c r="BV208" i="1"/>
  <c r="BW208" i="1"/>
  <c r="BV211" i="1"/>
  <c r="BW211" i="1"/>
  <c r="BV206" i="1"/>
  <c r="BW206" i="1"/>
  <c r="BV207" i="1"/>
  <c r="BW207" i="1"/>
  <c r="BV181" i="1"/>
  <c r="BW181" i="1"/>
  <c r="BV227" i="1"/>
  <c r="BW227" i="1"/>
  <c r="BV247" i="1"/>
  <c r="BW247" i="1"/>
  <c r="BV242" i="1"/>
  <c r="BW242" i="1"/>
  <c r="BV253" i="1"/>
  <c r="BW253" i="1"/>
  <c r="BV256" i="1"/>
  <c r="BW256" i="1"/>
  <c r="BV259" i="1"/>
  <c r="BW259" i="1"/>
  <c r="BV266" i="1"/>
  <c r="BW266" i="1"/>
  <c r="BV271" i="1"/>
  <c r="BW271" i="1"/>
  <c r="BV279" i="1"/>
  <c r="BW279" i="1"/>
  <c r="BV278" i="1"/>
  <c r="BW278" i="1"/>
  <c r="BV283" i="1"/>
  <c r="BW283" i="1"/>
  <c r="BV284" i="1"/>
  <c r="BW284" i="1"/>
  <c r="BV280" i="1"/>
  <c r="BW280" i="1"/>
  <c r="BV281" i="1"/>
  <c r="BW281" i="1"/>
  <c r="BV282" i="1"/>
  <c r="BW282" i="1"/>
  <c r="BV285" i="1"/>
  <c r="BW285" i="1"/>
  <c r="BV288" i="1"/>
  <c r="BW288" i="1"/>
  <c r="BV290" i="1"/>
  <c r="BW290" i="1"/>
  <c r="BV297" i="1"/>
  <c r="BW297" i="1"/>
  <c r="BV298" i="1"/>
  <c r="BW298" i="1"/>
  <c r="BV310" i="1"/>
  <c r="BW310" i="1"/>
  <c r="BW113" i="1"/>
  <c r="BV113" i="1"/>
  <c r="BV42" i="1"/>
  <c r="BW42" i="1"/>
  <c r="BV45" i="1"/>
  <c r="BW45" i="1"/>
  <c r="BV47" i="1"/>
  <c r="BW47" i="1"/>
  <c r="BV48" i="1"/>
  <c r="BW48" i="1"/>
  <c r="BV52" i="1"/>
  <c r="BW52" i="1"/>
  <c r="BV65" i="1"/>
  <c r="BW65" i="1"/>
  <c r="BV66" i="1"/>
  <c r="BW66" i="1"/>
  <c r="BV319" i="1"/>
  <c r="BW5" i="1"/>
  <c r="BV5" i="1"/>
  <c r="AS5" i="1"/>
  <c r="AR5" i="1"/>
  <c r="BV76" i="1"/>
  <c r="BW76" i="1"/>
  <c r="BV78" i="1"/>
  <c r="BW78" i="1"/>
  <c r="BV79" i="1"/>
  <c r="BW79" i="1"/>
  <c r="BV80" i="1"/>
  <c r="BW80" i="1"/>
  <c r="BV81" i="1"/>
  <c r="BW81" i="1"/>
  <c r="BV82" i="1"/>
  <c r="BW82" i="1"/>
  <c r="BV83" i="1"/>
  <c r="BW83" i="1"/>
  <c r="BV84" i="1"/>
  <c r="BW84" i="1"/>
  <c r="BV85" i="1"/>
  <c r="BW85" i="1"/>
  <c r="BV89" i="1"/>
  <c r="BW89" i="1"/>
  <c r="BV90" i="1"/>
  <c r="BW90" i="1"/>
  <c r="BV91" i="1"/>
  <c r="BW91" i="1"/>
  <c r="BV101" i="1"/>
  <c r="BW101" i="1"/>
  <c r="BV104" i="1"/>
  <c r="BW104" i="1"/>
  <c r="BV105" i="1"/>
  <c r="BW105" i="1"/>
  <c r="BV106" i="1"/>
  <c r="BW106" i="1"/>
  <c r="BV109" i="1"/>
  <c r="BW109" i="1"/>
  <c r="BV110" i="1"/>
  <c r="BW110" i="1"/>
  <c r="BV111" i="1"/>
  <c r="BW111" i="1"/>
  <c r="BV112" i="1"/>
  <c r="BW112" i="1"/>
  <c r="BV114" i="1"/>
  <c r="BW114" i="1"/>
  <c r="BV117" i="1"/>
  <c r="BW117" i="1"/>
  <c r="BV118" i="1"/>
  <c r="BW118" i="1"/>
  <c r="BV119" i="1"/>
  <c r="BW119" i="1"/>
  <c r="BV124" i="1"/>
  <c r="BW124" i="1"/>
  <c r="BV128" i="1"/>
  <c r="BW128" i="1"/>
  <c r="BV133" i="1"/>
  <c r="BW133" i="1"/>
  <c r="BV134" i="1"/>
  <c r="BW134" i="1"/>
  <c r="BV136" i="1"/>
  <c r="BW136" i="1"/>
  <c r="BV144" i="1"/>
  <c r="BW144" i="1"/>
  <c r="BV145" i="1"/>
  <c r="BW145" i="1"/>
  <c r="BV149" i="1"/>
  <c r="BW149" i="1"/>
  <c r="BV150" i="1"/>
  <c r="BW150" i="1"/>
  <c r="BV151" i="1"/>
  <c r="BW151" i="1"/>
  <c r="BV154" i="1"/>
  <c r="BW154" i="1"/>
  <c r="BV155" i="1"/>
  <c r="BW155" i="1"/>
  <c r="BV86" i="1"/>
  <c r="BW86" i="1"/>
  <c r="BV93" i="1"/>
  <c r="BW93" i="1"/>
  <c r="BV95" i="1"/>
  <c r="BW95" i="1"/>
  <c r="BV96" i="1"/>
  <c r="BW96" i="1"/>
  <c r="BV98" i="1"/>
  <c r="BW98" i="1"/>
  <c r="BV159" i="1"/>
  <c r="BW159" i="1"/>
  <c r="BX212" i="1" l="1"/>
  <c r="DE212" i="1" s="1"/>
  <c r="EM212" i="1" s="1"/>
  <c r="FL212" i="1" s="1"/>
  <c r="BX204" i="1"/>
  <c r="DE204" i="1" s="1"/>
  <c r="EM204" i="1" s="1"/>
  <c r="FL204" i="1" s="1"/>
  <c r="BX65" i="1"/>
  <c r="DE65" i="1" s="1"/>
  <c r="EM65" i="1" s="1"/>
  <c r="FL65" i="1" s="1"/>
  <c r="BX48" i="1"/>
  <c r="DE48" i="1" s="1"/>
  <c r="EM48" i="1" s="1"/>
  <c r="FL48" i="1" s="1"/>
  <c r="BX45" i="1"/>
  <c r="DE45" i="1" s="1"/>
  <c r="EM45" i="1" s="1"/>
  <c r="FL45" i="1" s="1"/>
  <c r="BX298" i="1"/>
  <c r="DE298" i="1" s="1"/>
  <c r="BX290" i="1"/>
  <c r="DE290" i="1" s="1"/>
  <c r="EM290" i="1" s="1"/>
  <c r="FL290" i="1" s="1"/>
  <c r="BX285" i="1"/>
  <c r="DE285" i="1" s="1"/>
  <c r="EM285" i="1" s="1"/>
  <c r="FL285" i="1" s="1"/>
  <c r="BX281" i="1"/>
  <c r="DE281" i="1" s="1"/>
  <c r="EM281" i="1" s="1"/>
  <c r="FL281" i="1" s="1"/>
  <c r="BX284" i="1"/>
  <c r="DE284" i="1" s="1"/>
  <c r="EM284" i="1" s="1"/>
  <c r="FL284" i="1" s="1"/>
  <c r="BX278" i="1"/>
  <c r="DE278" i="1" s="1"/>
  <c r="EM278" i="1" s="1"/>
  <c r="FL278" i="1" s="1"/>
  <c r="BX271" i="1"/>
  <c r="DE271" i="1" s="1"/>
  <c r="EM271" i="1" s="1"/>
  <c r="FL271" i="1" s="1"/>
  <c r="BX259" i="1"/>
  <c r="DE259" i="1" s="1"/>
  <c r="EM259" i="1" s="1"/>
  <c r="FL259" i="1" s="1"/>
  <c r="BX253" i="1"/>
  <c r="DE253" i="1" s="1"/>
  <c r="EM253" i="1" s="1"/>
  <c r="FL253" i="1" s="1"/>
  <c r="BX247" i="1"/>
  <c r="DE247" i="1" s="1"/>
  <c r="EM247" i="1" s="1"/>
  <c r="FL247" i="1" s="1"/>
  <c r="BX181" i="1"/>
  <c r="DE181" i="1" s="1"/>
  <c r="EM181" i="1" s="1"/>
  <c r="FL181" i="1" s="1"/>
  <c r="BX206" i="1"/>
  <c r="DE206" i="1" s="1"/>
  <c r="EM206" i="1" s="1"/>
  <c r="FL206" i="1" s="1"/>
  <c r="BX208" i="1"/>
  <c r="DE208" i="1" s="1"/>
  <c r="EM208" i="1" s="1"/>
  <c r="FL208" i="1" s="1"/>
  <c r="BX216" i="1"/>
  <c r="DE216" i="1" s="1"/>
  <c r="EM216" i="1" s="1"/>
  <c r="FL216" i="1" s="1"/>
  <c r="BX210" i="1"/>
  <c r="DE210" i="1" s="1"/>
  <c r="EM210" i="1" s="1"/>
  <c r="FL210" i="1" s="1"/>
  <c r="BX200" i="1"/>
  <c r="DE200" i="1" s="1"/>
  <c r="EM200" i="1" s="1"/>
  <c r="FL200" i="1" s="1"/>
  <c r="BX218" i="1"/>
  <c r="DE218" i="1" s="1"/>
  <c r="EM218" i="1" s="1"/>
  <c r="FL218" i="1" s="1"/>
  <c r="BX191" i="1"/>
  <c r="DE191" i="1" s="1"/>
  <c r="EM191" i="1" s="1"/>
  <c r="FL191" i="1" s="1"/>
  <c r="BX184" i="1"/>
  <c r="DE184" i="1" s="1"/>
  <c r="EM184" i="1" s="1"/>
  <c r="FL184" i="1" s="1"/>
  <c r="BX307" i="1"/>
  <c r="DE307" i="1" s="1"/>
  <c r="EM307" i="1" s="1"/>
  <c r="FL307" i="1" s="1"/>
  <c r="BX302" i="1"/>
  <c r="DE302" i="1" s="1"/>
  <c r="EM302" i="1" s="1"/>
  <c r="FL302" i="1" s="1"/>
  <c r="BX289" i="1"/>
  <c r="DE289" i="1" s="1"/>
  <c r="EM289" i="1" s="1"/>
  <c r="FL289" i="1" s="1"/>
  <c r="BX287" i="1"/>
  <c r="DE287" i="1" s="1"/>
  <c r="EM287" i="1" s="1"/>
  <c r="FL287" i="1" s="1"/>
  <c r="BX276" i="1"/>
  <c r="DE276" i="1" s="1"/>
  <c r="EM276" i="1" s="1"/>
  <c r="FL276" i="1" s="1"/>
  <c r="BX263" i="1"/>
  <c r="DE263" i="1" s="1"/>
  <c r="EM263" i="1" s="1"/>
  <c r="FL263" i="1" s="1"/>
  <c r="BX262" i="1"/>
  <c r="DE262" i="1" s="1"/>
  <c r="EM262" i="1" s="1"/>
  <c r="FL262" i="1" s="1"/>
  <c r="BX254" i="1"/>
  <c r="DE254" i="1" s="1"/>
  <c r="EM254" i="1" s="1"/>
  <c r="FL254" i="1" s="1"/>
  <c r="BX249" i="1"/>
  <c r="DE249" i="1" s="1"/>
  <c r="EM249" i="1" s="1"/>
  <c r="FL249" i="1" s="1"/>
  <c r="BX243" i="1"/>
  <c r="DE243" i="1" s="1"/>
  <c r="EM243" i="1" s="1"/>
  <c r="FL243" i="1" s="1"/>
  <c r="BX236" i="1"/>
  <c r="DE236" i="1" s="1"/>
  <c r="EM236" i="1" s="1"/>
  <c r="FL236" i="1" s="1"/>
  <c r="BX235" i="1"/>
  <c r="DE235" i="1" s="1"/>
  <c r="EM235" i="1" s="1"/>
  <c r="FL235" i="1" s="1"/>
  <c r="BX230" i="1"/>
  <c r="DE230" i="1" s="1"/>
  <c r="EM230" i="1" s="1"/>
  <c r="FL230" i="1" s="1"/>
  <c r="BX224" i="1"/>
  <c r="DE224" i="1" s="1"/>
  <c r="EM224" i="1" s="1"/>
  <c r="FL224" i="1" s="1"/>
  <c r="BX226" i="1"/>
  <c r="DE226" i="1" s="1"/>
  <c r="EM226" i="1" s="1"/>
  <c r="FL226" i="1" s="1"/>
  <c r="BX348" i="1"/>
  <c r="DE348" i="1" s="1"/>
  <c r="BX215" i="1"/>
  <c r="DE215" i="1" s="1"/>
  <c r="EM215" i="1" s="1"/>
  <c r="FL215" i="1" s="1"/>
  <c r="BX183" i="1"/>
  <c r="DE183" i="1" s="1"/>
  <c r="EM183" i="1" s="1"/>
  <c r="FL183" i="1" s="1"/>
  <c r="BX319" i="1"/>
  <c r="DE319" i="1" s="1"/>
  <c r="EM319" i="1" s="1"/>
  <c r="FL319" i="1" s="1"/>
  <c r="BX326" i="1"/>
  <c r="DE326" i="1" s="1"/>
  <c r="EM326" i="1" s="1"/>
  <c r="FL326" i="1" s="1"/>
  <c r="BX98" i="1"/>
  <c r="DE98" i="1" s="1"/>
  <c r="EM98" i="1" s="1"/>
  <c r="FL98" i="1" s="1"/>
  <c r="BX95" i="1"/>
  <c r="DE95" i="1" s="1"/>
  <c r="EM95" i="1" s="1"/>
  <c r="FL95" i="1" s="1"/>
  <c r="BX86" i="1"/>
  <c r="DE86" i="1" s="1"/>
  <c r="BX154" i="1"/>
  <c r="DE154" i="1" s="1"/>
  <c r="BX150" i="1"/>
  <c r="DE150" i="1" s="1"/>
  <c r="BX145" i="1"/>
  <c r="DE145" i="1" s="1"/>
  <c r="BX136" i="1"/>
  <c r="DE136" i="1" s="1"/>
  <c r="BX133" i="1"/>
  <c r="DE133" i="1" s="1"/>
  <c r="BX124" i="1"/>
  <c r="DE124" i="1" s="1"/>
  <c r="BX118" i="1"/>
  <c r="DE118" i="1" s="1"/>
  <c r="BX114" i="1"/>
  <c r="DE114" i="1" s="1"/>
  <c r="BX111" i="1"/>
  <c r="DE111" i="1" s="1"/>
  <c r="BX109" i="1"/>
  <c r="DE109" i="1" s="1"/>
  <c r="BX105" i="1"/>
  <c r="DE105" i="1" s="1"/>
  <c r="BX101" i="1"/>
  <c r="DE101" i="1" s="1"/>
  <c r="BX90" i="1"/>
  <c r="DE90" i="1" s="1"/>
  <c r="BX85" i="1"/>
  <c r="DE85" i="1" s="1"/>
  <c r="EM85" i="1" s="1"/>
  <c r="FL85" i="1" s="1"/>
  <c r="BX83" i="1"/>
  <c r="DE83" i="1" s="1"/>
  <c r="EM83" i="1" s="1"/>
  <c r="FL83" i="1" s="1"/>
  <c r="BX81" i="1"/>
  <c r="DE81" i="1" s="1"/>
  <c r="EM81" i="1" s="1"/>
  <c r="FL81" i="1" s="1"/>
  <c r="BX79" i="1"/>
  <c r="DE79" i="1" s="1"/>
  <c r="EM79" i="1" s="1"/>
  <c r="FL79" i="1" s="1"/>
  <c r="BX76" i="1"/>
  <c r="BX373" i="1"/>
  <c r="DE373" i="1" s="1"/>
  <c r="BX365" i="1"/>
  <c r="DE365" i="1" s="1"/>
  <c r="BX360" i="1"/>
  <c r="DE360" i="1" s="1"/>
  <c r="BX357" i="1"/>
  <c r="DE357" i="1" s="1"/>
  <c r="BX353" i="1"/>
  <c r="DE353" i="1" s="1"/>
  <c r="BX351" i="1"/>
  <c r="DE351" i="1" s="1"/>
  <c r="BX346" i="1"/>
  <c r="DE346" i="1" s="1"/>
  <c r="BX342" i="1"/>
  <c r="DE342" i="1" s="1"/>
  <c r="BX338" i="1"/>
  <c r="DE338" i="1" s="1"/>
  <c r="BX327" i="1"/>
  <c r="DE327" i="1" s="1"/>
  <c r="EM327" i="1" s="1"/>
  <c r="FL327" i="1" s="1"/>
  <c r="BX96" i="1"/>
  <c r="DE96" i="1" s="1"/>
  <c r="EM96" i="1" s="1"/>
  <c r="FL96" i="1" s="1"/>
  <c r="BX151" i="1"/>
  <c r="DE151" i="1" s="1"/>
  <c r="BX144" i="1"/>
  <c r="DE144" i="1" s="1"/>
  <c r="BX119" i="1"/>
  <c r="DE119" i="1" s="1"/>
  <c r="BX110" i="1"/>
  <c r="DE110" i="1" s="1"/>
  <c r="BX91" i="1"/>
  <c r="DE91" i="1" s="1"/>
  <c r="BX84" i="1"/>
  <c r="DE84" i="1" s="1"/>
  <c r="EM84" i="1" s="1"/>
  <c r="FL84" i="1" s="1"/>
  <c r="BX80" i="1"/>
  <c r="DE80" i="1" s="1"/>
  <c r="EM80" i="1" s="1"/>
  <c r="FL80" i="1" s="1"/>
  <c r="BX78" i="1"/>
  <c r="DE78" i="1" s="1"/>
  <c r="EM78" i="1" s="1"/>
  <c r="FL78" i="1" s="1"/>
  <c r="BX372" i="1"/>
  <c r="DE372" i="1" s="1"/>
  <c r="BX371" i="1"/>
  <c r="DE371" i="1" s="1"/>
  <c r="BX364" i="1"/>
  <c r="DE364" i="1" s="1"/>
  <c r="BX359" i="1"/>
  <c r="DE359" i="1" s="1"/>
  <c r="BX356" i="1"/>
  <c r="DE356" i="1" s="1"/>
  <c r="BX352" i="1"/>
  <c r="DE352" i="1" s="1"/>
  <c r="BX347" i="1"/>
  <c r="DE347" i="1" s="1"/>
  <c r="BX343" i="1"/>
  <c r="DE343" i="1" s="1"/>
  <c r="BX341" i="1"/>
  <c r="DE341" i="1" s="1"/>
  <c r="BX337" i="1"/>
  <c r="DE337" i="1" s="1"/>
  <c r="BX455" i="1"/>
  <c r="DE455" i="1" s="1"/>
  <c r="EM455" i="1" s="1"/>
  <c r="FL455" i="1" s="1"/>
  <c r="BX447" i="1"/>
  <c r="DE447" i="1" s="1"/>
  <c r="EM447" i="1" s="1"/>
  <c r="FL447" i="1" s="1"/>
  <c r="BX399" i="1"/>
  <c r="DE399" i="1" s="1"/>
  <c r="EM399" i="1" s="1"/>
  <c r="FL399" i="1" s="1"/>
  <c r="BX397" i="1"/>
  <c r="DE397" i="1" s="1"/>
  <c r="EM397" i="1" s="1"/>
  <c r="FL397" i="1" s="1"/>
  <c r="BX419" i="1"/>
  <c r="DE419" i="1" s="1"/>
  <c r="EM419" i="1" s="1"/>
  <c r="FL419" i="1" s="1"/>
  <c r="BX159" i="1"/>
  <c r="DE159" i="1" s="1"/>
  <c r="BX93" i="1"/>
  <c r="DE93" i="1" s="1"/>
  <c r="EM93" i="1" s="1"/>
  <c r="FL93" i="1" s="1"/>
  <c r="BX155" i="1"/>
  <c r="DE155" i="1" s="1"/>
  <c r="BX149" i="1"/>
  <c r="DE149" i="1" s="1"/>
  <c r="BX134" i="1"/>
  <c r="DE134" i="1" s="1"/>
  <c r="BX128" i="1"/>
  <c r="DE128" i="1" s="1"/>
  <c r="BX117" i="1"/>
  <c r="DE117" i="1" s="1"/>
  <c r="BX112" i="1"/>
  <c r="DE112" i="1" s="1"/>
  <c r="BX106" i="1"/>
  <c r="DE106" i="1" s="1"/>
  <c r="BX104" i="1"/>
  <c r="DE104" i="1" s="1"/>
  <c r="BX89" i="1"/>
  <c r="DE89" i="1" s="1"/>
  <c r="BX82" i="1"/>
  <c r="DE82" i="1" s="1"/>
  <c r="EM82" i="1" s="1"/>
  <c r="FL82" i="1" s="1"/>
  <c r="BX66" i="1"/>
  <c r="DE66" i="1" s="1"/>
  <c r="EM66" i="1" s="1"/>
  <c r="FL66" i="1" s="1"/>
  <c r="BX52" i="1"/>
  <c r="DE52" i="1" s="1"/>
  <c r="BX47" i="1"/>
  <c r="DE47" i="1" s="1"/>
  <c r="EM47" i="1" s="1"/>
  <c r="FL47" i="1" s="1"/>
  <c r="BX42" i="1"/>
  <c r="DE42" i="1" s="1"/>
  <c r="EM42" i="1" s="1"/>
  <c r="FL42" i="1" s="1"/>
  <c r="BX310" i="1"/>
  <c r="BX297" i="1"/>
  <c r="DE297" i="1" s="1"/>
  <c r="EM297" i="1" s="1"/>
  <c r="FL297" i="1" s="1"/>
  <c r="BX288" i="1"/>
  <c r="DE288" i="1" s="1"/>
  <c r="EM288" i="1" s="1"/>
  <c r="FL288" i="1" s="1"/>
  <c r="BX282" i="1"/>
  <c r="DE282" i="1" s="1"/>
  <c r="EM282" i="1" s="1"/>
  <c r="FL282" i="1" s="1"/>
  <c r="BX280" i="1"/>
  <c r="DE280" i="1" s="1"/>
  <c r="EM280" i="1" s="1"/>
  <c r="FL280" i="1" s="1"/>
  <c r="BX283" i="1"/>
  <c r="DE283" i="1" s="1"/>
  <c r="EM283" i="1" s="1"/>
  <c r="FL283" i="1" s="1"/>
  <c r="BX279" i="1"/>
  <c r="DE279" i="1" s="1"/>
  <c r="EM279" i="1" s="1"/>
  <c r="FL279" i="1" s="1"/>
  <c r="BX266" i="1"/>
  <c r="DE266" i="1" s="1"/>
  <c r="EM266" i="1" s="1"/>
  <c r="FL266" i="1" s="1"/>
  <c r="BX256" i="1"/>
  <c r="DE256" i="1" s="1"/>
  <c r="EM256" i="1" s="1"/>
  <c r="FL256" i="1" s="1"/>
  <c r="BX242" i="1"/>
  <c r="DE242" i="1" s="1"/>
  <c r="EM242" i="1" s="1"/>
  <c r="FL242" i="1" s="1"/>
  <c r="BX227" i="1"/>
  <c r="DE227" i="1" s="1"/>
  <c r="EM227" i="1" s="1"/>
  <c r="FL227" i="1" s="1"/>
  <c r="BX207" i="1"/>
  <c r="DE207" i="1" s="1"/>
  <c r="EM207" i="1" s="1"/>
  <c r="FL207" i="1" s="1"/>
  <c r="BX211" i="1"/>
  <c r="DE211" i="1" s="1"/>
  <c r="EM211" i="1" s="1"/>
  <c r="FL211" i="1" s="1"/>
  <c r="BX205" i="1"/>
  <c r="DE205" i="1" s="1"/>
  <c r="EM205" i="1" s="1"/>
  <c r="FL205" i="1" s="1"/>
  <c r="BX240" i="1"/>
  <c r="DE240" i="1" s="1"/>
  <c r="EM240" i="1" s="1"/>
  <c r="FL240" i="1" s="1"/>
  <c r="BX197" i="1"/>
  <c r="DE197" i="1" s="1"/>
  <c r="EM197" i="1" s="1"/>
  <c r="FL197" i="1" s="1"/>
  <c r="BX196" i="1"/>
  <c r="DE196" i="1" s="1"/>
  <c r="EM196" i="1" s="1"/>
  <c r="FL196" i="1" s="1"/>
  <c r="BX192" i="1"/>
  <c r="DE192" i="1" s="1"/>
  <c r="EM192" i="1" s="1"/>
  <c r="FL192" i="1" s="1"/>
  <c r="BX321" i="1"/>
  <c r="DE321" i="1" s="1"/>
  <c r="EM321" i="1" s="1"/>
  <c r="FL321" i="1" s="1"/>
  <c r="BX304" i="1"/>
  <c r="DE304" i="1" s="1"/>
  <c r="EM304" i="1" s="1"/>
  <c r="FL304" i="1" s="1"/>
  <c r="BX305" i="1"/>
  <c r="DE305" i="1" s="1"/>
  <c r="EM305" i="1" s="1"/>
  <c r="FL305" i="1" s="1"/>
  <c r="BX303" i="1"/>
  <c r="DE303" i="1" s="1"/>
  <c r="EM303" i="1" s="1"/>
  <c r="FL303" i="1" s="1"/>
  <c r="BX286" i="1"/>
  <c r="DE286" i="1" s="1"/>
  <c r="EM286" i="1" s="1"/>
  <c r="FL286" i="1" s="1"/>
  <c r="BX277" i="1"/>
  <c r="DE277" i="1" s="1"/>
  <c r="EM277" i="1" s="1"/>
  <c r="FL277" i="1" s="1"/>
  <c r="BX264" i="1"/>
  <c r="DE264" i="1" s="1"/>
  <c r="EM264" i="1" s="1"/>
  <c r="FL264" i="1" s="1"/>
  <c r="BX267" i="1"/>
  <c r="DE267" i="1" s="1"/>
  <c r="EM267" i="1" s="1"/>
  <c r="FL267" i="1" s="1"/>
  <c r="BX255" i="1"/>
  <c r="DE255" i="1" s="1"/>
  <c r="EM255" i="1" s="1"/>
  <c r="FL255" i="1" s="1"/>
  <c r="BX251" i="1"/>
  <c r="DE251" i="1" s="1"/>
  <c r="EM251" i="1" s="1"/>
  <c r="FL251" i="1" s="1"/>
  <c r="BX248" i="1"/>
  <c r="DE248" i="1" s="1"/>
  <c r="EM248" i="1" s="1"/>
  <c r="FL248" i="1" s="1"/>
  <c r="BX245" i="1"/>
  <c r="DE245" i="1" s="1"/>
  <c r="EM245" i="1" s="1"/>
  <c r="FL245" i="1" s="1"/>
  <c r="BX237" i="1"/>
  <c r="DE237" i="1" s="1"/>
  <c r="EM237" i="1" s="1"/>
  <c r="FL237" i="1" s="1"/>
  <c r="BX233" i="1"/>
  <c r="DE233" i="1" s="1"/>
  <c r="EM233" i="1" s="1"/>
  <c r="FL233" i="1" s="1"/>
  <c r="BX229" i="1"/>
  <c r="DE229" i="1" s="1"/>
  <c r="EM229" i="1" s="1"/>
  <c r="FL229" i="1" s="1"/>
  <c r="BX221" i="1"/>
  <c r="DE221" i="1" s="1"/>
  <c r="EM221" i="1" s="1"/>
  <c r="FL221" i="1" s="1"/>
  <c r="BX225" i="1"/>
  <c r="DE225" i="1" s="1"/>
  <c r="EM225" i="1" s="1"/>
  <c r="FL225" i="1" s="1"/>
  <c r="BX214" i="1"/>
  <c r="DE214" i="1" s="1"/>
  <c r="EM214" i="1" s="1"/>
  <c r="FL214" i="1" s="1"/>
  <c r="BX213" i="1"/>
  <c r="DE213" i="1" s="1"/>
  <c r="EM213" i="1" s="1"/>
  <c r="FL213" i="1" s="1"/>
  <c r="BX209" i="1"/>
  <c r="DE209" i="1" s="1"/>
  <c r="EM209" i="1" s="1"/>
  <c r="FL209" i="1" s="1"/>
  <c r="BX223" i="1"/>
  <c r="DE223" i="1" s="1"/>
  <c r="EM223" i="1" s="1"/>
  <c r="FL223" i="1" s="1"/>
  <c r="BX239" i="1"/>
  <c r="DE239" i="1" s="1"/>
  <c r="EM239" i="1" s="1"/>
  <c r="FL239" i="1" s="1"/>
  <c r="BX199" i="1"/>
  <c r="DE199" i="1" s="1"/>
  <c r="EM199" i="1" s="1"/>
  <c r="FL199" i="1" s="1"/>
  <c r="BX217" i="1"/>
  <c r="DE217" i="1" s="1"/>
  <c r="EM217" i="1" s="1"/>
  <c r="FL217" i="1" s="1"/>
  <c r="BX194" i="1"/>
  <c r="DE194" i="1" s="1"/>
  <c r="EM194" i="1" s="1"/>
  <c r="FL194" i="1" s="1"/>
  <c r="BX238" i="1"/>
  <c r="DE238" i="1" s="1"/>
  <c r="EM238" i="1" s="1"/>
  <c r="FL238" i="1" s="1"/>
  <c r="BX188" i="1"/>
  <c r="DE188" i="1" s="1"/>
  <c r="EM188" i="1" s="1"/>
  <c r="FL188" i="1" s="1"/>
  <c r="BX320" i="1"/>
  <c r="DE320" i="1" s="1"/>
  <c r="EM320" i="1" s="1"/>
  <c r="FL320" i="1" s="1"/>
  <c r="BX335" i="1"/>
  <c r="BX220" i="1"/>
  <c r="DE220" i="1" s="1"/>
  <c r="EM220" i="1" s="1"/>
  <c r="FL220" i="1" s="1"/>
  <c r="BX113" i="1"/>
  <c r="DE113" i="1" s="1"/>
  <c r="BX457" i="1"/>
  <c r="DE457" i="1" s="1"/>
  <c r="EM457" i="1" s="1"/>
  <c r="FL457" i="1" s="1"/>
  <c r="BX446" i="1"/>
  <c r="DE446" i="1" s="1"/>
  <c r="EM446" i="1" s="1"/>
  <c r="FL446" i="1" s="1"/>
  <c r="BX394" i="1"/>
  <c r="DE394" i="1" s="1"/>
  <c r="EM394" i="1" s="1"/>
  <c r="FL394" i="1" s="1"/>
  <c r="BX433" i="1"/>
  <c r="DE433" i="1" s="1"/>
  <c r="EM433" i="1" s="1"/>
  <c r="FL433" i="1" s="1"/>
  <c r="BX409" i="1"/>
  <c r="DE409" i="1" s="1"/>
  <c r="EM409" i="1" s="1"/>
  <c r="FL409" i="1" s="1"/>
  <c r="BX186" i="1"/>
  <c r="DE186" i="1" s="1"/>
  <c r="EM186" i="1" s="1"/>
  <c r="FL186" i="1" s="1"/>
  <c r="BX198" i="1"/>
  <c r="DE198" i="1" s="1"/>
  <c r="EM198" i="1" s="1"/>
  <c r="FL198" i="1" s="1"/>
  <c r="BX195" i="1"/>
  <c r="DE195" i="1" s="1"/>
  <c r="EM195" i="1" s="1"/>
  <c r="FL195" i="1" s="1"/>
  <c r="BX193" i="1"/>
  <c r="DE193" i="1" s="1"/>
  <c r="EM193" i="1" s="1"/>
  <c r="FL193" i="1" s="1"/>
  <c r="BX228" i="1"/>
  <c r="DE228" i="1" s="1"/>
  <c r="EM228" i="1" s="1"/>
  <c r="FL228" i="1" s="1"/>
  <c r="BX189" i="1"/>
  <c r="DE189" i="1" s="1"/>
  <c r="EM189" i="1" s="1"/>
  <c r="FL189" i="1" s="1"/>
  <c r="BX187" i="1"/>
  <c r="DE187" i="1" s="1"/>
  <c r="EM187" i="1" s="1"/>
  <c r="FL187" i="1" s="1"/>
  <c r="BX185" i="1"/>
  <c r="DE185" i="1" s="1"/>
  <c r="EM185" i="1" s="1"/>
  <c r="FL185" i="1" s="1"/>
  <c r="BX170" i="1"/>
  <c r="DE170" i="1" s="1"/>
  <c r="EM170" i="1" s="1"/>
  <c r="FL170" i="1" s="1"/>
  <c r="BX202" i="1"/>
  <c r="DE202" i="1" s="1"/>
  <c r="EM202" i="1" s="1"/>
  <c r="FL202" i="1" s="1"/>
  <c r="BV328" i="1"/>
  <c r="BW328" i="1"/>
  <c r="BV374" i="1"/>
  <c r="BW374" i="1"/>
  <c r="AT5" i="1"/>
  <c r="DE76" i="1" l="1"/>
  <c r="EM89" i="1"/>
  <c r="FL89" i="1" s="1"/>
  <c r="EM155" i="1"/>
  <c r="FL155" i="1" s="1"/>
  <c r="EM337" i="1"/>
  <c r="FL337" i="1" s="1"/>
  <c r="EM371" i="1"/>
  <c r="FL371" i="1" s="1"/>
  <c r="EM144" i="1"/>
  <c r="FL144" i="1" s="1"/>
  <c r="EM353" i="1"/>
  <c r="FL353" i="1" s="1"/>
  <c r="EM118" i="1"/>
  <c r="FL118" i="1" s="1"/>
  <c r="EM104" i="1"/>
  <c r="FL104" i="1" s="1"/>
  <c r="EM341" i="1"/>
  <c r="FL341" i="1" s="1"/>
  <c r="EM372" i="1"/>
  <c r="FL372" i="1" s="1"/>
  <c r="EM151" i="1"/>
  <c r="FL151" i="1" s="1"/>
  <c r="EM357" i="1"/>
  <c r="FL357" i="1" s="1"/>
  <c r="EM124" i="1"/>
  <c r="FL124" i="1" s="1"/>
  <c r="EM113" i="1"/>
  <c r="FL113" i="1" s="1"/>
  <c r="EM106" i="1"/>
  <c r="FL106" i="1" s="1"/>
  <c r="EM159" i="1"/>
  <c r="FL159" i="1" s="1"/>
  <c r="EM343" i="1"/>
  <c r="FL343" i="1" s="1"/>
  <c r="EM360" i="1"/>
  <c r="FL360" i="1" s="1"/>
  <c r="EM90" i="1"/>
  <c r="FL90" i="1" s="1"/>
  <c r="EM133" i="1"/>
  <c r="FL133" i="1" s="1"/>
  <c r="EM112" i="1"/>
  <c r="FL112" i="1" s="1"/>
  <c r="EM347" i="1"/>
  <c r="FL347" i="1" s="1"/>
  <c r="EM365" i="1"/>
  <c r="FL365" i="1" s="1"/>
  <c r="EM101" i="1"/>
  <c r="FL101" i="1" s="1"/>
  <c r="EM136" i="1"/>
  <c r="FL136" i="1" s="1"/>
  <c r="EM117" i="1"/>
  <c r="FL117" i="1" s="1"/>
  <c r="EM352" i="1"/>
  <c r="FL352" i="1" s="1"/>
  <c r="EM338" i="1"/>
  <c r="FL338" i="1" s="1"/>
  <c r="EM373" i="1"/>
  <c r="FL373" i="1" s="1"/>
  <c r="EM105" i="1"/>
  <c r="FL105" i="1" s="1"/>
  <c r="EM145" i="1"/>
  <c r="FL145" i="1" s="1"/>
  <c r="EM52" i="1"/>
  <c r="FL52" i="1" s="1"/>
  <c r="EM128" i="1"/>
  <c r="FL128" i="1" s="1"/>
  <c r="EM356" i="1"/>
  <c r="FL356" i="1" s="1"/>
  <c r="EM91" i="1"/>
  <c r="FL91" i="1" s="1"/>
  <c r="EM342" i="1"/>
  <c r="FL342" i="1" s="1"/>
  <c r="EM109" i="1"/>
  <c r="FL109" i="1" s="1"/>
  <c r="EM150" i="1"/>
  <c r="FL150" i="1" s="1"/>
  <c r="EM134" i="1"/>
  <c r="FL134" i="1" s="1"/>
  <c r="EM359" i="1"/>
  <c r="FL359" i="1" s="1"/>
  <c r="EM110" i="1"/>
  <c r="FL110" i="1" s="1"/>
  <c r="EM346" i="1"/>
  <c r="FL346" i="1" s="1"/>
  <c r="EM111" i="1"/>
  <c r="FL111" i="1" s="1"/>
  <c r="EM154" i="1"/>
  <c r="FL154" i="1" s="1"/>
  <c r="EM348" i="1"/>
  <c r="FL348" i="1" s="1"/>
  <c r="EM149" i="1"/>
  <c r="FL149" i="1" s="1"/>
  <c r="EM364" i="1"/>
  <c r="FL364" i="1" s="1"/>
  <c r="EM119" i="1"/>
  <c r="FL119" i="1" s="1"/>
  <c r="EM351" i="1"/>
  <c r="FL351" i="1" s="1"/>
  <c r="EM114" i="1"/>
  <c r="FL114" i="1" s="1"/>
  <c r="EM86" i="1"/>
  <c r="FL86" i="1" s="1"/>
  <c r="EM298" i="1"/>
  <c r="FL298" i="1" s="1"/>
  <c r="FN298" i="1"/>
  <c r="DE310" i="1"/>
  <c r="EM310" i="1" s="1"/>
  <c r="FL310" i="1" s="1"/>
  <c r="FN310" i="1"/>
  <c r="DE335" i="1"/>
  <c r="EM328" i="1"/>
  <c r="FL328" i="1" s="1"/>
  <c r="BX5" i="1"/>
  <c r="DE5" i="1" s="1"/>
  <c r="EM5" i="1" s="1"/>
  <c r="FL5" i="1" s="1"/>
  <c r="DE328" i="1"/>
  <c r="BX328" i="1"/>
  <c r="BX374" i="1"/>
  <c r="EM76" i="1" l="1"/>
  <c r="FL76" i="1" s="1"/>
  <c r="DE374" i="1"/>
  <c r="EM335" i="1"/>
  <c r="FL335" i="1" s="1"/>
  <c r="BJ458" i="1"/>
  <c r="EM374" i="1" l="1"/>
  <c r="FL374" i="1" s="1"/>
  <c r="S458" i="1"/>
  <c r="S317" i="1"/>
  <c r="S311" i="1"/>
  <c r="S160" i="1"/>
  <c r="S74" i="1"/>
  <c r="S11" i="1"/>
  <c r="S461" i="1" l="1"/>
  <c r="BW39" i="1"/>
  <c r="BV39" i="1"/>
  <c r="AS39" i="1"/>
  <c r="AR39" i="1"/>
  <c r="BW454" i="1"/>
  <c r="BV454" i="1"/>
  <c r="AT454" i="1"/>
  <c r="BW449" i="1"/>
  <c r="BV449" i="1"/>
  <c r="AT449" i="1"/>
  <c r="BW432" i="1"/>
  <c r="BV432" i="1"/>
  <c r="AT432" i="1"/>
  <c r="BW434" i="1"/>
  <c r="BV434" i="1"/>
  <c r="AT434" i="1"/>
  <c r="BW410" i="1"/>
  <c r="BV410" i="1"/>
  <c r="AT410" i="1"/>
  <c r="BW417" i="1"/>
  <c r="BV417" i="1"/>
  <c r="AT417" i="1"/>
  <c r="BW416" i="1"/>
  <c r="BV416" i="1"/>
  <c r="AT416" i="1"/>
  <c r="BW406" i="1"/>
  <c r="BV406" i="1"/>
  <c r="AT406" i="1"/>
  <c r="BW405" i="1"/>
  <c r="BV405" i="1"/>
  <c r="BW407" i="1"/>
  <c r="BV407" i="1"/>
  <c r="BW413" i="1"/>
  <c r="BV413" i="1"/>
  <c r="AT413" i="1"/>
  <c r="BW400" i="1"/>
  <c r="BV400" i="1"/>
  <c r="AT400" i="1"/>
  <c r="BW401" i="1"/>
  <c r="BV401" i="1"/>
  <c r="BW392" i="1"/>
  <c r="BV392" i="1"/>
  <c r="AT392" i="1"/>
  <c r="BW386" i="1"/>
  <c r="BV386" i="1"/>
  <c r="BX386" i="1" l="1"/>
  <c r="DE386" i="1" s="1"/>
  <c r="EM386" i="1" s="1"/>
  <c r="FL386" i="1" s="1"/>
  <c r="BX416" i="1"/>
  <c r="DE416" i="1" s="1"/>
  <c r="EM416" i="1" s="1"/>
  <c r="FL416" i="1" s="1"/>
  <c r="BX432" i="1"/>
  <c r="DE432" i="1" s="1"/>
  <c r="EM432" i="1" s="1"/>
  <c r="FL432" i="1" s="1"/>
  <c r="BX401" i="1"/>
  <c r="DE401" i="1" s="1"/>
  <c r="EM401" i="1" s="1"/>
  <c r="FL401" i="1" s="1"/>
  <c r="BX407" i="1"/>
  <c r="DE407" i="1" s="1"/>
  <c r="EM407" i="1" s="1"/>
  <c r="FL407" i="1" s="1"/>
  <c r="BX406" i="1"/>
  <c r="DE406" i="1" s="1"/>
  <c r="EM406" i="1" s="1"/>
  <c r="FL406" i="1" s="1"/>
  <c r="BX434" i="1"/>
  <c r="DE434" i="1" s="1"/>
  <c r="EM434" i="1" s="1"/>
  <c r="FL434" i="1" s="1"/>
  <c r="BX413" i="1"/>
  <c r="DE413" i="1" s="1"/>
  <c r="EM413" i="1" s="1"/>
  <c r="FL413" i="1" s="1"/>
  <c r="BX392" i="1"/>
  <c r="DE392" i="1" s="1"/>
  <c r="EM392" i="1" s="1"/>
  <c r="FL392" i="1" s="1"/>
  <c r="BX410" i="1"/>
  <c r="DE410" i="1" s="1"/>
  <c r="EM410" i="1" s="1"/>
  <c r="FL410" i="1" s="1"/>
  <c r="BX454" i="1"/>
  <c r="DE454" i="1" s="1"/>
  <c r="EM454" i="1" s="1"/>
  <c r="FL454" i="1" s="1"/>
  <c r="BX400" i="1"/>
  <c r="DE400" i="1" s="1"/>
  <c r="EM400" i="1" s="1"/>
  <c r="FL400" i="1" s="1"/>
  <c r="BX405" i="1"/>
  <c r="DE405" i="1" s="1"/>
  <c r="EM405" i="1" s="1"/>
  <c r="FL405" i="1" s="1"/>
  <c r="BX417" i="1"/>
  <c r="DE417" i="1" s="1"/>
  <c r="EM417" i="1" s="1"/>
  <c r="FL417" i="1" s="1"/>
  <c r="BX449" i="1"/>
  <c r="DE449" i="1" s="1"/>
  <c r="EM449" i="1" s="1"/>
  <c r="FL449" i="1" s="1"/>
  <c r="AT39" i="1"/>
  <c r="BX39" i="1" l="1"/>
  <c r="DE39" i="1" s="1"/>
  <c r="EM39" i="1" s="1"/>
  <c r="FL39" i="1" s="1"/>
  <c r="AZ142" i="1"/>
  <c r="AZ141" i="1"/>
  <c r="AZ140" i="1"/>
  <c r="BV38" i="1" l="1"/>
  <c r="BW38" i="1"/>
  <c r="BV43" i="1"/>
  <c r="BW43" i="1"/>
  <c r="BV44" i="1"/>
  <c r="BW44" i="1"/>
  <c r="BV49" i="1"/>
  <c r="BW49" i="1"/>
  <c r="BV50" i="1"/>
  <c r="BW50" i="1"/>
  <c r="BV58" i="1"/>
  <c r="BW58" i="1"/>
  <c r="BV64" i="1"/>
  <c r="BW64" i="1"/>
  <c r="BV41" i="1"/>
  <c r="BW41" i="1"/>
  <c r="BV55" i="1"/>
  <c r="BW55" i="1"/>
  <c r="BV56" i="1"/>
  <c r="BW56" i="1"/>
  <c r="BV59" i="1"/>
  <c r="BW59" i="1"/>
  <c r="BV60" i="1"/>
  <c r="BW60" i="1"/>
  <c r="BV61" i="1"/>
  <c r="BW61" i="1"/>
  <c r="BV70" i="1"/>
  <c r="BW70" i="1"/>
  <c r="BV71" i="1"/>
  <c r="BW71" i="1"/>
  <c r="BV72" i="1"/>
  <c r="BW72" i="1"/>
  <c r="BV73" i="1"/>
  <c r="BW73" i="1"/>
  <c r="BV94" i="1"/>
  <c r="BW94" i="1"/>
  <c r="BV97" i="1"/>
  <c r="BW97" i="1"/>
  <c r="BV103" i="1"/>
  <c r="BW103" i="1"/>
  <c r="BV131" i="1"/>
  <c r="BW131" i="1"/>
  <c r="BV137" i="1"/>
  <c r="BW137" i="1"/>
  <c r="BV139" i="1"/>
  <c r="BW139" i="1"/>
  <c r="BV140" i="1"/>
  <c r="BW140" i="1"/>
  <c r="BV141" i="1"/>
  <c r="BW141" i="1"/>
  <c r="BV142" i="1"/>
  <c r="BW142" i="1"/>
  <c r="BV143" i="1"/>
  <c r="BW143" i="1"/>
  <c r="BV147" i="1"/>
  <c r="BW147" i="1"/>
  <c r="BV152" i="1"/>
  <c r="BW152" i="1"/>
  <c r="BV153" i="1"/>
  <c r="BW153" i="1"/>
  <c r="BV166" i="1"/>
  <c r="BW166" i="1"/>
  <c r="BV168" i="1"/>
  <c r="BW168" i="1"/>
  <c r="BV176" i="1"/>
  <c r="BW176" i="1"/>
  <c r="BV182" i="1"/>
  <c r="BW182" i="1"/>
  <c r="BV190" i="1"/>
  <c r="BW190" i="1"/>
  <c r="BV384" i="1"/>
  <c r="BW384" i="1"/>
  <c r="BV387" i="1"/>
  <c r="BW387" i="1"/>
  <c r="BV388" i="1"/>
  <c r="BW388" i="1"/>
  <c r="BV393" i="1"/>
  <c r="BW393" i="1"/>
  <c r="BV402" i="1"/>
  <c r="BW402" i="1"/>
  <c r="BV396" i="1"/>
  <c r="BW396" i="1"/>
  <c r="BV412" i="1"/>
  <c r="BW412" i="1"/>
  <c r="BV408" i="1"/>
  <c r="BW408" i="1"/>
  <c r="BV404" i="1"/>
  <c r="BW404" i="1"/>
  <c r="BV414" i="1"/>
  <c r="BW414" i="1"/>
  <c r="BV418" i="1"/>
  <c r="BW418" i="1"/>
  <c r="BV411" i="1"/>
  <c r="BW411" i="1"/>
  <c r="BV422" i="1"/>
  <c r="BW422" i="1"/>
  <c r="BV423" i="1"/>
  <c r="BW423" i="1"/>
  <c r="BV420" i="1"/>
  <c r="BW420" i="1"/>
  <c r="BV425" i="1"/>
  <c r="BW425" i="1"/>
  <c r="BV430" i="1"/>
  <c r="BW430" i="1"/>
  <c r="BV443" i="1"/>
  <c r="BW443" i="1"/>
  <c r="BV442" i="1"/>
  <c r="BW442" i="1"/>
  <c r="BV445" i="1"/>
  <c r="BW445" i="1"/>
  <c r="BV427" i="1"/>
  <c r="BW427" i="1"/>
  <c r="BV431" i="1"/>
  <c r="BW431" i="1"/>
  <c r="BV441" i="1"/>
  <c r="BW441" i="1"/>
  <c r="BV448" i="1"/>
  <c r="BW448" i="1"/>
  <c r="BV453" i="1"/>
  <c r="BW453" i="1"/>
  <c r="BW385" i="1"/>
  <c r="BV385" i="1"/>
  <c r="BW315" i="1"/>
  <c r="BV315" i="1"/>
  <c r="BW164" i="1"/>
  <c r="BV164" i="1"/>
  <c r="BW87" i="1"/>
  <c r="BV87" i="1"/>
  <c r="BW69" i="1"/>
  <c r="BV69" i="1"/>
  <c r="BV10" i="1"/>
  <c r="BW10" i="1"/>
  <c r="BU458" i="1"/>
  <c r="BT458" i="1"/>
  <c r="BS458" i="1"/>
  <c r="BR458" i="1"/>
  <c r="BQ458" i="1"/>
  <c r="BP458" i="1"/>
  <c r="BO458" i="1"/>
  <c r="BN458" i="1"/>
  <c r="BM458" i="1"/>
  <c r="BL458" i="1"/>
  <c r="BK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BU160" i="1"/>
  <c r="BT160" i="1"/>
  <c r="BS160" i="1"/>
  <c r="BR160" i="1"/>
  <c r="BQ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BN461" i="1" l="1"/>
  <c r="BR461" i="1"/>
  <c r="BE461" i="1"/>
  <c r="BJ461" i="1"/>
  <c r="AX461" i="1"/>
  <c r="BB461" i="1"/>
  <c r="BF461" i="1"/>
  <c r="BK461" i="1"/>
  <c r="BO461" i="1"/>
  <c r="BS461" i="1"/>
  <c r="BA461" i="1"/>
  <c r="BI461" i="1"/>
  <c r="AY461" i="1"/>
  <c r="BC461" i="1"/>
  <c r="BG461" i="1"/>
  <c r="BL461" i="1"/>
  <c r="BT461" i="1"/>
  <c r="AZ461" i="1"/>
  <c r="BD461" i="1"/>
  <c r="BH461" i="1"/>
  <c r="BM461" i="1"/>
  <c r="BQ461" i="1"/>
  <c r="BU461" i="1"/>
  <c r="BX418" i="1"/>
  <c r="DE418" i="1" s="1"/>
  <c r="EM418" i="1" s="1"/>
  <c r="FL418" i="1" s="1"/>
  <c r="BX448" i="1"/>
  <c r="DE448" i="1" s="1"/>
  <c r="EM448" i="1" s="1"/>
  <c r="FL448" i="1" s="1"/>
  <c r="BX431" i="1"/>
  <c r="DE431" i="1" s="1"/>
  <c r="EM431" i="1" s="1"/>
  <c r="FL431" i="1" s="1"/>
  <c r="BX425" i="1"/>
  <c r="DE425" i="1" s="1"/>
  <c r="EM425" i="1" s="1"/>
  <c r="FL425" i="1" s="1"/>
  <c r="BX396" i="1"/>
  <c r="DE396" i="1" s="1"/>
  <c r="EM396" i="1" s="1"/>
  <c r="FL396" i="1" s="1"/>
  <c r="BX412" i="1"/>
  <c r="DE412" i="1" s="1"/>
  <c r="EM412" i="1" s="1"/>
  <c r="FL412" i="1" s="1"/>
  <c r="BX393" i="1"/>
  <c r="DE393" i="1" s="1"/>
  <c r="EM393" i="1" s="1"/>
  <c r="FL393" i="1" s="1"/>
  <c r="BX168" i="1"/>
  <c r="DE168" i="1" s="1"/>
  <c r="EM168" i="1" s="1"/>
  <c r="FL168" i="1" s="1"/>
  <c r="BX182" i="1"/>
  <c r="DE182" i="1" s="1"/>
  <c r="EM182" i="1" s="1"/>
  <c r="FL182" i="1" s="1"/>
  <c r="BX190" i="1"/>
  <c r="DE190" i="1" s="1"/>
  <c r="EM190" i="1" s="1"/>
  <c r="FL190" i="1" s="1"/>
  <c r="BX176" i="1"/>
  <c r="DE176" i="1" s="1"/>
  <c r="EM176" i="1" s="1"/>
  <c r="FL176" i="1" s="1"/>
  <c r="BX385" i="1"/>
  <c r="DE385" i="1" s="1"/>
  <c r="EM385" i="1" s="1"/>
  <c r="FL385" i="1" s="1"/>
  <c r="BX166" i="1"/>
  <c r="DE166" i="1" s="1"/>
  <c r="EM166" i="1" s="1"/>
  <c r="FL166" i="1" s="1"/>
  <c r="BX164" i="1"/>
  <c r="DE164" i="1" s="1"/>
  <c r="EM164" i="1" s="1"/>
  <c r="FL164" i="1" s="1"/>
  <c r="BW67" i="1"/>
  <c r="BV67" i="1"/>
  <c r="BV317" i="1"/>
  <c r="BV11" i="1"/>
  <c r="BW317" i="1"/>
  <c r="BW74" i="1"/>
  <c r="BV160" i="1"/>
  <c r="BW311" i="1"/>
  <c r="BV458" i="1"/>
  <c r="BV74" i="1"/>
  <c r="BV311" i="1"/>
  <c r="BW11" i="1"/>
  <c r="BW160" i="1"/>
  <c r="BW458" i="1"/>
  <c r="BP160" i="1"/>
  <c r="BP461" i="1" s="1"/>
  <c r="AT453" i="1"/>
  <c r="AT442" i="1"/>
  <c r="AT430" i="1"/>
  <c r="BW461" i="1" l="1"/>
  <c r="BV461" i="1"/>
  <c r="EM311" i="1"/>
  <c r="FL311" i="1" s="1"/>
  <c r="BX430" i="1"/>
  <c r="DE430" i="1" s="1"/>
  <c r="EM430" i="1" s="1"/>
  <c r="FL430" i="1" s="1"/>
  <c r="BX442" i="1"/>
  <c r="DE442" i="1" s="1"/>
  <c r="EM442" i="1" s="1"/>
  <c r="FL442" i="1" s="1"/>
  <c r="BX453" i="1"/>
  <c r="DE453" i="1" s="1"/>
  <c r="EM453" i="1" s="1"/>
  <c r="FL453" i="1" s="1"/>
  <c r="AT411" i="1"/>
  <c r="AT443" i="1"/>
  <c r="BX443" i="1" l="1"/>
  <c r="DE443" i="1" s="1"/>
  <c r="EM443" i="1" s="1"/>
  <c r="FL443" i="1" s="1"/>
  <c r="BX411" i="1"/>
  <c r="DE411" i="1" s="1"/>
  <c r="EM411" i="1" s="1"/>
  <c r="FL411" i="1" s="1"/>
  <c r="B2" i="2"/>
  <c r="T458" i="1" l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T441" i="1"/>
  <c r="AT427" i="1"/>
  <c r="AT445" i="1"/>
  <c r="AT420" i="1"/>
  <c r="AT423" i="1"/>
  <c r="AT422" i="1"/>
  <c r="AT404" i="1"/>
  <c r="AT408" i="1"/>
  <c r="AT388" i="1"/>
  <c r="AT387" i="1"/>
  <c r="AT384" i="1"/>
  <c r="AT414" i="1"/>
  <c r="AT402" i="1"/>
  <c r="BX402" i="1" l="1"/>
  <c r="DE402" i="1" s="1"/>
  <c r="EM402" i="1" s="1"/>
  <c r="FL402" i="1" s="1"/>
  <c r="BX423" i="1"/>
  <c r="DE423" i="1" s="1"/>
  <c r="EM423" i="1" s="1"/>
  <c r="FL423" i="1" s="1"/>
  <c r="BX441" i="1"/>
  <c r="DE441" i="1" s="1"/>
  <c r="EM441" i="1" s="1"/>
  <c r="FL441" i="1" s="1"/>
  <c r="BX414" i="1"/>
  <c r="DE414" i="1" s="1"/>
  <c r="EM414" i="1" s="1"/>
  <c r="FL414" i="1" s="1"/>
  <c r="BX408" i="1"/>
  <c r="DE408" i="1" s="1"/>
  <c r="EM408" i="1" s="1"/>
  <c r="FL408" i="1" s="1"/>
  <c r="BX420" i="1"/>
  <c r="DE420" i="1" s="1"/>
  <c r="EM420" i="1" s="1"/>
  <c r="FL420" i="1" s="1"/>
  <c r="BX445" i="1"/>
  <c r="DE445" i="1" s="1"/>
  <c r="EM445" i="1" s="1"/>
  <c r="FL445" i="1" s="1"/>
  <c r="BX384" i="1"/>
  <c r="DE384" i="1" s="1"/>
  <c r="EM384" i="1" s="1"/>
  <c r="FL384" i="1" s="1"/>
  <c r="BX404" i="1"/>
  <c r="DE404" i="1" s="1"/>
  <c r="EM404" i="1" s="1"/>
  <c r="FL404" i="1" s="1"/>
  <c r="BX387" i="1"/>
  <c r="DE387" i="1" s="1"/>
  <c r="EM387" i="1" s="1"/>
  <c r="FL387" i="1" s="1"/>
  <c r="BX422" i="1"/>
  <c r="DE422" i="1" s="1"/>
  <c r="EM422" i="1" s="1"/>
  <c r="FL422" i="1" s="1"/>
  <c r="BX427" i="1"/>
  <c r="DE427" i="1" s="1"/>
  <c r="EM427" i="1" s="1"/>
  <c r="FL427" i="1" s="1"/>
  <c r="BX388" i="1"/>
  <c r="DE388" i="1" s="1"/>
  <c r="EM388" i="1" s="1"/>
  <c r="FL388" i="1" s="1"/>
  <c r="AS458" i="1"/>
  <c r="AR458" i="1"/>
  <c r="AR60" i="1"/>
  <c r="AS60" i="1"/>
  <c r="AR61" i="1"/>
  <c r="AS61" i="1"/>
  <c r="AR69" i="1"/>
  <c r="AS69" i="1"/>
  <c r="AR70" i="1"/>
  <c r="AS70" i="1"/>
  <c r="AR71" i="1"/>
  <c r="AS71" i="1"/>
  <c r="AR72" i="1"/>
  <c r="AS72" i="1"/>
  <c r="AR73" i="1"/>
  <c r="AS73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87" i="1"/>
  <c r="AS87" i="1"/>
  <c r="AR94" i="1"/>
  <c r="AS94" i="1"/>
  <c r="AR97" i="1"/>
  <c r="AS97" i="1"/>
  <c r="AR103" i="1"/>
  <c r="AS103" i="1"/>
  <c r="AR131" i="1"/>
  <c r="AS131" i="1"/>
  <c r="AR137" i="1"/>
  <c r="AS137" i="1"/>
  <c r="EM458" i="1" l="1"/>
  <c r="FL458" i="1" s="1"/>
  <c r="AT458" i="1"/>
  <c r="AT69" i="1"/>
  <c r="AT87" i="1"/>
  <c r="BX87" i="1" s="1"/>
  <c r="DE87" i="1" s="1"/>
  <c r="AT73" i="1"/>
  <c r="AT70" i="1"/>
  <c r="AT131" i="1"/>
  <c r="AT103" i="1"/>
  <c r="AT137" i="1"/>
  <c r="AT94" i="1"/>
  <c r="AT72" i="1"/>
  <c r="AT61" i="1"/>
  <c r="AT97" i="1"/>
  <c r="AT71" i="1"/>
  <c r="AT60" i="1"/>
  <c r="AR74" i="1"/>
  <c r="AS74" i="1"/>
  <c r="AL142" i="1"/>
  <c r="AL141" i="1"/>
  <c r="AL140" i="1"/>
  <c r="EM87" i="1" l="1"/>
  <c r="FL87" i="1" s="1"/>
  <c r="BX97" i="1"/>
  <c r="DE97" i="1" s="1"/>
  <c r="EM97" i="1" s="1"/>
  <c r="FL97" i="1" s="1"/>
  <c r="BX137" i="1"/>
  <c r="DE137" i="1" s="1"/>
  <c r="BX73" i="1"/>
  <c r="DE73" i="1" s="1"/>
  <c r="EM73" i="1" s="1"/>
  <c r="FL73" i="1" s="1"/>
  <c r="BX103" i="1"/>
  <c r="DE103" i="1" s="1"/>
  <c r="BX94" i="1"/>
  <c r="DE94" i="1" s="1"/>
  <c r="EM94" i="1" s="1"/>
  <c r="FL94" i="1" s="1"/>
  <c r="BX61" i="1"/>
  <c r="DE61" i="1" s="1"/>
  <c r="EM61" i="1" s="1"/>
  <c r="FL61" i="1" s="1"/>
  <c r="BX60" i="1"/>
  <c r="DE60" i="1" s="1"/>
  <c r="EM60" i="1" s="1"/>
  <c r="FL60" i="1" s="1"/>
  <c r="BX72" i="1"/>
  <c r="DE72" i="1" s="1"/>
  <c r="EM72" i="1" s="1"/>
  <c r="FL72" i="1" s="1"/>
  <c r="BX131" i="1"/>
  <c r="DE131" i="1" s="1"/>
  <c r="BX69" i="1"/>
  <c r="DE69" i="1" s="1"/>
  <c r="EM69" i="1" s="1"/>
  <c r="FL69" i="1" s="1"/>
  <c r="BX71" i="1"/>
  <c r="DE71" i="1" s="1"/>
  <c r="EM71" i="1" s="1"/>
  <c r="FL71" i="1" s="1"/>
  <c r="BX70" i="1"/>
  <c r="DE70" i="1" s="1"/>
  <c r="EM70" i="1" s="1"/>
  <c r="FL70" i="1" s="1"/>
  <c r="BX458" i="1"/>
  <c r="DE458" i="1"/>
  <c r="AT74" i="1"/>
  <c r="AS139" i="1"/>
  <c r="AR139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S315" i="1"/>
  <c r="AR315" i="1"/>
  <c r="AS41" i="1"/>
  <c r="AR41" i="1"/>
  <c r="AS64" i="1"/>
  <c r="AR64" i="1"/>
  <c r="EM103" i="1" l="1"/>
  <c r="FL103" i="1" s="1"/>
  <c r="EM137" i="1"/>
  <c r="FL137" i="1" s="1"/>
  <c r="EM131" i="1"/>
  <c r="FL131" i="1" s="1"/>
  <c r="EM74" i="1"/>
  <c r="FL74" i="1" s="1"/>
  <c r="BX74" i="1"/>
  <c r="DE74" i="1"/>
  <c r="AT139" i="1"/>
  <c r="BX139" i="1" s="1"/>
  <c r="DE139" i="1" s="1"/>
  <c r="AT315" i="1"/>
  <c r="AT41" i="1"/>
  <c r="AT64" i="1"/>
  <c r="EM139" i="1" l="1"/>
  <c r="FL139" i="1" s="1"/>
  <c r="BX64" i="1"/>
  <c r="DE64" i="1" s="1"/>
  <c r="EM64" i="1" s="1"/>
  <c r="FL64" i="1" s="1"/>
  <c r="BX41" i="1"/>
  <c r="DE41" i="1" s="1"/>
  <c r="BX315" i="1"/>
  <c r="DE315" i="1" s="1"/>
  <c r="EM315" i="1" s="1"/>
  <c r="FL315" i="1" s="1"/>
  <c r="EM41" i="1" l="1"/>
  <c r="FL41" i="1" s="1"/>
  <c r="EM317" i="1"/>
  <c r="FL317" i="1" s="1"/>
  <c r="AR140" i="1"/>
  <c r="AS140" i="1"/>
  <c r="AR141" i="1"/>
  <c r="AS141" i="1"/>
  <c r="AR142" i="1"/>
  <c r="AS142" i="1"/>
  <c r="AR143" i="1"/>
  <c r="AS143" i="1"/>
  <c r="AR147" i="1"/>
  <c r="AS147" i="1"/>
  <c r="AR152" i="1"/>
  <c r="AS152" i="1"/>
  <c r="AR153" i="1"/>
  <c r="AS153" i="1"/>
  <c r="AR10" i="1"/>
  <c r="AS10" i="1"/>
  <c r="AR38" i="1"/>
  <c r="AS38" i="1"/>
  <c r="AR43" i="1"/>
  <c r="AS43" i="1"/>
  <c r="AR44" i="1"/>
  <c r="AS44" i="1"/>
  <c r="AR49" i="1"/>
  <c r="AS49" i="1"/>
  <c r="AR50" i="1"/>
  <c r="AS50" i="1"/>
  <c r="AR58" i="1"/>
  <c r="AS58" i="1"/>
  <c r="AR55" i="1"/>
  <c r="AS55" i="1"/>
  <c r="AR56" i="1"/>
  <c r="AS56" i="1"/>
  <c r="AR59" i="1"/>
  <c r="AS59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P461" i="1" l="1"/>
  <c r="AO461" i="1"/>
  <c r="AK461" i="1"/>
  <c r="AG461" i="1"/>
  <c r="AC461" i="1"/>
  <c r="Y461" i="1"/>
  <c r="U461" i="1"/>
  <c r="AL461" i="1"/>
  <c r="AD461" i="1"/>
  <c r="V461" i="1"/>
  <c r="AN461" i="1"/>
  <c r="AJ461" i="1"/>
  <c r="AF461" i="1"/>
  <c r="AB461" i="1"/>
  <c r="X461" i="1"/>
  <c r="T461" i="1"/>
  <c r="AH461" i="1"/>
  <c r="Z461" i="1"/>
  <c r="AQ461" i="1"/>
  <c r="AM461" i="1"/>
  <c r="AI461" i="1"/>
  <c r="AE461" i="1"/>
  <c r="AA461" i="1"/>
  <c r="W461" i="1"/>
  <c r="AS67" i="1"/>
  <c r="AR67" i="1"/>
  <c r="AS317" i="1"/>
  <c r="AR317" i="1"/>
  <c r="AT38" i="1"/>
  <c r="BX38" i="1" s="1"/>
  <c r="DE38" i="1" s="1"/>
  <c r="EM38" i="1" s="1"/>
  <c r="FL38" i="1" s="1"/>
  <c r="AT142" i="1"/>
  <c r="AT56" i="1"/>
  <c r="AT49" i="1"/>
  <c r="AT43" i="1"/>
  <c r="AT152" i="1"/>
  <c r="AT143" i="1"/>
  <c r="AT141" i="1"/>
  <c r="AT58" i="1"/>
  <c r="AT140" i="1"/>
  <c r="BX140" i="1" s="1"/>
  <c r="DE140" i="1" s="1"/>
  <c r="AT153" i="1"/>
  <c r="AT147" i="1"/>
  <c r="AR311" i="1"/>
  <c r="AT10" i="1"/>
  <c r="BX10" i="1" s="1"/>
  <c r="DE10" i="1" s="1"/>
  <c r="EM10" i="1" s="1"/>
  <c r="FL10" i="1" s="1"/>
  <c r="AT59" i="1"/>
  <c r="AT55" i="1"/>
  <c r="AT50" i="1"/>
  <c r="AT44" i="1"/>
  <c r="AS311" i="1"/>
  <c r="AS160" i="1"/>
  <c r="AS11" i="1"/>
  <c r="AR160" i="1"/>
  <c r="AR11" i="1"/>
  <c r="EM140" i="1" l="1"/>
  <c r="FL140" i="1" s="1"/>
  <c r="AR461" i="1"/>
  <c r="AS461" i="1"/>
  <c r="BX147" i="1"/>
  <c r="DE147" i="1" s="1"/>
  <c r="BX59" i="1"/>
  <c r="DE59" i="1" s="1"/>
  <c r="EM59" i="1" s="1"/>
  <c r="FL59" i="1" s="1"/>
  <c r="BX153" i="1"/>
  <c r="DE153" i="1" s="1"/>
  <c r="BX58" i="1"/>
  <c r="DE58" i="1" s="1"/>
  <c r="EM58" i="1" s="1"/>
  <c r="FL58" i="1" s="1"/>
  <c r="BX152" i="1"/>
  <c r="DE152" i="1" s="1"/>
  <c r="BX55" i="1"/>
  <c r="DE55" i="1" s="1"/>
  <c r="EM55" i="1" s="1"/>
  <c r="FL55" i="1" s="1"/>
  <c r="BX143" i="1"/>
  <c r="DE143" i="1" s="1"/>
  <c r="BX56" i="1"/>
  <c r="DE56" i="1" s="1"/>
  <c r="EM56" i="1" s="1"/>
  <c r="FL56" i="1" s="1"/>
  <c r="BX44" i="1"/>
  <c r="DE44" i="1" s="1"/>
  <c r="EM44" i="1" s="1"/>
  <c r="FL44" i="1" s="1"/>
  <c r="BX43" i="1"/>
  <c r="DE43" i="1" s="1"/>
  <c r="EM43" i="1" s="1"/>
  <c r="FL43" i="1" s="1"/>
  <c r="BX142" i="1"/>
  <c r="DE142" i="1" s="1"/>
  <c r="BX50" i="1"/>
  <c r="DE50" i="1" s="1"/>
  <c r="EM50" i="1" s="1"/>
  <c r="FL50" i="1" s="1"/>
  <c r="BX141" i="1"/>
  <c r="DE141" i="1" s="1"/>
  <c r="BX49" i="1"/>
  <c r="DE49" i="1" s="1"/>
  <c r="EM49" i="1" s="1"/>
  <c r="FL49" i="1" s="1"/>
  <c r="AT67" i="1"/>
  <c r="DE11" i="1"/>
  <c r="BX317" i="1"/>
  <c r="AT317" i="1"/>
  <c r="AT160" i="1"/>
  <c r="AT311" i="1"/>
  <c r="AT11" i="1"/>
  <c r="EM147" i="1" l="1"/>
  <c r="FL147" i="1" s="1"/>
  <c r="EM141" i="1"/>
  <c r="FL141" i="1" s="1"/>
  <c r="EM152" i="1"/>
  <c r="FL152" i="1" s="1"/>
  <c r="EM143" i="1"/>
  <c r="FL143" i="1" s="1"/>
  <c r="EM142" i="1"/>
  <c r="FL142" i="1" s="1"/>
  <c r="EM153" i="1"/>
  <c r="FL153" i="1" s="1"/>
  <c r="AT461" i="1"/>
  <c r="EM11" i="1"/>
  <c r="FL11" i="1" s="1"/>
  <c r="BX67" i="1"/>
  <c r="DE67" i="1"/>
  <c r="DE317" i="1"/>
  <c r="DE311" i="1"/>
  <c r="BX160" i="1"/>
  <c r="BX311" i="1"/>
  <c r="BX11" i="1"/>
  <c r="EM160" i="1" l="1"/>
  <c r="FL160" i="1" s="1"/>
  <c r="BX461" i="1"/>
  <c r="DE160" i="1"/>
  <c r="DE461" i="1" s="1"/>
  <c r="P540" i="1" l="1"/>
  <c r="BM438" i="3" l="1"/>
  <c r="CC438" i="3" s="1"/>
  <c r="DQ67" i="1" l="1"/>
  <c r="DQ461" i="1" s="1"/>
  <c r="EJ35" i="1"/>
  <c r="EJ67" i="1" l="1"/>
  <c r="EJ461" i="1" s="1"/>
  <c r="EM35" i="1"/>
  <c r="FL35" i="1" s="1"/>
  <c r="FM41" i="1" l="1"/>
  <c r="FM42" i="1" s="1"/>
  <c r="EM67" i="1"/>
  <c r="FL67" i="1" s="1"/>
  <c r="FN35" i="1"/>
  <c r="FN37" i="1" s="1"/>
  <c r="EM461" i="1" l="1"/>
  <c r="FL461" i="1" l="1"/>
  <c r="BM439" i="3"/>
  <c r="BM440" i="3" s="1"/>
  <c r="BO465" i="1" l="1"/>
  <c r="DS465" i="1"/>
  <c r="U487" i="1"/>
  <c r="DP467" i="1"/>
  <c r="BH465" i="1"/>
  <c r="AO465" i="1"/>
  <c r="DP473" i="1"/>
  <c r="DL476" i="1"/>
  <c r="U467" i="1"/>
  <c r="BI465" i="1"/>
  <c r="DP482" i="1"/>
  <c r="EK465" i="1"/>
  <c r="ED465" i="1"/>
  <c r="T485" i="1"/>
  <c r="DL485" i="1"/>
  <c r="BK465" i="1"/>
  <c r="AL465" i="1"/>
  <c r="U488" i="1"/>
  <c r="U471" i="1"/>
  <c r="DX465" i="1"/>
  <c r="BC465" i="1"/>
  <c r="BX465" i="1"/>
  <c r="AA465" i="1"/>
  <c r="DH465" i="1"/>
  <c r="Y465" i="1"/>
  <c r="DP468" i="1"/>
  <c r="FG465" i="1"/>
  <c r="BP465" i="1"/>
  <c r="DL487" i="1"/>
  <c r="CC465" i="1"/>
  <c r="T488" i="1"/>
  <c r="FH465" i="1"/>
  <c r="EB465" i="1"/>
  <c r="U466" i="1"/>
  <c r="AR465" i="1"/>
  <c r="T487" i="1"/>
  <c r="BV465" i="1"/>
  <c r="U475" i="1"/>
  <c r="DP486" i="1"/>
  <c r="DL477" i="1"/>
  <c r="U472" i="1"/>
  <c r="T477" i="1"/>
  <c r="U473" i="1"/>
  <c r="DL481" i="1"/>
  <c r="ES476" i="1"/>
  <c r="DE465" i="1"/>
  <c r="DL484" i="1"/>
  <c r="CM465" i="1"/>
  <c r="T471" i="1"/>
  <c r="DW465" i="1"/>
  <c r="ES484" i="1"/>
  <c r="EU465" i="1"/>
  <c r="DL478" i="1"/>
  <c r="U477" i="1"/>
  <c r="DP476" i="1"/>
  <c r="T475" i="1"/>
  <c r="DL469" i="1"/>
  <c r="BL465" i="1"/>
  <c r="T480" i="1"/>
  <c r="ES468" i="1"/>
  <c r="BU465" i="1"/>
  <c r="EY465" i="1"/>
  <c r="EC465" i="1"/>
  <c r="BS465" i="1"/>
  <c r="EX465" i="1"/>
  <c r="DG465" i="1"/>
  <c r="ES486" i="1"/>
  <c r="CX465" i="1"/>
  <c r="CP465" i="1"/>
  <c r="EJ465" i="1"/>
  <c r="DY465" i="1"/>
  <c r="BZ465" i="1"/>
  <c r="BM465" i="1"/>
  <c r="V465" i="1"/>
  <c r="T469" i="1"/>
  <c r="ES473" i="1"/>
  <c r="T474" i="1"/>
  <c r="ES480" i="1"/>
  <c r="T467" i="1"/>
  <c r="DL483" i="1"/>
  <c r="DP470" i="1"/>
  <c r="DP477" i="1"/>
  <c r="ES472" i="1"/>
  <c r="AD465" i="1"/>
  <c r="CT465" i="1"/>
  <c r="EI465" i="1"/>
  <c r="EA465" i="1"/>
  <c r="T486" i="1"/>
  <c r="CW465" i="1"/>
  <c r="DL486" i="1"/>
  <c r="DP471" i="1"/>
  <c r="DQ465" i="1"/>
  <c r="AE465" i="1"/>
  <c r="W465" i="1"/>
  <c r="EL465" i="1"/>
  <c r="T481" i="1"/>
  <c r="ES467" i="1"/>
  <c r="BQ465" i="1"/>
  <c r="CR465" i="1"/>
  <c r="T483" i="1"/>
  <c r="FE465" i="1"/>
  <c r="AF465" i="1"/>
  <c r="U478" i="1"/>
  <c r="U468" i="1"/>
  <c r="DL474" i="1"/>
  <c r="ES478" i="1"/>
  <c r="DJ465" i="1"/>
  <c r="T479" i="1"/>
  <c r="DC465" i="1"/>
  <c r="ES474" i="1"/>
  <c r="CQ465" i="1"/>
  <c r="T472" i="1"/>
  <c r="AI465" i="1"/>
  <c r="U479" i="1"/>
  <c r="DL468" i="1"/>
  <c r="AM465" i="1"/>
  <c r="ES471" i="1"/>
  <c r="CG465" i="1"/>
  <c r="T478" i="1"/>
  <c r="U486" i="1"/>
  <c r="CO465" i="1"/>
  <c r="U485" i="1"/>
  <c r="DL472" i="1"/>
  <c r="DL479" i="1"/>
  <c r="T473" i="1"/>
  <c r="U480" i="1"/>
  <c r="CJ465" i="1"/>
  <c r="CH465" i="1"/>
  <c r="CZ465" i="1"/>
  <c r="DK465" i="1"/>
  <c r="DP480" i="1"/>
  <c r="CA465" i="1"/>
  <c r="DL488" i="1"/>
  <c r="DP478" i="1"/>
  <c r="DL482" i="1"/>
  <c r="DD465" i="1"/>
  <c r="EE465" i="1"/>
  <c r="AN465" i="1"/>
  <c r="AV465" i="1"/>
  <c r="DL473" i="1"/>
  <c r="AH465" i="1"/>
  <c r="DL466" i="1"/>
  <c r="DP479" i="1"/>
  <c r="U470" i="1"/>
  <c r="BN465" i="1"/>
  <c r="DP475" i="1"/>
  <c r="DU465" i="1"/>
  <c r="AY465" i="1"/>
  <c r="AQ465" i="1"/>
  <c r="U474" i="1"/>
  <c r="DT465" i="1"/>
  <c r="ES487" i="1"/>
  <c r="AT465" i="1"/>
  <c r="ES469" i="1"/>
  <c r="DP469" i="1"/>
  <c r="FK465" i="1"/>
  <c r="DP488" i="1"/>
  <c r="BG465" i="1"/>
  <c r="BA465" i="1"/>
  <c r="BF465" i="1"/>
  <c r="DP481" i="1"/>
  <c r="CY465" i="1"/>
  <c r="DN465" i="1"/>
  <c r="DP474" i="1"/>
  <c r="CS465" i="1"/>
  <c r="ET465" i="1"/>
  <c r="S465" i="1"/>
  <c r="T484" i="1"/>
  <c r="EF465" i="1"/>
  <c r="AS465" i="1"/>
  <c r="T466" i="1"/>
  <c r="EH465" i="1"/>
  <c r="DB465" i="1"/>
  <c r="AP465" i="1"/>
  <c r="T468" i="1"/>
  <c r="BD465" i="1"/>
  <c r="EW465" i="1"/>
  <c r="AC465" i="1"/>
  <c r="CN465" i="1"/>
  <c r="AX465" i="1"/>
  <c r="ES466" i="1"/>
  <c r="T482" i="1"/>
  <c r="ES470" i="1"/>
  <c r="CD465" i="1"/>
  <c r="DP483" i="1"/>
  <c r="CF465" i="1"/>
  <c r="DA465" i="1"/>
  <c r="DP487" i="1"/>
  <c r="U469" i="1"/>
  <c r="AZ465" i="1"/>
  <c r="ES481" i="1"/>
  <c r="U483" i="1"/>
  <c r="BW465" i="1"/>
  <c r="DL470" i="1"/>
  <c r="ES485" i="1"/>
  <c r="T470" i="1"/>
  <c r="X465" i="1"/>
  <c r="BT465" i="1"/>
  <c r="T465" i="1"/>
  <c r="ES488" i="1"/>
  <c r="BR465" i="1"/>
  <c r="U476" i="1"/>
  <c r="U481" i="1"/>
  <c r="ES465" i="1"/>
  <c r="AB465" i="1"/>
  <c r="T476" i="1"/>
  <c r="CU465" i="1"/>
  <c r="Z465" i="1"/>
  <c r="EG465" i="1"/>
  <c r="ES483" i="1"/>
  <c r="DZ465" i="1"/>
  <c r="CI465" i="1"/>
  <c r="CL465" i="1"/>
  <c r="DP484" i="1"/>
  <c r="BJ465" i="1"/>
  <c r="DL471" i="1"/>
  <c r="ES479" i="1"/>
  <c r="FD465" i="1"/>
  <c r="AJ465" i="1"/>
  <c r="CE465" i="1"/>
  <c r="DM465" i="1"/>
  <c r="FF465" i="1"/>
  <c r="DL475" i="1"/>
  <c r="U484" i="1"/>
  <c r="U465" i="1"/>
  <c r="DP485" i="1"/>
  <c r="DP466" i="1"/>
  <c r="ES482" i="1"/>
  <c r="DV465" i="1"/>
  <c r="CV465" i="1"/>
  <c r="DL465" i="1"/>
  <c r="DL480" i="1"/>
  <c r="U482" i="1"/>
  <c r="AG465" i="1"/>
  <c r="EM465" i="1"/>
  <c r="AK465" i="1"/>
  <c r="DP465" i="1"/>
  <c r="DO465" i="1"/>
  <c r="BB465" i="1"/>
  <c r="DR465" i="1"/>
  <c r="BE465" i="1"/>
  <c r="ES475" i="1"/>
  <c r="FC465" i="1"/>
  <c r="ES477" i="1"/>
  <c r="AW465" i="1"/>
  <c r="CK465" i="1"/>
  <c r="DL467" i="1"/>
  <c r="CA478" i="1"/>
  <c r="EF488" i="1"/>
  <c r="ED482" i="1"/>
  <c r="DO473" i="1"/>
  <c r="CR482" i="1"/>
  <c r="AI485" i="1"/>
  <c r="FD468" i="1"/>
  <c r="FK481" i="1"/>
  <c r="FG479" i="1"/>
  <c r="BJ473" i="1"/>
  <c r="FC477" i="1"/>
  <c r="EF479" i="1"/>
  <c r="AO482" i="1"/>
  <c r="CW482" i="1"/>
  <c r="BR482" i="1"/>
  <c r="DS471" i="1"/>
  <c r="FC475" i="1"/>
  <c r="FK468" i="1"/>
  <c r="BA473" i="1"/>
  <c r="CS478" i="1"/>
  <c r="FK484" i="1"/>
  <c r="EY478" i="1"/>
  <c r="V485" i="1"/>
  <c r="DM476" i="1"/>
  <c r="DH482" i="1"/>
  <c r="CO482" i="1"/>
  <c r="EW480" i="1"/>
  <c r="EU488" i="1"/>
  <c r="AA473" i="1"/>
  <c r="BC478" i="1"/>
  <c r="FK467" i="1"/>
  <c r="AV478" i="1"/>
  <c r="AM473" i="1"/>
  <c r="DU485" i="1"/>
  <c r="EU474" i="1"/>
  <c r="EW467" i="1"/>
  <c r="CS473" i="1"/>
  <c r="EM473" i="1"/>
  <c r="EW471" i="1"/>
  <c r="DZ473" i="1"/>
  <c r="DA473" i="1"/>
  <c r="CM478" i="1"/>
  <c r="EE482" i="1"/>
  <c r="FC485" i="1"/>
  <c r="FD475" i="1"/>
  <c r="EU479" i="1"/>
  <c r="EW477" i="1"/>
  <c r="AO473" i="1"/>
  <c r="AJ478" i="1"/>
  <c r="DX484" i="1"/>
  <c r="EF476" i="1"/>
  <c r="DU471" i="1"/>
  <c r="EJ478" i="1"/>
  <c r="ED473" i="1"/>
  <c r="FG473" i="1"/>
  <c r="EY487" i="1"/>
  <c r="BZ473" i="1"/>
  <c r="FK480" i="1"/>
  <c r="DH467" i="1"/>
  <c r="FG487" i="1"/>
  <c r="CI473" i="1"/>
  <c r="CE482" i="1"/>
  <c r="BB478" i="1"/>
  <c r="DY476" i="1"/>
  <c r="CW473" i="1"/>
  <c r="FF476" i="1"/>
  <c r="EX469" i="1"/>
  <c r="BH473" i="1"/>
  <c r="EX479" i="1"/>
  <c r="Y478" i="1"/>
  <c r="FC478" i="1"/>
  <c r="Z473" i="1"/>
  <c r="CK482" i="1"/>
  <c r="EF469" i="1"/>
  <c r="AT485" i="1"/>
  <c r="DX475" i="1"/>
  <c r="EK485" i="1"/>
  <c r="CF485" i="1"/>
  <c r="EW484" i="1"/>
  <c r="BA485" i="1"/>
  <c r="DH470" i="1"/>
  <c r="BI487" i="1"/>
  <c r="EL471" i="1"/>
  <c r="DX473" i="1"/>
  <c r="FH471" i="1"/>
  <c r="FF485" i="1"/>
  <c r="DJ480" i="1"/>
  <c r="DQ485" i="1"/>
  <c r="DM487" i="1"/>
  <c r="ET467" i="1"/>
  <c r="DO475" i="1"/>
  <c r="DE478" i="1"/>
  <c r="DT483" i="1"/>
  <c r="DT470" i="1"/>
  <c r="FK472" i="1"/>
  <c r="DY478" i="1"/>
  <c r="DR470" i="1"/>
  <c r="EC474" i="1"/>
  <c r="EJ480" i="1"/>
  <c r="DJ477" i="1"/>
  <c r="FD488" i="1"/>
  <c r="EE473" i="1"/>
  <c r="DG467" i="1"/>
  <c r="BF482" i="1"/>
  <c r="EE476" i="1"/>
  <c r="FE473" i="1"/>
  <c r="CE485" i="1"/>
  <c r="BD466" i="1"/>
  <c r="DO467" i="1"/>
  <c r="BJ485" i="1"/>
  <c r="FD480" i="1"/>
  <c r="FF482" i="1"/>
  <c r="CF482" i="1"/>
  <c r="CP478" i="1"/>
  <c r="FE479" i="1"/>
  <c r="FC466" i="1"/>
  <c r="AI482" i="1"/>
  <c r="DU482" i="1"/>
  <c r="FG470" i="1"/>
  <c r="FH470" i="1"/>
  <c r="AP478" i="1"/>
  <c r="EF484" i="1"/>
  <c r="CU478" i="1"/>
  <c r="DU473" i="1"/>
  <c r="DS478" i="1"/>
  <c r="EW478" i="1"/>
  <c r="AE478" i="1"/>
  <c r="DM475" i="1"/>
  <c r="EX477" i="1"/>
  <c r="FE469" i="1"/>
  <c r="EX478" i="1"/>
  <c r="FH477" i="1"/>
  <c r="CH485" i="1"/>
  <c r="ED487" i="1"/>
  <c r="FH488" i="1"/>
  <c r="FG476" i="1"/>
  <c r="AP473" i="1"/>
  <c r="FG483" i="1"/>
  <c r="EW476" i="1"/>
  <c r="FG480" i="1"/>
  <c r="CD482" i="1"/>
  <c r="EE474" i="1"/>
  <c r="AJ482" i="1"/>
  <c r="FH482" i="1"/>
  <c r="FD467" i="1"/>
  <c r="EG473" i="1"/>
  <c r="CD485" i="1"/>
  <c r="DM471" i="1"/>
  <c r="DM482" i="1"/>
  <c r="FK478" i="1"/>
  <c r="AP482" i="1"/>
  <c r="EW473" i="1"/>
  <c r="BX482" i="1"/>
  <c r="DW474" i="1"/>
  <c r="EX483" i="1"/>
  <c r="EH473" i="1"/>
  <c r="DH485" i="1"/>
  <c r="AZ473" i="1"/>
  <c r="DR487" i="1"/>
  <c r="DR479" i="1"/>
  <c r="EG487" i="1"/>
  <c r="CC475" i="1"/>
  <c r="W485" i="1"/>
  <c r="DC466" i="1"/>
  <c r="CI478" i="1"/>
  <c r="DM467" i="1"/>
  <c r="ET473" i="1"/>
  <c r="CJ473" i="1"/>
  <c r="CE472" i="1"/>
  <c r="EI475" i="1"/>
  <c r="AN478" i="1"/>
  <c r="CC485" i="1"/>
  <c r="EC473" i="1"/>
  <c r="CC488" i="1"/>
  <c r="ED483" i="1"/>
  <c r="EX471" i="1"/>
  <c r="FC472" i="1"/>
  <c r="BE473" i="1"/>
  <c r="BT478" i="1"/>
  <c r="EB470" i="1"/>
  <c r="DS468" i="1"/>
  <c r="EI474" i="1"/>
  <c r="DN482" i="1"/>
  <c r="FC482" i="1"/>
  <c r="BM482" i="1"/>
  <c r="EA485" i="1"/>
  <c r="BJ482" i="1"/>
  <c r="EX488" i="1"/>
  <c r="DR482" i="1"/>
  <c r="AB473" i="1"/>
  <c r="EW485" i="1"/>
  <c r="CV473" i="1"/>
  <c r="EW469" i="1"/>
  <c r="FF475" i="1"/>
  <c r="EX487" i="1"/>
  <c r="CL482" i="1"/>
  <c r="EF477" i="1"/>
  <c r="CQ485" i="1"/>
  <c r="X482" i="1"/>
  <c r="FE484" i="1"/>
  <c r="BT485" i="1"/>
  <c r="ET485" i="1"/>
  <c r="BD473" i="1"/>
  <c r="V473" i="1"/>
  <c r="EY470" i="1"/>
  <c r="Y485" i="1"/>
  <c r="DX478" i="1"/>
  <c r="AD478" i="1"/>
  <c r="CU473" i="1"/>
  <c r="FC470" i="1"/>
  <c r="AL478" i="1"/>
  <c r="CR473" i="1"/>
  <c r="BJ478" i="1"/>
  <c r="ET471" i="1"/>
  <c r="DK473" i="1"/>
  <c r="AB478" i="1"/>
  <c r="AQ482" i="1"/>
  <c r="FG471" i="1"/>
  <c r="BO482" i="1"/>
  <c r="FH483" i="1"/>
  <c r="BE478" i="1"/>
  <c r="EI482" i="1"/>
  <c r="CT473" i="1"/>
  <c r="ET479" i="1"/>
  <c r="EF467" i="1"/>
  <c r="EW474" i="1"/>
  <c r="EH485" i="1"/>
  <c r="AA478" i="1"/>
  <c r="AV482" i="1"/>
  <c r="EI488" i="1"/>
  <c r="EI484" i="1"/>
  <c r="EE479" i="1"/>
  <c r="DY481" i="1"/>
  <c r="DZ467" i="1"/>
  <c r="ED488" i="1"/>
  <c r="EU467" i="1"/>
  <c r="DM478" i="1"/>
  <c r="CM485" i="1"/>
  <c r="EC478" i="1"/>
  <c r="EB474" i="1"/>
  <c r="FG485" i="1"/>
  <c r="DX472" i="1"/>
  <c r="AE473" i="1"/>
  <c r="EB485" i="1"/>
  <c r="EA484" i="1"/>
  <c r="DM468" i="1"/>
  <c r="DG480" i="1"/>
  <c r="BI478" i="1"/>
  <c r="BD482" i="1"/>
  <c r="FE480" i="1"/>
  <c r="BV482" i="1"/>
  <c r="DJ466" i="1"/>
  <c r="AB485" i="1"/>
  <c r="DR476" i="1"/>
  <c r="FE486" i="1"/>
  <c r="CC471" i="1"/>
  <c r="EK481" i="1"/>
  <c r="EX486" i="1"/>
  <c r="ED478" i="1"/>
  <c r="EF480" i="1"/>
  <c r="DR480" i="1"/>
  <c r="DC467" i="1"/>
  <c r="DQ468" i="1"/>
  <c r="DQ472" i="1"/>
  <c r="FG478" i="1"/>
  <c r="EU477" i="1"/>
  <c r="EX473" i="1"/>
  <c r="EX476" i="1"/>
  <c r="FH473" i="1"/>
  <c r="CP473" i="1"/>
  <c r="CZ482" i="1"/>
  <c r="DT473" i="1"/>
  <c r="FK483" i="1"/>
  <c r="CG478" i="1"/>
  <c r="FH466" i="1"/>
  <c r="AL473" i="1"/>
  <c r="FK486" i="1"/>
  <c r="FK473" i="1"/>
  <c r="W473" i="1"/>
  <c r="FG477" i="1"/>
  <c r="FH478" i="1"/>
  <c r="BI485" i="1"/>
  <c r="FD483" i="1"/>
  <c r="X473" i="1"/>
  <c r="FC484" i="1"/>
  <c r="ET468" i="1"/>
  <c r="EU481" i="1"/>
  <c r="FC486" i="1"/>
  <c r="EY466" i="1"/>
  <c r="DR469" i="1"/>
  <c r="DN486" i="1"/>
  <c r="DX477" i="1"/>
  <c r="DY477" i="1"/>
  <c r="DV476" i="1"/>
  <c r="EA476" i="1"/>
  <c r="EW488" i="1"/>
  <c r="BN482" i="1"/>
  <c r="CQ478" i="1"/>
  <c r="BR485" i="1"/>
  <c r="Z485" i="1"/>
  <c r="BG482" i="1"/>
  <c r="EW481" i="1"/>
  <c r="BN473" i="1"/>
  <c r="CY485" i="1"/>
  <c r="AR485" i="1"/>
  <c r="ED481" i="1"/>
  <c r="FD476" i="1"/>
  <c r="EX485" i="1"/>
  <c r="DG474" i="1"/>
  <c r="EL466" i="1"/>
  <c r="DO487" i="1"/>
  <c r="DV475" i="1"/>
  <c r="BK478" i="1"/>
  <c r="CA482" i="1"/>
  <c r="DM479" i="1"/>
  <c r="DT481" i="1"/>
  <c r="BP485" i="1"/>
  <c r="AX473" i="1"/>
  <c r="AY473" i="1"/>
  <c r="FD478" i="1"/>
  <c r="DN473" i="1"/>
  <c r="AB487" i="1"/>
  <c r="Z467" i="1"/>
  <c r="DW473" i="1"/>
  <c r="FF480" i="1"/>
  <c r="FK476" i="1"/>
  <c r="CM473" i="1"/>
  <c r="EA478" i="1"/>
  <c r="BC473" i="1"/>
  <c r="EU476" i="1"/>
  <c r="EW482" i="1"/>
  <c r="BZ478" i="1"/>
  <c r="BG473" i="1"/>
  <c r="BA482" i="1"/>
  <c r="FE477" i="1"/>
  <c r="ET474" i="1"/>
  <c r="BF478" i="1"/>
  <c r="AM485" i="1"/>
  <c r="AM478" i="1"/>
  <c r="AZ482" i="1"/>
  <c r="CV482" i="1"/>
  <c r="CH482" i="1"/>
  <c r="EU485" i="1"/>
  <c r="DS482" i="1"/>
  <c r="EY474" i="1"/>
  <c r="FF488" i="1"/>
  <c r="FK485" i="1"/>
  <c r="DZ485" i="1"/>
  <c r="BQ482" i="1"/>
  <c r="BL482" i="1"/>
  <c r="EW468" i="1"/>
  <c r="EI487" i="1"/>
  <c r="FC480" i="1"/>
  <c r="DQ479" i="1"/>
  <c r="DG468" i="1"/>
  <c r="EH474" i="1"/>
  <c r="EA471" i="1"/>
  <c r="FD474" i="1"/>
  <c r="EF482" i="1"/>
  <c r="FD473" i="1"/>
  <c r="DG478" i="1"/>
  <c r="EJ474" i="1"/>
  <c r="EL468" i="1"/>
  <c r="DV483" i="1"/>
  <c r="DW481" i="1"/>
  <c r="EE480" i="1"/>
  <c r="DN478" i="1"/>
  <c r="EC472" i="1"/>
  <c r="DN487" i="1"/>
  <c r="ET488" i="1"/>
  <c r="EG475" i="1"/>
  <c r="B527" i="1" s="1"/>
  <c r="CJ485" i="1"/>
  <c r="FF478" i="1"/>
  <c r="AK478" i="1"/>
  <c r="DG482" i="1"/>
  <c r="AC478" i="1"/>
  <c r="FD482" i="1"/>
  <c r="DR472" i="1"/>
  <c r="DN471" i="1"/>
  <c r="EL475" i="1"/>
  <c r="EJ483" i="1"/>
  <c r="FH480" i="1"/>
  <c r="DW477" i="1"/>
  <c r="EX482" i="1"/>
  <c r="DG481" i="1"/>
  <c r="DT468" i="1"/>
  <c r="BK482" i="1"/>
  <c r="EH470" i="1"/>
  <c r="ET478" i="1"/>
  <c r="CW485" i="1"/>
  <c r="EI473" i="1"/>
  <c r="FE482" i="1"/>
  <c r="ET466" i="1"/>
  <c r="AQ485" i="1"/>
  <c r="CH478" i="1"/>
  <c r="CI485" i="1"/>
  <c r="AZ478" i="1"/>
  <c r="ED485" i="1"/>
  <c r="EY482" i="1"/>
  <c r="AQ478" i="1"/>
  <c r="CJ482" i="1"/>
  <c r="DO478" i="1"/>
  <c r="AN473" i="1"/>
  <c r="AN482" i="1"/>
  <c r="AL482" i="1"/>
  <c r="EF471" i="1"/>
  <c r="BO473" i="1"/>
  <c r="BS478" i="1"/>
  <c r="DR473" i="1"/>
  <c r="CN478" i="1"/>
  <c r="BG478" i="1"/>
  <c r="FK487" i="1"/>
  <c r="AC482" i="1"/>
  <c r="EU484" i="1"/>
  <c r="BP473" i="1"/>
  <c r="EX472" i="1"/>
  <c r="FD472" i="1"/>
  <c r="BB482" i="1"/>
  <c r="EA473" i="1"/>
  <c r="FF484" i="1"/>
  <c r="FH479" i="1"/>
  <c r="FG474" i="1"/>
  <c r="EY480" i="1"/>
  <c r="BI482" i="1"/>
  <c r="DY473" i="1"/>
  <c r="EY468" i="1"/>
  <c r="DK482" i="1"/>
  <c r="DS470" i="1"/>
  <c r="EK480" i="1"/>
  <c r="DN472" i="1"/>
  <c r="EB479" i="1"/>
  <c r="EG472" i="1"/>
  <c r="EJ484" i="1"/>
  <c r="EC488" i="1"/>
  <c r="FE467" i="1"/>
  <c r="FF474" i="1"/>
  <c r="FF473" i="1"/>
  <c r="CW478" i="1"/>
  <c r="EX480" i="1"/>
  <c r="FC467" i="1"/>
  <c r="EB471" i="1"/>
  <c r="DK481" i="1"/>
  <c r="EG469" i="1"/>
  <c r="EE468" i="1"/>
  <c r="EA474" i="1"/>
  <c r="EC482" i="1"/>
  <c r="BS473" i="1"/>
  <c r="AL485" i="1"/>
  <c r="DH471" i="1"/>
  <c r="DJ479" i="1"/>
  <c r="EG468" i="1"/>
  <c r="B503" i="1" s="1"/>
  <c r="AX478" i="1"/>
  <c r="CQ473" i="1"/>
  <c r="DT486" i="1"/>
  <c r="FD466" i="1"/>
  <c r="BU485" i="1"/>
  <c r="EE471" i="1"/>
  <c r="BZ485" i="1"/>
  <c r="DT469" i="1"/>
  <c r="EL483" i="1"/>
  <c r="CI468" i="1"/>
  <c r="DD478" i="1"/>
  <c r="EY483" i="1"/>
  <c r="FH467" i="1"/>
  <c r="EY473" i="1"/>
  <c r="CZ473" i="1"/>
  <c r="EY488" i="1"/>
  <c r="ET482" i="1"/>
  <c r="BH478" i="1"/>
  <c r="EX467" i="1"/>
  <c r="CK478" i="1"/>
  <c r="FK470" i="1"/>
  <c r="CV478" i="1"/>
  <c r="ET484" i="1"/>
  <c r="EX475" i="1"/>
  <c r="EY471" i="1"/>
  <c r="FH476" i="1"/>
  <c r="DJ473" i="1"/>
  <c r="DV478" i="1"/>
  <c r="AG482" i="1"/>
  <c r="FE472" i="1"/>
  <c r="EY476" i="1"/>
  <c r="FK479" i="1"/>
  <c r="FG467" i="1"/>
  <c r="EY486" i="1"/>
  <c r="AX482" i="1"/>
  <c r="FC483" i="1"/>
  <c r="EB482" i="1"/>
  <c r="EH478" i="1"/>
  <c r="CL478" i="1"/>
  <c r="BF485" i="1"/>
  <c r="ET487" i="1"/>
  <c r="FE468" i="1"/>
  <c r="CY482" i="1"/>
  <c r="CK485" i="1"/>
  <c r="FK474" i="1"/>
  <c r="DT485" i="1"/>
  <c r="DZ478" i="1"/>
  <c r="CF478" i="1"/>
  <c r="AB482" i="1"/>
  <c r="EI483" i="1"/>
  <c r="EY467" i="1"/>
  <c r="DH468" i="1"/>
  <c r="AV488" i="1"/>
  <c r="DU479" i="1"/>
  <c r="EH469" i="1"/>
  <c r="EH487" i="1"/>
  <c r="EI471" i="1"/>
  <c r="AD482" i="1"/>
  <c r="CQ482" i="1"/>
  <c r="DU467" i="1"/>
  <c r="EM487" i="1"/>
  <c r="EA477" i="1"/>
  <c r="FH484" i="1"/>
  <c r="DH469" i="1"/>
  <c r="DZ479" i="1"/>
  <c r="EL472" i="1"/>
  <c r="DR488" i="1"/>
  <c r="AC473" i="1"/>
  <c r="BT482" i="1"/>
  <c r="DT479" i="1"/>
  <c r="DU484" i="1"/>
  <c r="FK475" i="1"/>
  <c r="EB486" i="1"/>
  <c r="DS485" i="1"/>
  <c r="EY484" i="1"/>
  <c r="DN483" i="1"/>
  <c r="DO483" i="1"/>
  <c r="DJ487" i="1"/>
  <c r="DU466" i="1"/>
  <c r="DT476" i="1"/>
  <c r="CU485" i="1"/>
  <c r="DN468" i="1"/>
  <c r="BZ484" i="1"/>
  <c r="AE482" i="1"/>
  <c r="EA483" i="1"/>
  <c r="BN478" i="1"/>
  <c r="DY482" i="1"/>
  <c r="Z482" i="1"/>
  <c r="V482" i="1"/>
  <c r="CX478" i="1"/>
  <c r="BP482" i="1"/>
  <c r="BO478" i="1"/>
  <c r="BL473" i="1"/>
  <c r="CO473" i="1"/>
  <c r="BH482" i="1"/>
  <c r="EW483" i="1"/>
  <c r="BQ473" i="1"/>
  <c r="AY482" i="1"/>
  <c r="FC473" i="1"/>
  <c r="AH473" i="1"/>
  <c r="DM473" i="1"/>
  <c r="FE478" i="1"/>
  <c r="DS473" i="1"/>
  <c r="EF475" i="1"/>
  <c r="DO482" i="1"/>
  <c r="EU478" i="1"/>
  <c r="AM482" i="1"/>
  <c r="EU466" i="1"/>
  <c r="EY485" i="1"/>
  <c r="EU483" i="1"/>
  <c r="BI473" i="1"/>
  <c r="AG473" i="1"/>
  <c r="BU478" i="1"/>
  <c r="EX470" i="1"/>
  <c r="CF473" i="1"/>
  <c r="EF486" i="1"/>
  <c r="FF471" i="1"/>
  <c r="W478" i="1"/>
  <c r="CJ478" i="1"/>
  <c r="DZ482" i="1"/>
  <c r="FH486" i="1"/>
  <c r="EW479" i="1"/>
  <c r="EK487" i="1"/>
  <c r="FD470" i="1"/>
  <c r="FG481" i="1"/>
  <c r="EU486" i="1"/>
  <c r="AD473" i="1"/>
  <c r="X478" i="1"/>
  <c r="EF485" i="1"/>
  <c r="EF470" i="1"/>
  <c r="FD479" i="1"/>
  <c r="BE482" i="1"/>
  <c r="BP478" i="1"/>
  <c r="FE476" i="1"/>
  <c r="DZ474" i="1"/>
  <c r="EE481" i="1"/>
  <c r="DN477" i="1"/>
  <c r="EC487" i="1"/>
  <c r="DO472" i="1"/>
  <c r="EJ485" i="1"/>
  <c r="FC471" i="1"/>
  <c r="CD473" i="1"/>
  <c r="DT482" i="1"/>
  <c r="FD485" i="1"/>
  <c r="DN488" i="1"/>
  <c r="DZ466" i="1"/>
  <c r="DG469" i="1"/>
  <c r="DO474" i="1"/>
  <c r="FH487" i="1"/>
  <c r="FH472" i="1"/>
  <c r="ED486" i="1"/>
  <c r="DW485" i="1"/>
  <c r="S482" i="1"/>
  <c r="CN473" i="1"/>
  <c r="DM481" i="1"/>
  <c r="EY472" i="1"/>
  <c r="DZ470" i="1"/>
  <c r="AO485" i="1"/>
  <c r="FE474" i="1"/>
  <c r="FD486" i="1"/>
  <c r="EG476" i="1"/>
  <c r="CY478" i="1"/>
  <c r="EE485" i="1"/>
  <c r="EG471" i="1"/>
  <c r="DQ483" i="1"/>
  <c r="DJ485" i="1"/>
  <c r="AH478" i="1"/>
  <c r="DO488" i="1"/>
  <c r="EU469" i="1"/>
  <c r="DM488" i="1"/>
  <c r="DU488" i="1"/>
  <c r="CJ487" i="1"/>
  <c r="EJ466" i="1"/>
  <c r="BW485" i="1"/>
  <c r="DD477" i="1"/>
  <c r="AT477" i="1"/>
  <c r="EA480" i="1"/>
  <c r="BH472" i="1"/>
  <c r="CD480" i="1"/>
  <c r="FD477" i="1"/>
  <c r="Z478" i="1"/>
  <c r="FG469" i="1"/>
  <c r="ED484" i="1"/>
  <c r="AN483" i="1"/>
  <c r="CC477" i="1"/>
  <c r="DW466" i="1"/>
  <c r="FF479" i="1"/>
  <c r="EA475" i="1"/>
  <c r="AW473" i="1"/>
  <c r="AY478" i="1"/>
  <c r="EF466" i="1"/>
  <c r="CC478" i="1"/>
  <c r="ED469" i="1"/>
  <c r="ED479" i="1"/>
  <c r="EH477" i="1"/>
  <c r="EL486" i="1"/>
  <c r="DR475" i="1"/>
  <c r="AV473" i="1"/>
  <c r="FF487" i="1"/>
  <c r="EX468" i="1"/>
  <c r="EF478" i="1"/>
  <c r="EX466" i="1"/>
  <c r="EB483" i="1"/>
  <c r="DS487" i="1"/>
  <c r="BD485" i="1"/>
  <c r="CC466" i="1"/>
  <c r="EG477" i="1"/>
  <c r="EE478" i="1"/>
  <c r="CE478" i="1"/>
  <c r="AG478" i="1"/>
  <c r="ET469" i="1"/>
  <c r="DZ477" i="1"/>
  <c r="EA486" i="1"/>
  <c r="DY470" i="1"/>
  <c r="EC470" i="1"/>
  <c r="CC480" i="1"/>
  <c r="FE488" i="1"/>
  <c r="DA478" i="1"/>
  <c r="BK485" i="1"/>
  <c r="AA485" i="1"/>
  <c r="AF478" i="1"/>
  <c r="DY474" i="1"/>
  <c r="DJ468" i="1"/>
  <c r="DV486" i="1"/>
  <c r="EJ482" i="1"/>
  <c r="EL482" i="1"/>
  <c r="CL473" i="1"/>
  <c r="DR481" i="1"/>
  <c r="DV488" i="1"/>
  <c r="EW486" i="1"/>
  <c r="DN475" i="1"/>
  <c r="EM469" i="1"/>
  <c r="EC469" i="1"/>
  <c r="BO467" i="1"/>
  <c r="CG482" i="1"/>
  <c r="DT467" i="1"/>
  <c r="DK480" i="1"/>
  <c r="BO485" i="1"/>
  <c r="FK466" i="1"/>
  <c r="EI468" i="1"/>
  <c r="EH483" i="1"/>
  <c r="DW469" i="1"/>
  <c r="AQ487" i="1"/>
  <c r="CF467" i="1"/>
  <c r="Z487" i="1"/>
  <c r="BV485" i="1"/>
  <c r="ED468" i="1"/>
  <c r="FD481" i="1"/>
  <c r="DG485" i="1"/>
  <c r="DG470" i="1"/>
  <c r="AF477" i="1"/>
  <c r="CR481" i="1"/>
  <c r="DH476" i="1"/>
  <c r="BN485" i="1"/>
  <c r="EH475" i="1"/>
  <c r="BE467" i="1"/>
  <c r="DY468" i="1"/>
  <c r="CL481" i="1"/>
  <c r="CF484" i="1"/>
  <c r="AT473" i="1"/>
  <c r="CN485" i="1"/>
  <c r="BT472" i="1"/>
  <c r="EJ468" i="1"/>
  <c r="AE484" i="1"/>
  <c r="DS481" i="1"/>
  <c r="ED471" i="1"/>
  <c r="FD487" i="1"/>
  <c r="EB473" i="1"/>
  <c r="CY473" i="1"/>
  <c r="FG484" i="1"/>
  <c r="DT477" i="1"/>
  <c r="DK467" i="1"/>
  <c r="DU472" i="1"/>
  <c r="DM480" i="1"/>
  <c r="DG487" i="1"/>
  <c r="EI466" i="1"/>
  <c r="DV474" i="1"/>
  <c r="CL485" i="1"/>
  <c r="DW478" i="1"/>
  <c r="AW478" i="1"/>
  <c r="AO478" i="1"/>
  <c r="EY469" i="1"/>
  <c r="FC474" i="1"/>
  <c r="ET481" i="1"/>
  <c r="EL473" i="1"/>
  <c r="FE481" i="1"/>
  <c r="FE475" i="1"/>
  <c r="DX485" i="1"/>
  <c r="DX466" i="1"/>
  <c r="EI470" i="1"/>
  <c r="DW472" i="1"/>
  <c r="DX470" i="1"/>
  <c r="EA472" i="1"/>
  <c r="DU481" i="1"/>
  <c r="EL484" i="1"/>
  <c r="DN466" i="1"/>
  <c r="CC469" i="1"/>
  <c r="BQ478" i="1"/>
  <c r="DJ481" i="1"/>
  <c r="AG487" i="1"/>
  <c r="CO468" i="1"/>
  <c r="AH487" i="1"/>
  <c r="AM477" i="1"/>
  <c r="AK482" i="1"/>
  <c r="CS485" i="1"/>
  <c r="EF472" i="1"/>
  <c r="CR485" i="1"/>
  <c r="EX484" i="1"/>
  <c r="FD484" i="1"/>
  <c r="DR486" i="1"/>
  <c r="FF481" i="1"/>
  <c r="DJ476" i="1"/>
  <c r="CA479" i="1"/>
  <c r="Y484" i="1"/>
  <c r="BU488" i="1"/>
  <c r="EW470" i="1"/>
  <c r="DU483" i="1"/>
  <c r="CX485" i="1"/>
  <c r="EJ475" i="1"/>
  <c r="FG475" i="1"/>
  <c r="EM471" i="1"/>
  <c r="AD469" i="1"/>
  <c r="S485" i="1"/>
  <c r="EM468" i="1"/>
  <c r="AJ473" i="1"/>
  <c r="FC476" i="1"/>
  <c r="CD468" i="1"/>
  <c r="CL487" i="1"/>
  <c r="EK469" i="1"/>
  <c r="CY477" i="1"/>
  <c r="CG466" i="1"/>
  <c r="AF484" i="1"/>
  <c r="DV481" i="1"/>
  <c r="FH485" i="1"/>
  <c r="EU487" i="1"/>
  <c r="EK484" i="1"/>
  <c r="DW471" i="1"/>
  <c r="FC468" i="1"/>
  <c r="DV480" i="1"/>
  <c r="DS479" i="1"/>
  <c r="AK485" i="1"/>
  <c r="EH467" i="1"/>
  <c r="CO478" i="1"/>
  <c r="DG473" i="1"/>
  <c r="BM478" i="1"/>
  <c r="DS474" i="1"/>
  <c r="BK477" i="1"/>
  <c r="DS483" i="1"/>
  <c r="BC482" i="1"/>
  <c r="DX488" i="1"/>
  <c r="CC467" i="1"/>
  <c r="DO476" i="1"/>
  <c r="AQ473" i="1"/>
  <c r="FK477" i="1"/>
  <c r="FF468" i="1"/>
  <c r="DV472" i="1"/>
  <c r="BL485" i="1"/>
  <c r="EC476" i="1"/>
  <c r="DW470" i="1"/>
  <c r="DK471" i="1"/>
  <c r="EA470" i="1"/>
  <c r="CH473" i="1"/>
  <c r="BK473" i="1"/>
  <c r="CI482" i="1"/>
  <c r="CK473" i="1"/>
  <c r="EL479" i="1"/>
  <c r="CC482" i="1"/>
  <c r="DJ472" i="1"/>
  <c r="FF483" i="1"/>
  <c r="DR468" i="1"/>
  <c r="V478" i="1"/>
  <c r="EF481" i="1"/>
  <c r="EH482" i="1"/>
  <c r="DX486" i="1"/>
  <c r="DH466" i="1"/>
  <c r="BH485" i="1"/>
  <c r="CQ477" i="1"/>
  <c r="EG474" i="1"/>
  <c r="DH472" i="1"/>
  <c r="DH484" i="1"/>
  <c r="DG477" i="1"/>
  <c r="BM473" i="1"/>
  <c r="AN485" i="1"/>
  <c r="EA488" i="1"/>
  <c r="AA467" i="1"/>
  <c r="AT480" i="1"/>
  <c r="DO466" i="1"/>
  <c r="DQ469" i="1"/>
  <c r="FK469" i="1"/>
  <c r="DK475" i="1"/>
  <c r="DK474" i="1"/>
  <c r="DQ471" i="1"/>
  <c r="EK467" i="1"/>
  <c r="EE488" i="1"/>
  <c r="DV473" i="1"/>
  <c r="ED472" i="1"/>
  <c r="BS480" i="1"/>
  <c r="ED474" i="1"/>
  <c r="CE477" i="1"/>
  <c r="AK468" i="1"/>
  <c r="FH474" i="1"/>
  <c r="DU477" i="1"/>
  <c r="FD471" i="1"/>
  <c r="EJ467" i="1"/>
  <c r="AE468" i="1"/>
  <c r="CX487" i="1"/>
  <c r="AV472" i="1"/>
  <c r="DG466" i="1"/>
  <c r="BT477" i="1"/>
  <c r="EB467" i="1"/>
  <c r="EK470" i="1"/>
  <c r="BU467" i="1"/>
  <c r="AJ471" i="1"/>
  <c r="DC475" i="1"/>
  <c r="BK472" i="1"/>
  <c r="BS483" i="1"/>
  <c r="DK484" i="1"/>
  <c r="EG488" i="1"/>
  <c r="CC470" i="1"/>
  <c r="AX485" i="1"/>
  <c r="CN476" i="1"/>
  <c r="ET477" i="1"/>
  <c r="BZ482" i="1"/>
  <c r="EA479" i="1"/>
  <c r="FC469" i="1"/>
  <c r="DX482" i="1"/>
  <c r="BD478" i="1"/>
  <c r="EY477" i="1"/>
  <c r="EH480" i="1"/>
  <c r="DT475" i="1"/>
  <c r="BK488" i="1"/>
  <c r="CG473" i="1"/>
  <c r="DQ473" i="1"/>
  <c r="DO481" i="1"/>
  <c r="W482" i="1"/>
  <c r="EI476" i="1"/>
  <c r="BU473" i="1"/>
  <c r="FC488" i="1"/>
  <c r="DQ486" i="1"/>
  <c r="EX474" i="1"/>
  <c r="CC484" i="1"/>
  <c r="BQ485" i="1"/>
  <c r="FF466" i="1"/>
  <c r="BB485" i="1"/>
  <c r="AY485" i="1"/>
  <c r="FE485" i="1"/>
  <c r="DN474" i="1"/>
  <c r="DG486" i="1"/>
  <c r="DK486" i="1"/>
  <c r="DQ466" i="1"/>
  <c r="DH483" i="1"/>
  <c r="EI469" i="1"/>
  <c r="DK478" i="1"/>
  <c r="AJ485" i="1"/>
  <c r="DU469" i="1"/>
  <c r="FF469" i="1"/>
  <c r="EJ472" i="1"/>
  <c r="CD470" i="1"/>
  <c r="DD484" i="1"/>
  <c r="AT487" i="1"/>
  <c r="BW468" i="1"/>
  <c r="DT472" i="1"/>
  <c r="ED475" i="1"/>
  <c r="EJ479" i="1"/>
  <c r="DS484" i="1"/>
  <c r="EK468" i="1"/>
  <c r="EK482" i="1"/>
  <c r="CC468" i="1"/>
  <c r="DZ488" i="1"/>
  <c r="BP472" i="1"/>
  <c r="DZ475" i="1"/>
  <c r="EM479" i="1"/>
  <c r="CL488" i="1"/>
  <c r="EC485" i="1"/>
  <c r="AS487" i="1"/>
  <c r="EU475" i="1"/>
  <c r="CX473" i="1"/>
  <c r="AD487" i="1"/>
  <c r="EL477" i="1"/>
  <c r="EK477" i="1"/>
  <c r="AF485" i="1"/>
  <c r="DR477" i="1"/>
  <c r="EX481" i="1"/>
  <c r="AP485" i="1"/>
  <c r="CM467" i="1"/>
  <c r="AS472" i="1"/>
  <c r="BO468" i="1"/>
  <c r="AM481" i="1"/>
  <c r="CZ475" i="1"/>
  <c r="S481" i="1"/>
  <c r="BG466" i="1"/>
  <c r="DQ488" i="1"/>
  <c r="CR478" i="1"/>
  <c r="EU470" i="1"/>
  <c r="DJ478" i="1"/>
  <c r="Y473" i="1"/>
  <c r="FH475" i="1"/>
  <c r="DZ484" i="1"/>
  <c r="EC480" i="1"/>
  <c r="DM470" i="1"/>
  <c r="DJ483" i="1"/>
  <c r="EU468" i="1"/>
  <c r="DX483" i="1"/>
  <c r="CC473" i="1"/>
  <c r="CG485" i="1"/>
  <c r="EU482" i="1"/>
  <c r="FK471" i="1"/>
  <c r="DX468" i="1"/>
  <c r="EB477" i="1"/>
  <c r="DO479" i="1"/>
  <c r="EB481" i="1"/>
  <c r="EC475" i="1"/>
  <c r="CU482" i="1"/>
  <c r="EF487" i="1"/>
  <c r="BA478" i="1"/>
  <c r="X485" i="1"/>
  <c r="EE486" i="1"/>
  <c r="EW466" i="1"/>
  <c r="EI467" i="1"/>
  <c r="EM486" i="1"/>
  <c r="AH482" i="1"/>
  <c r="ED466" i="1"/>
  <c r="DY483" i="1"/>
  <c r="DO469" i="1"/>
  <c r="EH472" i="1"/>
  <c r="DT471" i="1"/>
  <c r="DD485" i="1"/>
  <c r="BD477" i="1"/>
  <c r="DD466" i="1"/>
  <c r="CG477" i="1"/>
  <c r="DM477" i="1"/>
  <c r="EK488" i="1"/>
  <c r="EE470" i="1"/>
  <c r="DN480" i="1"/>
  <c r="DG484" i="1"/>
  <c r="DO468" i="1"/>
  <c r="DA485" i="1"/>
  <c r="EB488" i="1"/>
  <c r="BF468" i="1"/>
  <c r="BH467" i="1"/>
  <c r="DO477" i="1"/>
  <c r="CX480" i="1"/>
  <c r="DK485" i="1"/>
  <c r="ET472" i="1"/>
  <c r="DO485" i="1"/>
  <c r="AR482" i="1"/>
  <c r="BV479" i="1"/>
  <c r="DV471" i="1"/>
  <c r="CO484" i="1"/>
  <c r="DQ484" i="1"/>
  <c r="BI477" i="1"/>
  <c r="AS481" i="1"/>
  <c r="CK477" i="1"/>
  <c r="BM485" i="1"/>
  <c r="CP486" i="1"/>
  <c r="AH468" i="1"/>
  <c r="BJ486" i="1"/>
  <c r="BK467" i="1"/>
  <c r="DU470" i="1"/>
  <c r="DV477" i="1"/>
  <c r="AA482" i="1"/>
  <c r="DO470" i="1"/>
  <c r="DV487" i="1"/>
  <c r="EY475" i="1"/>
  <c r="DH486" i="1"/>
  <c r="EY479" i="1"/>
  <c r="EG482" i="1"/>
  <c r="BR478" i="1"/>
  <c r="AI473" i="1"/>
  <c r="DV485" i="1"/>
  <c r="FF486" i="1"/>
  <c r="AZ485" i="1"/>
  <c r="DQ474" i="1"/>
  <c r="AT482" i="1"/>
  <c r="DK466" i="1"/>
  <c r="AF482" i="1"/>
  <c r="BR473" i="1"/>
  <c r="AW482" i="1"/>
  <c r="CZ478" i="1"/>
  <c r="DW484" i="1"/>
  <c r="FH481" i="1"/>
  <c r="DQ467" i="1"/>
  <c r="DT488" i="1"/>
  <c r="AV485" i="1"/>
  <c r="AI478" i="1"/>
  <c r="EB478" i="1"/>
  <c r="BT473" i="1"/>
  <c r="EB484" i="1"/>
  <c r="DS486" i="1"/>
  <c r="DY475" i="1"/>
  <c r="EK476" i="1"/>
  <c r="EK473" i="1"/>
  <c r="BU482" i="1"/>
  <c r="DU478" i="1"/>
  <c r="EF474" i="1"/>
  <c r="AD485" i="1"/>
  <c r="EW487" i="1"/>
  <c r="EG478" i="1"/>
  <c r="EH476" i="1"/>
  <c r="FG486" i="1"/>
  <c r="EH479" i="1"/>
  <c r="EJ488" i="1"/>
  <c r="DR484" i="1"/>
  <c r="EL474" i="1"/>
  <c r="AT467" i="1"/>
  <c r="DZ472" i="1"/>
  <c r="DR485" i="1"/>
  <c r="S469" i="1"/>
  <c r="CJ467" i="1"/>
  <c r="BI471" i="1"/>
  <c r="DA468" i="1"/>
  <c r="DW486" i="1"/>
  <c r="EK479" i="1"/>
  <c r="DZ487" i="1"/>
  <c r="DW480" i="1"/>
  <c r="EK486" i="1"/>
  <c r="EA468" i="1"/>
  <c r="DM485" i="1"/>
  <c r="DM469" i="1"/>
  <c r="DD487" i="1"/>
  <c r="AL467" i="1"/>
  <c r="EI486" i="1"/>
  <c r="CV487" i="1"/>
  <c r="DT466" i="1"/>
  <c r="AG485" i="1"/>
  <c r="DK469" i="1"/>
  <c r="DK477" i="1"/>
  <c r="BZ477" i="1"/>
  <c r="CE474" i="1"/>
  <c r="AF487" i="1"/>
  <c r="EB480" i="1"/>
  <c r="FF470" i="1"/>
  <c r="BB468" i="1"/>
  <c r="AO477" i="1"/>
  <c r="CC474" i="1"/>
  <c r="AJ477" i="1"/>
  <c r="DN484" i="1"/>
  <c r="DY467" i="1"/>
  <c r="BE476" i="1"/>
  <c r="DC478" i="1"/>
  <c r="CC479" i="1"/>
  <c r="CC481" i="1"/>
  <c r="EU473" i="1"/>
  <c r="FG488" i="1"/>
  <c r="EW472" i="1"/>
  <c r="EL476" i="1"/>
  <c r="DX474" i="1"/>
  <c r="DG475" i="1"/>
  <c r="DJ474" i="1"/>
  <c r="DY486" i="1"/>
  <c r="DU486" i="1"/>
  <c r="EJ481" i="1"/>
  <c r="EI478" i="1"/>
  <c r="ET486" i="1"/>
  <c r="FE466" i="1"/>
  <c r="EI485" i="1"/>
  <c r="CX482" i="1"/>
  <c r="BF473" i="1"/>
  <c r="DH473" i="1"/>
  <c r="DU468" i="1"/>
  <c r="DU487" i="1"/>
  <c r="DV482" i="1"/>
  <c r="BB473" i="1"/>
  <c r="EA482" i="1"/>
  <c r="DN467" i="1"/>
  <c r="DZ468" i="1"/>
  <c r="DT474" i="1"/>
  <c r="EK471" i="1"/>
  <c r="EG479" i="1"/>
  <c r="EF483" i="1"/>
  <c r="FH468" i="1"/>
  <c r="CD478" i="1"/>
  <c r="DJ475" i="1"/>
  <c r="AS485" i="1"/>
  <c r="DN469" i="1"/>
  <c r="DH487" i="1"/>
  <c r="EA467" i="1"/>
  <c r="FK488" i="1"/>
  <c r="CV485" i="1"/>
  <c r="DW482" i="1"/>
  <c r="DH478" i="1"/>
  <c r="DJ467" i="1"/>
  <c r="AE477" i="1"/>
  <c r="CS482" i="1"/>
  <c r="EI477" i="1"/>
  <c r="BU487" i="1"/>
  <c r="BT487" i="1"/>
  <c r="ET483" i="1"/>
  <c r="CC487" i="1"/>
  <c r="EA466" i="1"/>
  <c r="DU480" i="1"/>
  <c r="BS482" i="1"/>
  <c r="BI468" i="1"/>
  <c r="DX467" i="1"/>
  <c r="FE470" i="1"/>
  <c r="DV470" i="1"/>
  <c r="DJ470" i="1"/>
  <c r="CV481" i="1"/>
  <c r="CG488" i="1"/>
  <c r="AI486" i="1"/>
  <c r="DN470" i="1"/>
  <c r="DM484" i="1"/>
  <c r="DG488" i="1"/>
  <c r="DS477" i="1"/>
  <c r="CU467" i="1"/>
  <c r="CY487" i="1"/>
  <c r="FF467" i="1"/>
  <c r="EE477" i="1"/>
  <c r="DQ478" i="1"/>
  <c r="DN481" i="1"/>
  <c r="CX477" i="1"/>
  <c r="EK483" i="1"/>
  <c r="CN481" i="1"/>
  <c r="V477" i="1"/>
  <c r="DC487" i="1"/>
  <c r="CQ479" i="1"/>
  <c r="CJ483" i="1"/>
  <c r="DS488" i="1"/>
  <c r="DX487" i="1"/>
  <c r="CT485" i="1"/>
  <c r="CO467" i="1"/>
  <c r="AE485" i="1"/>
  <c r="BW467" i="1"/>
  <c r="BB477" i="1"/>
  <c r="BV478" i="1"/>
  <c r="BR468" i="1"/>
  <c r="CC483" i="1"/>
  <c r="EC481" i="1"/>
  <c r="DQ477" i="1"/>
  <c r="BL478" i="1"/>
  <c r="DS476" i="1"/>
  <c r="CG472" i="1"/>
  <c r="BF487" i="1"/>
  <c r="DG471" i="1"/>
  <c r="ET470" i="1"/>
  <c r="DR478" i="1"/>
  <c r="DX469" i="1"/>
  <c r="DD482" i="1"/>
  <c r="EI479" i="1"/>
  <c r="ED480" i="1"/>
  <c r="DC468" i="1"/>
  <c r="EE466" i="1"/>
  <c r="EL481" i="1"/>
  <c r="Z468" i="1"/>
  <c r="CW477" i="1"/>
  <c r="BD483" i="1"/>
  <c r="FC487" i="1"/>
  <c r="ED477" i="1"/>
  <c r="DW468" i="1"/>
  <c r="AG468" i="1"/>
  <c r="BU483" i="1"/>
  <c r="BL487" i="1"/>
  <c r="DB488" i="1"/>
  <c r="DC477" i="1"/>
  <c r="CO487" i="1"/>
  <c r="EM478" i="1"/>
  <c r="CP480" i="1"/>
  <c r="BX487" i="1"/>
  <c r="AD477" i="1"/>
  <c r="DE482" i="1"/>
  <c r="AP471" i="1"/>
  <c r="AF467" i="1"/>
  <c r="BV486" i="1"/>
  <c r="BI476" i="1"/>
  <c r="CK475" i="1"/>
  <c r="Z477" i="1"/>
  <c r="DC485" i="1"/>
  <c r="DB478" i="1"/>
  <c r="CX466" i="1"/>
  <c r="EL488" i="1"/>
  <c r="CT488" i="1"/>
  <c r="AS468" i="1"/>
  <c r="BH468" i="1"/>
  <c r="BR467" i="1"/>
  <c r="BG485" i="1"/>
  <c r="BS487" i="1"/>
  <c r="AH485" i="1"/>
  <c r="CP487" i="1"/>
  <c r="CX483" i="1"/>
  <c r="AN470" i="1"/>
  <c r="AY476" i="1"/>
  <c r="CF481" i="1"/>
  <c r="CE468" i="1"/>
  <c r="EG483" i="1"/>
  <c r="CG469" i="1"/>
  <c r="AV486" i="1"/>
  <c r="BE468" i="1"/>
  <c r="DQ475" i="1"/>
  <c r="CU468" i="1"/>
  <c r="AR481" i="1"/>
  <c r="CL477" i="1"/>
  <c r="DW475" i="1"/>
  <c r="BF483" i="1"/>
  <c r="AZ484" i="1"/>
  <c r="AI477" i="1"/>
  <c r="CO472" i="1"/>
  <c r="CO485" i="1"/>
  <c r="CX468" i="1"/>
  <c r="AF472" i="1"/>
  <c r="CD479" i="1"/>
  <c r="AY486" i="1"/>
  <c r="CS469" i="1"/>
  <c r="CL468" i="1"/>
  <c r="DG472" i="1"/>
  <c r="BF477" i="1"/>
  <c r="CN468" i="1"/>
  <c r="DK476" i="1"/>
  <c r="DU474" i="1"/>
  <c r="BN487" i="1"/>
  <c r="EL469" i="1"/>
  <c r="AV477" i="1"/>
  <c r="ET476" i="1"/>
  <c r="DY479" i="1"/>
  <c r="DQ482" i="1"/>
  <c r="AW485" i="1"/>
  <c r="EE469" i="1"/>
  <c r="BC477" i="1"/>
  <c r="EM474" i="1"/>
  <c r="EG480" i="1"/>
  <c r="DS480" i="1"/>
  <c r="EF473" i="1"/>
  <c r="AC485" i="1"/>
  <c r="EF468" i="1"/>
  <c r="CN482" i="1"/>
  <c r="DO471" i="1"/>
  <c r="CR487" i="1"/>
  <c r="AH477" i="1"/>
  <c r="AS473" i="1"/>
  <c r="BP487" i="1"/>
  <c r="DV479" i="1"/>
  <c r="FF477" i="1"/>
  <c r="DY472" i="1"/>
  <c r="DZ480" i="1"/>
  <c r="DH477" i="1"/>
  <c r="AX487" i="1"/>
  <c r="BS469" i="1"/>
  <c r="EH484" i="1"/>
  <c r="CV477" i="1"/>
  <c r="BZ475" i="1"/>
  <c r="BM487" i="1"/>
  <c r="DG476" i="1"/>
  <c r="CP477" i="1"/>
  <c r="DR474" i="1"/>
  <c r="BC485" i="1"/>
  <c r="CT487" i="1"/>
  <c r="DX476" i="1"/>
  <c r="EG466" i="1"/>
  <c r="CX472" i="1"/>
  <c r="AX483" i="1"/>
  <c r="AM468" i="1"/>
  <c r="AX468" i="1"/>
  <c r="EJ486" i="1"/>
  <c r="DS469" i="1"/>
  <c r="AV476" i="1"/>
  <c r="AV471" i="1"/>
  <c r="CS474" i="1"/>
  <c r="CU472" i="1"/>
  <c r="AH469" i="1"/>
  <c r="BJ468" i="1"/>
  <c r="BC487" i="1"/>
  <c r="CG476" i="1"/>
  <c r="AW477" i="1"/>
  <c r="AW468" i="1"/>
  <c r="BB475" i="1"/>
  <c r="CX471" i="1"/>
  <c r="AE481" i="1"/>
  <c r="AA474" i="1"/>
  <c r="BT468" i="1"/>
  <c r="CP468" i="1"/>
  <c r="EJ471" i="1"/>
  <c r="EM488" i="1"/>
  <c r="EL470" i="1"/>
  <c r="EJ487" i="1"/>
  <c r="BC484" i="1"/>
  <c r="BJ483" i="1"/>
  <c r="W469" i="1"/>
  <c r="AM466" i="1"/>
  <c r="EE483" i="1"/>
  <c r="AS477" i="1"/>
  <c r="DN479" i="1"/>
  <c r="BP477" i="1"/>
  <c r="BM470" i="1"/>
  <c r="CZ468" i="1"/>
  <c r="DE468" i="1"/>
  <c r="AS471" i="1"/>
  <c r="CI487" i="1"/>
  <c r="AV468" i="1"/>
  <c r="BS477" i="1"/>
  <c r="DB467" i="1"/>
  <c r="EE472" i="1"/>
  <c r="AW471" i="1"/>
  <c r="W467" i="1"/>
  <c r="AZ467" i="1"/>
  <c r="EJ477" i="1"/>
  <c r="EJ473" i="1"/>
  <c r="DT487" i="1"/>
  <c r="DH481" i="1"/>
  <c r="DK479" i="1"/>
  <c r="BD468" i="1"/>
  <c r="EL478" i="1"/>
  <c r="AJ468" i="1"/>
  <c r="X477" i="1"/>
  <c r="DH479" i="1"/>
  <c r="CP482" i="1"/>
  <c r="DA482" i="1"/>
  <c r="CE473" i="1"/>
  <c r="DN476" i="1"/>
  <c r="DJ488" i="1"/>
  <c r="EM476" i="1"/>
  <c r="DZ471" i="1"/>
  <c r="DV468" i="1"/>
  <c r="BO480" i="1"/>
  <c r="AS475" i="1"/>
  <c r="DR471" i="1"/>
  <c r="ED470" i="1"/>
  <c r="ED476" i="1"/>
  <c r="EH481" i="1"/>
  <c r="AV466" i="1"/>
  <c r="CZ488" i="1"/>
  <c r="BC469" i="1"/>
  <c r="BC468" i="1"/>
  <c r="EH488" i="1"/>
  <c r="BS485" i="1"/>
  <c r="Y482" i="1"/>
  <c r="CC472" i="1"/>
  <c r="AO467" i="1"/>
  <c r="BZ488" i="1"/>
  <c r="CM487" i="1"/>
  <c r="EM472" i="1"/>
  <c r="AV467" i="1"/>
  <c r="BG488" i="1"/>
  <c r="CW470" i="1"/>
  <c r="CS470" i="1"/>
  <c r="CD467" i="1"/>
  <c r="AJ476" i="1"/>
  <c r="AH488" i="1"/>
  <c r="EA487" i="1"/>
  <c r="AJ483" i="1"/>
  <c r="AP487" i="1"/>
  <c r="DQ487" i="1"/>
  <c r="AG477" i="1"/>
  <c r="BQ467" i="1"/>
  <c r="CK487" i="1"/>
  <c r="DB468" i="1"/>
  <c r="AL468" i="1"/>
  <c r="DE485" i="1"/>
  <c r="EC468" i="1"/>
  <c r="DD472" i="1"/>
  <c r="CS488" i="1"/>
  <c r="V472" i="1"/>
  <c r="CI477" i="1"/>
  <c r="EM466" i="1"/>
  <c r="FE483" i="1"/>
  <c r="DK488" i="1"/>
  <c r="BE477" i="1"/>
  <c r="CD487" i="1"/>
  <c r="DA484" i="1"/>
  <c r="CL472" i="1"/>
  <c r="CM484" i="1"/>
  <c r="DD483" i="1"/>
  <c r="DX481" i="1"/>
  <c r="BA472" i="1"/>
  <c r="DM474" i="1"/>
  <c r="BD487" i="1"/>
  <c r="S468" i="1"/>
  <c r="DM486" i="1"/>
  <c r="BJ487" i="1"/>
  <c r="AL474" i="1"/>
  <c r="AW484" i="1"/>
  <c r="DT480" i="1"/>
  <c r="DM472" i="1"/>
  <c r="AA487" i="1"/>
  <c r="BN472" i="1"/>
  <c r="CF487" i="1"/>
  <c r="BZ470" i="1"/>
  <c r="DH488" i="1"/>
  <c r="AC467" i="1"/>
  <c r="BX478" i="1"/>
  <c r="Y468" i="1"/>
  <c r="BN477" i="1"/>
  <c r="CU487" i="1"/>
  <c r="BW477" i="1"/>
  <c r="S478" i="1"/>
  <c r="DZ486" i="1"/>
  <c r="DQ480" i="1"/>
  <c r="EM467" i="1"/>
  <c r="CO471" i="1"/>
  <c r="CG479" i="1"/>
  <c r="CT468" i="1"/>
  <c r="DW487" i="1"/>
  <c r="AS482" i="1"/>
  <c r="DB482" i="1"/>
  <c r="DZ469" i="1"/>
  <c r="DC482" i="1"/>
  <c r="CJ476" i="1"/>
  <c r="EC477" i="1"/>
  <c r="BG487" i="1"/>
  <c r="DN485" i="1"/>
  <c r="DD469" i="1"/>
  <c r="CJ472" i="1"/>
  <c r="DU475" i="1"/>
  <c r="CO477" i="1"/>
  <c r="DK483" i="1"/>
  <c r="CT482" i="1"/>
  <c r="EH466" i="1"/>
  <c r="CT475" i="1"/>
  <c r="BB483" i="1"/>
  <c r="DY484" i="1"/>
  <c r="CH467" i="1"/>
  <c r="BD467" i="1"/>
  <c r="FC481" i="1"/>
  <c r="Y481" i="1"/>
  <c r="DC472" i="1"/>
  <c r="Y477" i="1"/>
  <c r="AI468" i="1"/>
  <c r="DW488" i="1"/>
  <c r="CG475" i="1"/>
  <c r="EB472" i="1"/>
  <c r="CS479" i="1"/>
  <c r="W475" i="1"/>
  <c r="DY466" i="1"/>
  <c r="DD468" i="1"/>
  <c r="Y487" i="1"/>
  <c r="DB479" i="1"/>
  <c r="BC467" i="1"/>
  <c r="AV481" i="1"/>
  <c r="EH486" i="1"/>
  <c r="AE467" i="1"/>
  <c r="BZ487" i="1"/>
  <c r="X488" i="1"/>
  <c r="CJ477" i="1"/>
  <c r="DJ471" i="1"/>
  <c r="CQ467" i="1"/>
  <c r="AK488" i="1"/>
  <c r="AC469" i="1"/>
  <c r="AO487" i="1"/>
  <c r="DV484" i="1"/>
  <c r="CH468" i="1"/>
  <c r="AR467" i="1"/>
  <c r="BP486" i="1"/>
  <c r="CG480" i="1"/>
  <c r="AA477" i="1"/>
  <c r="CU475" i="1"/>
  <c r="CA468" i="1"/>
  <c r="CF480" i="1"/>
  <c r="BX469" i="1"/>
  <c r="AK469" i="1"/>
  <c r="DX471" i="1"/>
  <c r="EG470" i="1"/>
  <c r="DY480" i="1"/>
  <c r="CD477" i="1"/>
  <c r="CF476" i="1"/>
  <c r="CJ488" i="1"/>
  <c r="DK470" i="1"/>
  <c r="CX476" i="1"/>
  <c r="AZ476" i="1"/>
  <c r="FG468" i="1"/>
  <c r="CM477" i="1"/>
  <c r="AZ472" i="1"/>
  <c r="DK472" i="1"/>
  <c r="BM468" i="1"/>
  <c r="CE487" i="1"/>
  <c r="AL487" i="1"/>
  <c r="DY471" i="1"/>
  <c r="BZ483" i="1"/>
  <c r="DY487" i="1"/>
  <c r="AK473" i="1"/>
  <c r="DO480" i="1"/>
  <c r="DR483" i="1"/>
  <c r="EU471" i="1"/>
  <c r="CN467" i="1"/>
  <c r="DA480" i="1"/>
  <c r="CZ477" i="1"/>
  <c r="EC471" i="1"/>
  <c r="BX472" i="1"/>
  <c r="FE471" i="1"/>
  <c r="EL480" i="1"/>
  <c r="FG472" i="1"/>
  <c r="EB466" i="1"/>
  <c r="DO484" i="1"/>
  <c r="FG466" i="1"/>
  <c r="AI467" i="1"/>
  <c r="CK471" i="1"/>
  <c r="CK484" i="1"/>
  <c r="BU468" i="1"/>
  <c r="CV467" i="1"/>
  <c r="DE473" i="1"/>
  <c r="AV474" i="1"/>
  <c r="CS467" i="1"/>
  <c r="AR468" i="1"/>
  <c r="CR467" i="1"/>
  <c r="S487" i="1"/>
  <c r="DC488" i="1"/>
  <c r="BJ476" i="1"/>
  <c r="BH488" i="1"/>
  <c r="DZ476" i="1"/>
  <c r="CL467" i="1"/>
  <c r="DE483" i="1"/>
  <c r="DH474" i="1"/>
  <c r="AZ487" i="1"/>
  <c r="DA487" i="1"/>
  <c r="CA475" i="1"/>
  <c r="DK468" i="1"/>
  <c r="EJ469" i="1"/>
  <c r="CQ476" i="1"/>
  <c r="EB475" i="1"/>
  <c r="BV487" i="1"/>
  <c r="CP469" i="1"/>
  <c r="DQ481" i="1"/>
  <c r="BN475" i="1"/>
  <c r="DE475" i="1"/>
  <c r="DE474" i="1"/>
  <c r="EB487" i="1"/>
  <c r="DO486" i="1"/>
  <c r="CM468" i="1"/>
  <c r="S467" i="1"/>
  <c r="CK468" i="1"/>
  <c r="CL483" i="1"/>
  <c r="AW467" i="1"/>
  <c r="BJ474" i="1"/>
  <c r="CG471" i="1"/>
  <c r="EJ476" i="1"/>
  <c r="BV488" i="1"/>
  <c r="S472" i="1"/>
  <c r="BZ472" i="1"/>
  <c r="BB487" i="1"/>
  <c r="EB469" i="1"/>
  <c r="AC477" i="1"/>
  <c r="AG488" i="1"/>
  <c r="CG481" i="1"/>
  <c r="CU481" i="1"/>
  <c r="BL469" i="1"/>
  <c r="EH468" i="1"/>
  <c r="AZ477" i="1"/>
  <c r="BC481" i="1"/>
  <c r="DH480" i="1"/>
  <c r="CI472" i="1"/>
  <c r="BI488" i="1"/>
  <c r="EI480" i="1"/>
  <c r="BZ486" i="1"/>
  <c r="EM482" i="1"/>
  <c r="CZ472" i="1"/>
  <c r="FF472" i="1"/>
  <c r="BL468" i="1"/>
  <c r="DW483" i="1"/>
  <c r="EC467" i="1"/>
  <c r="DS467" i="1"/>
  <c r="AV484" i="1"/>
  <c r="AC468" i="1"/>
  <c r="CP481" i="1"/>
  <c r="AV469" i="1"/>
  <c r="EE467" i="1"/>
  <c r="DS475" i="1"/>
  <c r="CA485" i="1"/>
  <c r="DJ486" i="1"/>
  <c r="EK466" i="1"/>
  <c r="BZ467" i="1"/>
  <c r="BW473" i="1"/>
  <c r="DT484" i="1"/>
  <c r="AB468" i="1"/>
  <c r="EC479" i="1"/>
  <c r="CA473" i="1"/>
  <c r="DT478" i="1"/>
  <c r="EY481" i="1"/>
  <c r="DR466" i="1"/>
  <c r="EG485" i="1"/>
  <c r="DV466" i="1"/>
  <c r="FE487" i="1"/>
  <c r="BO472" i="1"/>
  <c r="CK476" i="1"/>
  <c r="CT467" i="1"/>
  <c r="DQ476" i="1"/>
  <c r="BX477" i="1"/>
  <c r="AV483" i="1"/>
  <c r="BG468" i="1"/>
  <c r="AT478" i="1"/>
  <c r="EG486" i="1"/>
  <c r="EI481" i="1"/>
  <c r="CU477" i="1"/>
  <c r="CP483" i="1"/>
  <c r="AC466" i="1"/>
  <c r="EK472" i="1"/>
  <c r="AZ488" i="1"/>
  <c r="DD473" i="1"/>
  <c r="DV469" i="1"/>
  <c r="DE467" i="1"/>
  <c r="CH486" i="1"/>
  <c r="DJ469" i="1"/>
  <c r="DY485" i="1"/>
  <c r="BO477" i="1"/>
  <c r="CW487" i="1"/>
  <c r="EU480" i="1"/>
  <c r="BX473" i="1"/>
  <c r="CI467" i="1"/>
  <c r="BX485" i="1"/>
  <c r="CD484" i="1"/>
  <c r="CA469" i="1"/>
  <c r="BI483" i="1"/>
  <c r="DZ483" i="1"/>
  <c r="AN477" i="1"/>
  <c r="CS477" i="1"/>
  <c r="Y467" i="1"/>
  <c r="CV472" i="1"/>
  <c r="EK478" i="1"/>
  <c r="AG467" i="1"/>
  <c r="CD474" i="1"/>
  <c r="CT479" i="1"/>
  <c r="CL486" i="1"/>
  <c r="CH488" i="1"/>
  <c r="BS468" i="1"/>
  <c r="BW478" i="1"/>
  <c r="AQ467" i="1"/>
  <c r="AB477" i="1"/>
  <c r="BB467" i="1"/>
  <c r="AO479" i="1"/>
  <c r="BJ488" i="1"/>
  <c r="BX483" i="1"/>
  <c r="V467" i="1"/>
  <c r="DG479" i="1"/>
  <c r="EA469" i="1"/>
  <c r="DC473" i="1"/>
  <c r="EM477" i="1"/>
  <c r="EC484" i="1"/>
  <c r="EE484" i="1"/>
  <c r="CG486" i="1"/>
  <c r="EL467" i="1"/>
  <c r="CQ469" i="1"/>
  <c r="BW481" i="1"/>
  <c r="CT478" i="1"/>
  <c r="EG484" i="1"/>
  <c r="CZ485" i="1"/>
  <c r="AF473" i="1"/>
  <c r="EE475" i="1"/>
  <c r="EW475" i="1"/>
  <c r="X468" i="1"/>
  <c r="CP471" i="1"/>
  <c r="EM481" i="1"/>
  <c r="AW469" i="1"/>
  <c r="CR469" i="1"/>
  <c r="DJ482" i="1"/>
  <c r="DZ481" i="1"/>
  <c r="FH469" i="1"/>
  <c r="FG482" i="1"/>
  <c r="DW479" i="1"/>
  <c r="CO480" i="1"/>
  <c r="AP477" i="1"/>
  <c r="AV475" i="1"/>
  <c r="BH474" i="1"/>
  <c r="CA476" i="1"/>
  <c r="CA472" i="1"/>
  <c r="EC486" i="1"/>
  <c r="EM483" i="1"/>
  <c r="BZ471" i="1"/>
  <c r="BQ468" i="1"/>
  <c r="BP467" i="1"/>
  <c r="DB473" i="1"/>
  <c r="BP466" i="1"/>
  <c r="AP488" i="1"/>
  <c r="CZ474" i="1"/>
  <c r="EK474" i="1"/>
  <c r="BO484" i="1"/>
  <c r="BA477" i="1"/>
  <c r="BJ477" i="1"/>
  <c r="CK467" i="1"/>
  <c r="DA467" i="1"/>
  <c r="AD467" i="1"/>
  <c r="CJ468" i="1"/>
  <c r="BZ476" i="1"/>
  <c r="DK487" i="1"/>
  <c r="DX479" i="1"/>
  <c r="AC481" i="1"/>
  <c r="EI472" i="1"/>
  <c r="CL475" i="1"/>
  <c r="BK487" i="1"/>
  <c r="BF469" i="1"/>
  <c r="CV488" i="1"/>
  <c r="ET480" i="1"/>
  <c r="BQ487" i="1"/>
  <c r="BK468" i="1"/>
  <c r="BW482" i="1"/>
  <c r="BI472" i="1"/>
  <c r="EG467" i="1"/>
  <c r="AE466" i="1"/>
  <c r="X466" i="1"/>
  <c r="AX471" i="1"/>
  <c r="BN469" i="1"/>
  <c r="BW476" i="1"/>
  <c r="X487" i="1"/>
  <c r="CN486" i="1"/>
  <c r="BF467" i="1"/>
  <c r="BA469" i="1"/>
  <c r="CW486" i="1"/>
  <c r="DV467" i="1"/>
  <c r="BV472" i="1"/>
  <c r="BV484" i="1"/>
  <c r="CV483" i="1"/>
  <c r="CG467" i="1"/>
  <c r="BR487" i="1"/>
  <c r="BU472" i="1"/>
  <c r="CU474" i="1"/>
  <c r="DE481" i="1"/>
  <c r="AC470" i="1"/>
  <c r="AW466" i="1"/>
  <c r="CM482" i="1"/>
  <c r="AX467" i="1"/>
  <c r="EU472" i="1"/>
  <c r="DD488" i="1"/>
  <c r="BA467" i="1"/>
  <c r="EL485" i="1"/>
  <c r="FC479" i="1"/>
  <c r="BH484" i="1"/>
  <c r="BS484" i="1"/>
  <c r="BV473" i="1"/>
  <c r="BW471" i="1"/>
  <c r="BT471" i="1"/>
  <c r="AH483" i="1"/>
  <c r="CY474" i="1"/>
  <c r="CV469" i="1"/>
  <c r="AA481" i="1"/>
  <c r="AR472" i="1"/>
  <c r="FK482" i="1"/>
  <c r="AP481" i="1"/>
  <c r="AS486" i="1"/>
  <c r="AA484" i="1"/>
  <c r="CK480" i="1"/>
  <c r="CM475" i="1"/>
  <c r="AG479" i="1"/>
  <c r="CA477" i="1"/>
  <c r="AP468" i="1"/>
  <c r="CR476" i="1"/>
  <c r="DE470" i="1"/>
  <c r="AQ483" i="1"/>
  <c r="W481" i="1"/>
  <c r="CS466" i="1"/>
  <c r="DA472" i="1"/>
  <c r="BE487" i="1"/>
  <c r="BZ466" i="1"/>
  <c r="BN471" i="1"/>
  <c r="AI475" i="1"/>
  <c r="BW466" i="1"/>
  <c r="CI476" i="1"/>
  <c r="BA474" i="1"/>
  <c r="BO481" i="1"/>
  <c r="BL470" i="1"/>
  <c r="AD488" i="1"/>
  <c r="BS467" i="1"/>
  <c r="BB488" i="1"/>
  <c r="BL481" i="1"/>
  <c r="AZ479" i="1"/>
  <c r="AP474" i="1"/>
  <c r="BD470" i="1"/>
  <c r="BE472" i="1"/>
  <c r="BE466" i="1"/>
  <c r="CN472" i="1"/>
  <c r="CF475" i="1"/>
  <c r="BU481" i="1"/>
  <c r="AJ472" i="1"/>
  <c r="AQ466" i="1"/>
  <c r="CX481" i="1"/>
  <c r="AB466" i="1"/>
  <c r="BO487" i="1"/>
  <c r="BW472" i="1"/>
  <c r="AV480" i="1"/>
  <c r="AQ488" i="1"/>
  <c r="CD472" i="1"/>
  <c r="CT477" i="1"/>
  <c r="CV484" i="1"/>
  <c r="AO472" i="1"/>
  <c r="BK475" i="1"/>
  <c r="AM486" i="1"/>
  <c r="DW467" i="1"/>
  <c r="AJ480" i="1"/>
  <c r="AQ472" i="1"/>
  <c r="BS475" i="1"/>
  <c r="BI480" i="1"/>
  <c r="AE483" i="1"/>
  <c r="DD475" i="1"/>
  <c r="BG486" i="1"/>
  <c r="Z479" i="1"/>
  <c r="DA475" i="1"/>
  <c r="AQ484" i="1"/>
  <c r="BE485" i="1"/>
  <c r="CG484" i="1"/>
  <c r="X467" i="1"/>
  <c r="CT480" i="1"/>
  <c r="AH471" i="1"/>
  <c r="AJ467" i="1"/>
  <c r="AB481" i="1"/>
  <c r="AP470" i="1"/>
  <c r="X470" i="1"/>
  <c r="BT467" i="1"/>
  <c r="AH484" i="1"/>
  <c r="AG469" i="1"/>
  <c r="CG468" i="1"/>
  <c r="Y472" i="1"/>
  <c r="CQ486" i="1"/>
  <c r="AR487" i="1"/>
  <c r="BX488" i="1"/>
  <c r="DA477" i="1"/>
  <c r="CW479" i="1"/>
  <c r="AH475" i="1"/>
  <c r="CS480" i="1"/>
  <c r="Z476" i="1"/>
  <c r="BP474" i="1"/>
  <c r="AJ484" i="1"/>
  <c r="BQ481" i="1"/>
  <c r="BT469" i="1"/>
  <c r="BQ486" i="1"/>
  <c r="CP485" i="1"/>
  <c r="BB481" i="1"/>
  <c r="BO466" i="1"/>
  <c r="CQ470" i="1"/>
  <c r="AD466" i="1"/>
  <c r="BF474" i="1"/>
  <c r="CU469" i="1"/>
  <c r="AC487" i="1"/>
  <c r="AB467" i="1"/>
  <c r="BM484" i="1"/>
  <c r="S473" i="1"/>
  <c r="AC488" i="1"/>
  <c r="BD474" i="1"/>
  <c r="BD475" i="1"/>
  <c r="AI483" i="1"/>
  <c r="AW481" i="1"/>
  <c r="BO483" i="1"/>
  <c r="CG483" i="1"/>
  <c r="AX486" i="1"/>
  <c r="AR486" i="1"/>
  <c r="AY466" i="1"/>
  <c r="DB481" i="1"/>
  <c r="V469" i="1"/>
  <c r="S483" i="1"/>
  <c r="CM472" i="1"/>
  <c r="AM488" i="1"/>
  <c r="AX488" i="1"/>
  <c r="BP481" i="1"/>
  <c r="AN472" i="1"/>
  <c r="AY474" i="1"/>
  <c r="AZ468" i="1"/>
  <c r="AY488" i="1"/>
  <c r="BA480" i="1"/>
  <c r="BS470" i="1"/>
  <c r="BJ469" i="1"/>
  <c r="BV469" i="1"/>
  <c r="BT481" i="1"/>
  <c r="DA488" i="1"/>
  <c r="BX480" i="1"/>
  <c r="BR471" i="1"/>
  <c r="CZ467" i="1"/>
  <c r="BG472" i="1"/>
  <c r="W488" i="1"/>
  <c r="AL479" i="1"/>
  <c r="DA486" i="1"/>
  <c r="BQ477" i="1"/>
  <c r="S474" i="1"/>
  <c r="DE488" i="1"/>
  <c r="DB480" i="1"/>
  <c r="BZ468" i="1"/>
  <c r="AN467" i="1"/>
  <c r="AV487" i="1"/>
  <c r="CE483" i="1"/>
  <c r="V483" i="1"/>
  <c r="EK475" i="1"/>
  <c r="S477" i="1"/>
  <c r="AS478" i="1"/>
  <c r="CQ483" i="1"/>
  <c r="DB477" i="1"/>
  <c r="CC476" i="1"/>
  <c r="BL467" i="1"/>
  <c r="BD469" i="1"/>
  <c r="BO471" i="1"/>
  <c r="AV470" i="1"/>
  <c r="BJ481" i="1"/>
  <c r="AE472" i="1"/>
  <c r="AR488" i="1"/>
  <c r="BU466" i="1"/>
  <c r="BR481" i="1"/>
  <c r="CO488" i="1"/>
  <c r="AM467" i="1"/>
  <c r="DB470" i="1"/>
  <c r="BP480" i="1"/>
  <c r="EM484" i="1"/>
  <c r="AQ476" i="1"/>
  <c r="DA483" i="1"/>
  <c r="CM488" i="1"/>
  <c r="CX479" i="1"/>
  <c r="CT466" i="1"/>
  <c r="BN488" i="1"/>
  <c r="AL466" i="1"/>
  <c r="CG474" i="1"/>
  <c r="CP475" i="1"/>
  <c r="CX484" i="1"/>
  <c r="CV486" i="1"/>
  <c r="DH475" i="1"/>
  <c r="BO470" i="1"/>
  <c r="CZ481" i="1"/>
  <c r="DC480" i="1"/>
  <c r="AO488" i="1"/>
  <c r="BM474" i="1"/>
  <c r="CH487" i="1"/>
  <c r="BM488" i="1"/>
  <c r="DB485" i="1"/>
  <c r="AQ474" i="1"/>
  <c r="DA466" i="1"/>
  <c r="AP486" i="1"/>
  <c r="AP476" i="1"/>
  <c r="BU479" i="1"/>
  <c r="BG477" i="1"/>
  <c r="BS466" i="1"/>
  <c r="BE483" i="1"/>
  <c r="BH477" i="1"/>
  <c r="CI466" i="1"/>
  <c r="CP470" i="1"/>
  <c r="CD486" i="1"/>
  <c r="AW475" i="1"/>
  <c r="CE467" i="1"/>
  <c r="CN487" i="1"/>
  <c r="CV479" i="1"/>
  <c r="AT470" i="1"/>
  <c r="CG470" i="1"/>
  <c r="AO470" i="1"/>
  <c r="BU475" i="1"/>
  <c r="BZ479" i="1"/>
  <c r="AA472" i="1"/>
  <c r="BT475" i="1"/>
  <c r="CQ481" i="1"/>
  <c r="AG486" i="1"/>
  <c r="Y476" i="1"/>
  <c r="CO466" i="1"/>
  <c r="CH474" i="1"/>
  <c r="CJ470" i="1"/>
  <c r="CQ484" i="1"/>
  <c r="BC472" i="1"/>
  <c r="AB470" i="1"/>
  <c r="AL471" i="1"/>
  <c r="AO466" i="1"/>
  <c r="AK484" i="1"/>
  <c r="CF477" i="1"/>
  <c r="BM477" i="1"/>
  <c r="CY468" i="1"/>
  <c r="BP468" i="1"/>
  <c r="CP467" i="1"/>
  <c r="CZ466" i="1"/>
  <c r="CY483" i="1"/>
  <c r="Z481" i="1"/>
  <c r="BH487" i="1"/>
  <c r="CX469" i="1"/>
  <c r="AF468" i="1"/>
  <c r="AK487" i="1"/>
  <c r="CR477" i="1"/>
  <c r="ED467" i="1"/>
  <c r="DE477" i="1"/>
  <c r="BZ474" i="1"/>
  <c r="CV474" i="1"/>
  <c r="DA471" i="1"/>
  <c r="CI469" i="1"/>
  <c r="CY470" i="1"/>
  <c r="BX471" i="1"/>
  <c r="CK472" i="1"/>
  <c r="AK467" i="1"/>
  <c r="BR484" i="1"/>
  <c r="AW479" i="1"/>
  <c r="BJ471" i="1"/>
  <c r="BH479" i="1"/>
  <c r="BQ470" i="1"/>
  <c r="AM472" i="1"/>
  <c r="AA488" i="1"/>
  <c r="CD488" i="1"/>
  <c r="S488" i="1"/>
  <c r="CF488" i="1"/>
  <c r="BG476" i="1"/>
  <c r="BL480" i="1"/>
  <c r="DD486" i="1"/>
  <c r="EH471" i="1"/>
  <c r="AT468" i="1"/>
  <c r="X479" i="1"/>
  <c r="DA476" i="1"/>
  <c r="BE484" i="1"/>
  <c r="Z471" i="1"/>
  <c r="V474" i="1"/>
  <c r="BX476" i="1"/>
  <c r="AO483" i="1"/>
  <c r="CY469" i="1"/>
  <c r="DS472" i="1"/>
  <c r="AX470" i="1"/>
  <c r="CJ469" i="1"/>
  <c r="CS481" i="1"/>
  <c r="CY476" i="1"/>
  <c r="BV466" i="1"/>
  <c r="BQ479" i="1"/>
  <c r="CI480" i="1"/>
  <c r="CT470" i="1"/>
  <c r="AA466" i="1"/>
  <c r="DE471" i="1"/>
  <c r="BX467" i="1"/>
  <c r="CV466" i="1"/>
  <c r="AD474" i="1"/>
  <c r="CQ475" i="1"/>
  <c r="DD479" i="1"/>
  <c r="DX480" i="1"/>
  <c r="AY470" i="1"/>
  <c r="BH481" i="1"/>
  <c r="DB476" i="1"/>
  <c r="BA488" i="1"/>
  <c r="Z472" i="1"/>
  <c r="AR469" i="1"/>
  <c r="BL483" i="1"/>
  <c r="DA474" i="1"/>
  <c r="AI480" i="1"/>
  <c r="AS488" i="1"/>
  <c r="CE488" i="1"/>
  <c r="BL484" i="1"/>
  <c r="BW474" i="1"/>
  <c r="AE469" i="1"/>
  <c r="AT469" i="1"/>
  <c r="CU476" i="1"/>
  <c r="CR474" i="1"/>
  <c r="S484" i="1"/>
  <c r="CA471" i="1"/>
  <c r="AA469" i="1"/>
  <c r="CF471" i="1"/>
  <c r="AI470" i="1"/>
  <c r="BR477" i="1"/>
  <c r="BG467" i="1"/>
  <c r="BZ469" i="1"/>
  <c r="DB487" i="1"/>
  <c r="DR467" i="1"/>
  <c r="BM486" i="1"/>
  <c r="AL472" i="1"/>
  <c r="CH480" i="1"/>
  <c r="CX474" i="1"/>
  <c r="BE488" i="1"/>
  <c r="V487" i="1"/>
  <c r="DE487" i="1"/>
  <c r="AE487" i="1"/>
  <c r="V470" i="1"/>
  <c r="AY477" i="1"/>
  <c r="CK483" i="1"/>
  <c r="AP484" i="1"/>
  <c r="CI475" i="1"/>
  <c r="AN487" i="1"/>
  <c r="CE486" i="1"/>
  <c r="AE471" i="1"/>
  <c r="CZ484" i="1"/>
  <c r="CW474" i="1"/>
  <c r="AC472" i="1"/>
  <c r="CE470" i="1"/>
  <c r="BT483" i="1"/>
  <c r="EG481" i="1"/>
  <c r="CH479" i="1"/>
  <c r="Z488" i="1"/>
  <c r="AS469" i="1"/>
  <c r="AL481" i="1"/>
  <c r="CT471" i="1"/>
  <c r="CQ471" i="1"/>
  <c r="BN467" i="1"/>
  <c r="BX466" i="1"/>
  <c r="DC476" i="1"/>
  <c r="AY467" i="1"/>
  <c r="AJ488" i="1"/>
  <c r="BM467" i="1"/>
  <c r="AX484" i="1"/>
  <c r="CQ480" i="1"/>
  <c r="CE484" i="1"/>
  <c r="CS471" i="1"/>
  <c r="CQ472" i="1"/>
  <c r="AF481" i="1"/>
  <c r="CF474" i="1"/>
  <c r="CS468" i="1"/>
  <c r="BE481" i="1"/>
  <c r="AQ477" i="1"/>
  <c r="BC474" i="1"/>
  <c r="AR475" i="1"/>
  <c r="AO468" i="1"/>
  <c r="CU483" i="1"/>
  <c r="CA481" i="1"/>
  <c r="AH486" i="1"/>
  <c r="CK466" i="1"/>
  <c r="BV480" i="1"/>
  <c r="EA481" i="1"/>
  <c r="BL476" i="1"/>
  <c r="CI486" i="1"/>
  <c r="BT484" i="1"/>
  <c r="AZ471" i="1"/>
  <c r="BW469" i="1"/>
  <c r="AR474" i="1"/>
  <c r="AA479" i="1"/>
  <c r="W468" i="1"/>
  <c r="CX467" i="1"/>
  <c r="AO481" i="1"/>
  <c r="AR473" i="1"/>
  <c r="BV481" i="1"/>
  <c r="AH467" i="1"/>
  <c r="CW466" i="1"/>
  <c r="V481" i="1"/>
  <c r="CR484" i="1"/>
  <c r="BN476" i="1"/>
  <c r="DY469" i="1"/>
  <c r="BD488" i="1"/>
  <c r="CZ476" i="1"/>
  <c r="BM472" i="1"/>
  <c r="AE488" i="1"/>
  <c r="CF468" i="1"/>
  <c r="CN474" i="1"/>
  <c r="AY480" i="1"/>
  <c r="CK481" i="1"/>
  <c r="CQ488" i="1"/>
  <c r="CP476" i="1"/>
  <c r="BH469" i="1"/>
  <c r="CM486" i="1"/>
  <c r="AG466" i="1"/>
  <c r="AY468" i="1"/>
  <c r="CR468" i="1"/>
  <c r="CC486" i="1"/>
  <c r="W487" i="1"/>
  <c r="CW467" i="1"/>
  <c r="W477" i="1"/>
  <c r="AR471" i="1"/>
  <c r="CU488" i="1"/>
  <c r="CQ487" i="1"/>
  <c r="AC480" i="1"/>
  <c r="V468" i="1"/>
  <c r="BP488" i="1"/>
  <c r="Y483" i="1"/>
  <c r="BV477" i="1"/>
  <c r="CV468" i="1"/>
  <c r="Y469" i="1"/>
  <c r="CN475" i="1"/>
  <c r="CQ468" i="1"/>
  <c r="AZ475" i="1"/>
  <c r="AL484" i="1"/>
  <c r="CS475" i="1"/>
  <c r="CV470" i="1"/>
  <c r="BF472" i="1"/>
  <c r="CL470" i="1"/>
  <c r="BE470" i="1"/>
  <c r="BC488" i="1"/>
  <c r="BE471" i="1"/>
  <c r="BX481" i="1"/>
  <c r="AW488" i="1"/>
  <c r="AY472" i="1"/>
  <c r="BD472" i="1"/>
  <c r="CQ474" i="1"/>
  <c r="CI470" i="1"/>
  <c r="AX477" i="1"/>
  <c r="AM476" i="1"/>
  <c r="CU479" i="1"/>
  <c r="EC466" i="1"/>
  <c r="AT488" i="1"/>
  <c r="AX475" i="1"/>
  <c r="BL479" i="1"/>
  <c r="X481" i="1"/>
  <c r="S476" i="1"/>
  <c r="AP472" i="1"/>
  <c r="AY484" i="1"/>
  <c r="BG480" i="1"/>
  <c r="AD486" i="1"/>
  <c r="AY469" i="1"/>
  <c r="AN475" i="1"/>
  <c r="CJ481" i="1"/>
  <c r="CX475" i="1"/>
  <c r="AB483" i="1"/>
  <c r="CX488" i="1"/>
  <c r="CN484" i="1"/>
  <c r="BI484" i="1"/>
  <c r="CI488" i="1"/>
  <c r="ET475" i="1"/>
  <c r="DA470" i="1"/>
  <c r="CS484" i="1"/>
  <c r="AF469" i="1"/>
  <c r="BF479" i="1"/>
  <c r="CU480" i="1"/>
  <c r="CW475" i="1"/>
  <c r="AM487" i="1"/>
  <c r="V488" i="1"/>
  <c r="CY486" i="1"/>
  <c r="CN469" i="1"/>
  <c r="AN471" i="1"/>
  <c r="AX481" i="1"/>
  <c r="DC483" i="1"/>
  <c r="DC484" i="1"/>
  <c r="BC486" i="1"/>
  <c r="AD476" i="1"/>
  <c r="Y486" i="1"/>
  <c r="BL486" i="1"/>
  <c r="CT469" i="1"/>
  <c r="AD483" i="1"/>
  <c r="CE479" i="1"/>
  <c r="DW476" i="1"/>
  <c r="AK477" i="1"/>
  <c r="BK481" i="1"/>
  <c r="CL474" i="1"/>
  <c r="BE469" i="1"/>
  <c r="EL487" i="1"/>
  <c r="DS466" i="1"/>
  <c r="AW487" i="1"/>
  <c r="AQ468" i="1"/>
  <c r="BW487" i="1"/>
  <c r="DJ484" i="1"/>
  <c r="BJ466" i="1"/>
  <c r="CW476" i="1"/>
  <c r="CI483" i="1"/>
  <c r="CF469" i="1"/>
  <c r="AD470" i="1"/>
  <c r="CT484" i="1"/>
  <c r="CT481" i="1"/>
  <c r="BQ476" i="1"/>
  <c r="AD481" i="1"/>
  <c r="BG483" i="1"/>
  <c r="DD467" i="1"/>
  <c r="BA487" i="1"/>
  <c r="BQ469" i="1"/>
  <c r="AB472" i="1"/>
  <c r="BS488" i="1"/>
  <c r="CZ479" i="1"/>
  <c r="AJ481" i="1"/>
  <c r="CJ466" i="1"/>
  <c r="BN484" i="1"/>
  <c r="AQ481" i="1"/>
  <c r="DA481" i="1"/>
  <c r="CN477" i="1"/>
  <c r="CA488" i="1"/>
  <c r="CF472" i="1"/>
  <c r="AW472" i="1"/>
  <c r="CL469" i="1"/>
  <c r="BU486" i="1"/>
  <c r="CR471" i="1"/>
  <c r="BX474" i="1"/>
  <c r="BO474" i="1"/>
  <c r="DD476" i="1"/>
  <c r="DM483" i="1"/>
  <c r="CW480" i="1"/>
  <c r="AW476" i="1"/>
  <c r="CY472" i="1"/>
  <c r="CN479" i="1"/>
  <c r="DD481" i="1"/>
  <c r="CR488" i="1"/>
  <c r="AA470" i="1"/>
  <c r="CJ475" i="1"/>
  <c r="BU484" i="1"/>
  <c r="AZ466" i="1"/>
  <c r="CR480" i="1"/>
  <c r="CP472" i="1"/>
  <c r="BO475" i="1"/>
  <c r="AD475" i="1"/>
  <c r="BR466" i="1"/>
  <c r="EM485" i="1"/>
  <c r="BO469" i="1"/>
  <c r="BF481" i="1"/>
  <c r="DG483" i="1"/>
  <c r="W476" i="1"/>
  <c r="AN488" i="1"/>
  <c r="AQ479" i="1"/>
  <c r="AL477" i="1"/>
  <c r="CY484" i="1"/>
  <c r="BR486" i="1"/>
  <c r="AR483" i="1"/>
  <c r="AT466" i="1"/>
  <c r="CZ480" i="1"/>
  <c r="BZ481" i="1"/>
  <c r="X480" i="1"/>
  <c r="AN466" i="1"/>
  <c r="DU476" i="1"/>
  <c r="CS487" i="1"/>
  <c r="CV480" i="1"/>
  <c r="BE475" i="1"/>
  <c r="AC483" i="1"/>
  <c r="BW483" i="1"/>
  <c r="AO474" i="1"/>
  <c r="BP476" i="1"/>
  <c r="DY488" i="1"/>
  <c r="AN469" i="1"/>
  <c r="CA487" i="1"/>
  <c r="FD469" i="1"/>
  <c r="BL477" i="1"/>
  <c r="AN468" i="1"/>
  <c r="EM480" i="1"/>
  <c r="AJ487" i="1"/>
  <c r="DC469" i="1"/>
  <c r="CW471" i="1"/>
  <c r="CE480" i="1"/>
  <c r="BF484" i="1"/>
  <c r="AE479" i="1"/>
  <c r="BS481" i="1"/>
  <c r="AV479" i="1"/>
  <c r="AQ470" i="1"/>
  <c r="DB474" i="1"/>
  <c r="AR478" i="1"/>
  <c r="CO481" i="1"/>
  <c r="CV471" i="1"/>
  <c r="AZ469" i="1"/>
  <c r="AZ480" i="1"/>
  <c r="CK474" i="1"/>
  <c r="DA469" i="1"/>
  <c r="AS467" i="1"/>
  <c r="BV467" i="1"/>
  <c r="CF483" i="1"/>
  <c r="BH475" i="1"/>
  <c r="AF480" i="1"/>
  <c r="BZ480" i="1"/>
  <c r="AQ475" i="1"/>
  <c r="CM483" i="1"/>
  <c r="BO476" i="1"/>
  <c r="BS474" i="1"/>
  <c r="AN484" i="1"/>
  <c r="CT474" i="1"/>
  <c r="Y479" i="1"/>
  <c r="BN480" i="1"/>
  <c r="CH484" i="1"/>
  <c r="EB468" i="1"/>
  <c r="CY488" i="1"/>
  <c r="BT474" i="1"/>
  <c r="DB472" i="1"/>
  <c r="CZ483" i="1"/>
  <c r="AC479" i="1"/>
  <c r="CL466" i="1"/>
  <c r="AP483" i="1"/>
  <c r="CL471" i="1"/>
  <c r="X484" i="1"/>
  <c r="AW470" i="1"/>
  <c r="AB476" i="1"/>
  <c r="BS486" i="1"/>
  <c r="AK486" i="1"/>
  <c r="BN470" i="1"/>
  <c r="DD480" i="1"/>
  <c r="BK466" i="1"/>
  <c r="AA468" i="1"/>
  <c r="AY487" i="1"/>
  <c r="DM466" i="1"/>
  <c r="CG487" i="1"/>
  <c r="CW488" i="1"/>
  <c r="AN480" i="1"/>
  <c r="CR466" i="1"/>
  <c r="CI479" i="1"/>
  <c r="CI484" i="1"/>
  <c r="AL469" i="1"/>
  <c r="CK479" i="1"/>
  <c r="CV476" i="1"/>
  <c r="AP467" i="1"/>
  <c r="AD468" i="1"/>
  <c r="CY481" i="1"/>
  <c r="BP469" i="1"/>
  <c r="BR488" i="1"/>
  <c r="AQ469" i="1"/>
  <c r="BX468" i="1"/>
  <c r="S480" i="1"/>
  <c r="CH477" i="1"/>
  <c r="AA476" i="1"/>
  <c r="DD474" i="1"/>
  <c r="BX486" i="1"/>
  <c r="BA466" i="1"/>
  <c r="AK479" i="1"/>
  <c r="BP471" i="1"/>
  <c r="AE480" i="1"/>
  <c r="BL471" i="1"/>
  <c r="AE476" i="1"/>
  <c r="CA483" i="1"/>
  <c r="CR486" i="1"/>
  <c r="AL486" i="1"/>
  <c r="BF480" i="1"/>
  <c r="AL476" i="1"/>
  <c r="BK471" i="1"/>
  <c r="AH466" i="1"/>
  <c r="CA484" i="1"/>
  <c r="AT481" i="1"/>
  <c r="CV475" i="1"/>
  <c r="BB479" i="1"/>
  <c r="AO484" i="1"/>
  <c r="BB469" i="1"/>
  <c r="DE476" i="1"/>
  <c r="CH466" i="1"/>
  <c r="CI481" i="1"/>
  <c r="AZ483" i="1"/>
  <c r="BL488" i="1"/>
  <c r="AB474" i="1"/>
  <c r="CD475" i="1"/>
  <c r="BT488" i="1"/>
  <c r="AI476" i="1"/>
  <c r="BM483" i="1"/>
  <c r="AK470" i="1"/>
  <c r="S466" i="1"/>
  <c r="AJ474" i="1"/>
  <c r="AC474" i="1"/>
  <c r="AS476" i="1"/>
  <c r="CY480" i="1"/>
  <c r="BK480" i="1"/>
  <c r="AK472" i="1"/>
  <c r="DE466" i="1"/>
  <c r="BQ484" i="1"/>
  <c r="V466" i="1"/>
  <c r="BC466" i="1"/>
  <c r="CY471" i="1"/>
  <c r="CO474" i="1"/>
  <c r="BP475" i="1"/>
  <c r="BB474" i="1"/>
  <c r="CU484" i="1"/>
  <c r="AK466" i="1"/>
  <c r="BA470" i="1"/>
  <c r="CU470" i="1"/>
  <c r="BQ474" i="1"/>
  <c r="AE470" i="1"/>
  <c r="BQ475" i="1"/>
  <c r="CA474" i="1"/>
  <c r="AK481" i="1"/>
  <c r="BH486" i="1"/>
  <c r="AX466" i="1"/>
  <c r="CO469" i="1"/>
  <c r="BU476" i="1"/>
  <c r="CE469" i="1"/>
  <c r="DC470" i="1"/>
  <c r="BC480" i="1"/>
  <c r="W472" i="1"/>
  <c r="BU470" i="1"/>
  <c r="W484" i="1"/>
  <c r="AF471" i="1"/>
  <c r="BM475" i="1"/>
  <c r="CD466" i="1"/>
  <c r="AQ480" i="1"/>
  <c r="BT480" i="1"/>
  <c r="CI471" i="1"/>
  <c r="Z486" i="1"/>
  <c r="AD472" i="1"/>
  <c r="BJ472" i="1"/>
  <c r="W470" i="1"/>
  <c r="Y475" i="1"/>
  <c r="AF475" i="1"/>
  <c r="CF486" i="1"/>
  <c r="AM471" i="1"/>
  <c r="BE474" i="1"/>
  <c r="AT476" i="1"/>
  <c r="CW468" i="1"/>
  <c r="AZ474" i="1"/>
  <c r="BX475" i="1"/>
  <c r="V484" i="1"/>
  <c r="BI481" i="1"/>
  <c r="AT483" i="1"/>
  <c r="AG474" i="1"/>
  <c r="BG471" i="1"/>
  <c r="Z469" i="1"/>
  <c r="AF476" i="1"/>
  <c r="Z475" i="1"/>
  <c r="AS474" i="1"/>
  <c r="DC481" i="1"/>
  <c r="AW474" i="1"/>
  <c r="CT486" i="1"/>
  <c r="AS470" i="1"/>
  <c r="AI484" i="1"/>
  <c r="DB486" i="1"/>
  <c r="AI488" i="1"/>
  <c r="CK470" i="1"/>
  <c r="AH476" i="1"/>
  <c r="AX476" i="1"/>
  <c r="CD476" i="1"/>
  <c r="CS483" i="1"/>
  <c r="BV483" i="1"/>
  <c r="DD470" i="1"/>
  <c r="CU486" i="1"/>
  <c r="CM481" i="1"/>
  <c r="BR474" i="1"/>
  <c r="BA468" i="1"/>
  <c r="BT466" i="1"/>
  <c r="AK471" i="1"/>
  <c r="AY471" i="1"/>
  <c r="AZ470" i="1"/>
  <c r="BV470" i="1"/>
  <c r="CM470" i="1"/>
  <c r="AE474" i="1"/>
  <c r="CJ480" i="1"/>
  <c r="Z483" i="1"/>
  <c r="BQ488" i="1"/>
  <c r="AI472" i="1"/>
  <c r="AT471" i="1"/>
  <c r="AN486" i="1"/>
  <c r="CZ486" i="1"/>
  <c r="X471" i="1"/>
  <c r="AT474" i="1"/>
  <c r="AD471" i="1"/>
  <c r="X474" i="1"/>
  <c r="DC471" i="1"/>
  <c r="BR469" i="1"/>
  <c r="BW488" i="1"/>
  <c r="DB484" i="1"/>
  <c r="CM474" i="1"/>
  <c r="AJ479" i="1"/>
  <c r="AA483" i="1"/>
  <c r="AC484" i="1"/>
  <c r="AF474" i="1"/>
  <c r="BP483" i="1"/>
  <c r="CR475" i="1"/>
  <c r="BN479" i="1"/>
  <c r="BU474" i="1"/>
  <c r="X469" i="1"/>
  <c r="AP480" i="1"/>
  <c r="BN468" i="1"/>
  <c r="BH483" i="1"/>
  <c r="CJ484" i="1"/>
  <c r="AW483" i="1"/>
  <c r="CM469" i="1"/>
  <c r="CU466" i="1"/>
  <c r="AH479" i="1"/>
  <c r="BK483" i="1"/>
  <c r="S479" i="1"/>
  <c r="DC479" i="1"/>
  <c r="CI474" i="1"/>
  <c r="AI466" i="1"/>
  <c r="BA483" i="1"/>
  <c r="AI471" i="1"/>
  <c r="X483" i="1"/>
  <c r="CN480" i="1"/>
  <c r="DQ470" i="1"/>
  <c r="CH472" i="1"/>
  <c r="CP474" i="1"/>
  <c r="CA467" i="1"/>
  <c r="W486" i="1"/>
  <c r="AK474" i="1"/>
  <c r="BM479" i="1"/>
  <c r="CW481" i="1"/>
  <c r="AG475" i="1"/>
  <c r="V475" i="1"/>
  <c r="AS480" i="1"/>
  <c r="BW486" i="1"/>
  <c r="BK474" i="1"/>
  <c r="AG480" i="1"/>
  <c r="CX486" i="1"/>
  <c r="X472" i="1"/>
  <c r="BU471" i="1"/>
  <c r="AF486" i="1"/>
  <c r="BI486" i="1"/>
  <c r="AG483" i="1"/>
  <c r="AI474" i="1"/>
  <c r="BF475" i="1"/>
  <c r="S486" i="1"/>
  <c r="V486" i="1"/>
  <c r="CU471" i="1"/>
  <c r="BV471" i="1"/>
  <c r="Y480" i="1"/>
  <c r="CW483" i="1"/>
  <c r="DA479" i="1"/>
  <c r="AF483" i="1"/>
  <c r="CZ471" i="1"/>
  <c r="BL472" i="1"/>
  <c r="BN481" i="1"/>
  <c r="EC483" i="1"/>
  <c r="CE466" i="1"/>
  <c r="CY466" i="1"/>
  <c r="CA470" i="1"/>
  <c r="BP479" i="1"/>
  <c r="CN471" i="1"/>
  <c r="CM476" i="1"/>
  <c r="BJ467" i="1"/>
  <c r="AH470" i="1"/>
  <c r="BF476" i="1"/>
  <c r="BN483" i="1"/>
  <c r="CP484" i="1"/>
  <c r="AP475" i="1"/>
  <c r="CR479" i="1"/>
  <c r="CM479" i="1"/>
  <c r="CD481" i="1"/>
  <c r="BX470" i="1"/>
  <c r="BA476" i="1"/>
  <c r="CH469" i="1"/>
  <c r="BG469" i="1"/>
  <c r="BW480" i="1"/>
  <c r="BG479" i="1"/>
  <c r="Y466" i="1"/>
  <c r="AB488" i="1"/>
  <c r="DE486" i="1"/>
  <c r="BC471" i="1"/>
  <c r="BK476" i="1"/>
  <c r="BI466" i="1"/>
  <c r="AF488" i="1"/>
  <c r="CK469" i="1"/>
  <c r="BE479" i="1"/>
  <c r="BM476" i="1"/>
  <c r="BX484" i="1"/>
  <c r="AB469" i="1"/>
  <c r="BJ484" i="1"/>
  <c r="W483" i="1"/>
  <c r="BC470" i="1"/>
  <c r="AM475" i="1"/>
  <c r="BL475" i="1"/>
  <c r="EM475" i="1"/>
  <c r="AJ466" i="1"/>
  <c r="CY475" i="1"/>
  <c r="BR472" i="1"/>
  <c r="AK480" i="1"/>
  <c r="X486" i="1"/>
  <c r="BO486" i="1"/>
  <c r="AL480" i="1"/>
  <c r="BH476" i="1"/>
  <c r="BK486" i="1"/>
  <c r="BW484" i="1"/>
  <c r="BA471" i="1"/>
  <c r="EB476" i="1"/>
  <c r="BT479" i="1"/>
  <c r="DE480" i="1"/>
  <c r="CT483" i="1"/>
  <c r="AB471" i="1"/>
  <c r="CE476" i="1"/>
  <c r="AS479" i="1"/>
  <c r="BM469" i="1"/>
  <c r="BJ479" i="1"/>
  <c r="CZ470" i="1"/>
  <c r="BB472" i="1"/>
  <c r="CS472" i="1"/>
  <c r="BK470" i="1"/>
  <c r="CT476" i="1"/>
  <c r="AE475" i="1"/>
  <c r="BW470" i="1"/>
  <c r="CE471" i="1"/>
  <c r="BR476" i="1"/>
  <c r="BM471" i="1"/>
  <c r="CR470" i="1"/>
  <c r="CJ479" i="1"/>
  <c r="CY467" i="1"/>
  <c r="Z470" i="1"/>
  <c r="AW486" i="1"/>
  <c r="AI481" i="1"/>
  <c r="BM481" i="1"/>
  <c r="AP479" i="1"/>
  <c r="CM466" i="1"/>
  <c r="CH470" i="1"/>
  <c r="AL488" i="1"/>
  <c r="AR477" i="1"/>
  <c r="V476" i="1"/>
  <c r="CJ471" i="1"/>
  <c r="AB486" i="1"/>
  <c r="AC471" i="1"/>
  <c r="AM469" i="1"/>
  <c r="AQ471" i="1"/>
  <c r="AK475" i="1"/>
  <c r="S471" i="1"/>
  <c r="AT479" i="1"/>
  <c r="BB476" i="1"/>
  <c r="CL476" i="1"/>
  <c r="AF470" i="1"/>
  <c r="DB475" i="1"/>
  <c r="BK479" i="1"/>
  <c r="BU469" i="1"/>
  <c r="AO475" i="1"/>
  <c r="DD471" i="1"/>
  <c r="CH476" i="1"/>
  <c r="AH480" i="1"/>
  <c r="CF470" i="1"/>
  <c r="AF479" i="1"/>
  <c r="W471" i="1"/>
  <c r="Z480" i="1"/>
  <c r="CN466" i="1"/>
  <c r="BB486" i="1"/>
  <c r="CW484" i="1"/>
  <c r="AT486" i="1"/>
  <c r="AM480" i="1"/>
  <c r="BG474" i="1"/>
  <c r="BX479" i="1"/>
  <c r="BT470" i="1"/>
  <c r="AR480" i="1"/>
  <c r="BR470" i="1"/>
  <c r="AZ481" i="1"/>
  <c r="BS472" i="1"/>
  <c r="Z474" i="1"/>
  <c r="AX472" i="1"/>
  <c r="CN488" i="1"/>
  <c r="BN486" i="1"/>
  <c r="AN476" i="1"/>
  <c r="BR483" i="1"/>
  <c r="CA466" i="1"/>
  <c r="BC479" i="1"/>
  <c r="BA486" i="1"/>
  <c r="CH481" i="1"/>
  <c r="BB480" i="1"/>
  <c r="S475" i="1"/>
  <c r="CY479" i="1"/>
  <c r="Z484" i="1"/>
  <c r="AO486" i="1"/>
  <c r="BO488" i="1"/>
  <c r="S470" i="1"/>
  <c r="CD469" i="1"/>
  <c r="BW475" i="1"/>
  <c r="AL475" i="1"/>
  <c r="AH474" i="1"/>
  <c r="AM474" i="1"/>
  <c r="BQ480" i="1"/>
  <c r="BQ472" i="1"/>
  <c r="AC486" i="1"/>
  <c r="BD479" i="1"/>
  <c r="CP466" i="1"/>
  <c r="AO469" i="1"/>
  <c r="CO479" i="1"/>
  <c r="W480" i="1"/>
  <c r="DC474" i="1"/>
  <c r="DE479" i="1"/>
  <c r="BD481" i="1"/>
  <c r="CL480" i="1"/>
  <c r="W474" i="1"/>
  <c r="BR475" i="1"/>
  <c r="AI469" i="1"/>
  <c r="BE486" i="1"/>
  <c r="BN474" i="1"/>
  <c r="BC475" i="1"/>
  <c r="CO483" i="1"/>
  <c r="AC476" i="1"/>
  <c r="BA484" i="1"/>
  <c r="BG470" i="1"/>
  <c r="DB466" i="1"/>
  <c r="BF488" i="1"/>
  <c r="BF486" i="1"/>
  <c r="BH466" i="1"/>
  <c r="AJ470" i="1"/>
  <c r="AR476" i="1"/>
  <c r="BJ475" i="1"/>
  <c r="CS486" i="1"/>
  <c r="BM480" i="1"/>
  <c r="BB466" i="1"/>
  <c r="AY481" i="1"/>
  <c r="CE475" i="1"/>
  <c r="BA475" i="1"/>
  <c r="W466" i="1"/>
  <c r="AR466" i="1"/>
  <c r="BH480" i="1"/>
  <c r="EJ470" i="1"/>
  <c r="CD483" i="1"/>
  <c r="BC483" i="1"/>
  <c r="CW472" i="1"/>
  <c r="CK488" i="1"/>
  <c r="BF471" i="1"/>
  <c r="Z466" i="1"/>
  <c r="BQ471" i="1"/>
  <c r="AA471" i="1"/>
  <c r="BH470" i="1"/>
  <c r="BF466" i="1"/>
  <c r="BK484" i="1"/>
  <c r="AW480" i="1"/>
  <c r="BH471" i="1"/>
  <c r="AB484" i="1"/>
  <c r="AS483" i="1"/>
  <c r="AG484" i="1"/>
  <c r="BD480" i="1"/>
  <c r="CJ486" i="1"/>
  <c r="AZ486" i="1"/>
  <c r="BD471" i="1"/>
  <c r="AS466" i="1"/>
  <c r="BI467" i="1"/>
  <c r="AY475" i="1"/>
  <c r="AJ469" i="1"/>
  <c r="BN466" i="1"/>
  <c r="AA486" i="1"/>
  <c r="BI474" i="1"/>
  <c r="AG471" i="1"/>
  <c r="V471" i="1"/>
  <c r="AT475" i="1"/>
  <c r="BT476" i="1"/>
  <c r="EE487" i="1"/>
  <c r="CQ466" i="1"/>
  <c r="AN474" i="1"/>
  <c r="BA479" i="1"/>
  <c r="CS476" i="1"/>
  <c r="AB480" i="1"/>
  <c r="AH472" i="1"/>
  <c r="BE480" i="1"/>
  <c r="AR470" i="1"/>
  <c r="AD479" i="1"/>
  <c r="BJ470" i="1"/>
  <c r="CL484" i="1"/>
  <c r="BV468" i="1"/>
  <c r="AM470" i="1"/>
  <c r="BK469" i="1"/>
  <c r="AF466" i="1"/>
  <c r="AX480" i="1"/>
  <c r="DE469" i="1"/>
  <c r="V479" i="1"/>
  <c r="DC486" i="1"/>
  <c r="AG481" i="1"/>
  <c r="BD486" i="1"/>
  <c r="BM466" i="1"/>
  <c r="DE484" i="1"/>
  <c r="BQ466" i="1"/>
  <c r="CP488" i="1"/>
  <c r="CZ469" i="1"/>
  <c r="AR479" i="1"/>
  <c r="AB479" i="1"/>
  <c r="AM483" i="1"/>
  <c r="BR479" i="1"/>
  <c r="AG476" i="1"/>
  <c r="AH481" i="1"/>
  <c r="CD471" i="1"/>
  <c r="DB471" i="1"/>
  <c r="BL466" i="1"/>
  <c r="CF466" i="1"/>
  <c r="BI479" i="1"/>
  <c r="BV474" i="1"/>
  <c r="CZ487" i="1"/>
  <c r="CP479" i="1"/>
  <c r="BG484" i="1"/>
  <c r="BR480" i="1"/>
  <c r="BG475" i="1"/>
  <c r="AX474" i="1"/>
  <c r="BU480" i="1"/>
  <c r="Y471" i="1"/>
  <c r="AJ486" i="1"/>
  <c r="AX479" i="1"/>
  <c r="AM484" i="1"/>
  <c r="AD484" i="1"/>
  <c r="DB483" i="1"/>
  <c r="BJ480" i="1"/>
  <c r="CJ474" i="1"/>
  <c r="DE472" i="1"/>
  <c r="AI479" i="1"/>
  <c r="AA475" i="1"/>
  <c r="AN479" i="1"/>
  <c r="AG472" i="1"/>
  <c r="CO475" i="1"/>
  <c r="AI487" i="1"/>
  <c r="CR483" i="1"/>
  <c r="CH475" i="1"/>
  <c r="AK476" i="1"/>
  <c r="EM470" i="1"/>
  <c r="CH483" i="1"/>
  <c r="AX469" i="1"/>
  <c r="CX470" i="1"/>
  <c r="AT484" i="1"/>
  <c r="BS471" i="1"/>
  <c r="AN481" i="1"/>
  <c r="AP469" i="1"/>
  <c r="CH471" i="1"/>
  <c r="CR472" i="1"/>
  <c r="BD476" i="1"/>
  <c r="BQ483" i="1"/>
  <c r="CM480" i="1"/>
  <c r="BB470" i="1"/>
  <c r="CL479" i="1"/>
  <c r="AP466" i="1"/>
  <c r="X476" i="1"/>
  <c r="Y470" i="1"/>
  <c r="BC476" i="1"/>
  <c r="AR484" i="1"/>
  <c r="CN483" i="1"/>
  <c r="CO486" i="1"/>
  <c r="CM471" i="1"/>
  <c r="Y474" i="1"/>
  <c r="BT486" i="1"/>
  <c r="BV476" i="1"/>
  <c r="CN470" i="1"/>
  <c r="V480" i="1"/>
  <c r="CO470" i="1"/>
  <c r="BW479" i="1"/>
  <c r="AT472" i="1"/>
  <c r="AY479" i="1"/>
  <c r="BD484" i="1"/>
  <c r="W479" i="1"/>
  <c r="BF470" i="1"/>
  <c r="CW469" i="1"/>
  <c r="AD480" i="1"/>
  <c r="AL470" i="1"/>
  <c r="CA480" i="1"/>
  <c r="BU477" i="1"/>
  <c r="BS479" i="1"/>
  <c r="AK483" i="1"/>
  <c r="DB469" i="1"/>
  <c r="BP484" i="1"/>
  <c r="AL483" i="1"/>
  <c r="CA486" i="1"/>
  <c r="BI469" i="1"/>
  <c r="AY483" i="1"/>
  <c r="BB484" i="1"/>
  <c r="AO471" i="1"/>
  <c r="BG481" i="1"/>
  <c r="CF479" i="1"/>
  <c r="AE486" i="1"/>
  <c r="AG470" i="1"/>
  <c r="BL474" i="1"/>
  <c r="CE481" i="1"/>
  <c r="X475" i="1"/>
  <c r="BI470" i="1"/>
  <c r="BA481" i="1"/>
  <c r="AO476" i="1"/>
  <c r="AJ475" i="1"/>
  <c r="AO480" i="1"/>
  <c r="BO479" i="1"/>
  <c r="BP470" i="1"/>
  <c r="BS476" i="1"/>
  <c r="CT472" i="1"/>
  <c r="CO476" i="1"/>
  <c r="AB475" i="1"/>
  <c r="AC475" i="1"/>
  <c r="AS484" i="1"/>
  <c r="CK486" i="1"/>
  <c r="Y488" i="1"/>
  <c r="BV475" i="1"/>
  <c r="AM479" i="1"/>
  <c r="BB471" i="1"/>
  <c r="AA480" i="1"/>
  <c r="AQ486" i="1"/>
  <c r="DP472" i="1"/>
  <c r="N511" i="1" s="1"/>
  <c r="BI475" i="1"/>
  <c r="B535" i="1" l="1"/>
  <c r="D563" i="1"/>
  <c r="D561" i="1"/>
  <c r="B563" i="1"/>
  <c r="D539" i="1"/>
  <c r="C515" i="1"/>
  <c r="B523" i="1"/>
  <c r="C539" i="1"/>
  <c r="C499" i="1"/>
  <c r="D515" i="1"/>
  <c r="C531" i="1"/>
  <c r="D531" i="1"/>
  <c r="N539" i="1"/>
  <c r="B499" i="1"/>
  <c r="P515" i="1"/>
  <c r="B507" i="1"/>
  <c r="B555" i="1"/>
  <c r="N515" i="1"/>
  <c r="D555" i="1"/>
  <c r="D547" i="1"/>
  <c r="B531" i="1"/>
  <c r="B547" i="1"/>
  <c r="B515" i="1"/>
  <c r="O531" i="1"/>
  <c r="N531" i="1"/>
  <c r="B539" i="1"/>
  <c r="D499" i="1"/>
  <c r="B511" i="1"/>
  <c r="C495" i="1"/>
  <c r="C511" i="1"/>
  <c r="B543" i="1"/>
  <c r="P511" i="1"/>
  <c r="C498" i="1"/>
  <c r="N527" i="1"/>
  <c r="C536" i="1"/>
  <c r="BL490" i="1"/>
  <c r="BL492" i="1" s="1"/>
  <c r="CH490" i="1"/>
  <c r="CH492" i="1" s="1"/>
  <c r="C530" i="1"/>
  <c r="DO490" i="1"/>
  <c r="DO492" i="1" s="1"/>
  <c r="N514" i="1"/>
  <c r="DP490" i="1"/>
  <c r="DP492" i="1" s="1"/>
  <c r="B498" i="1"/>
  <c r="T490" i="1"/>
  <c r="T492" i="1" s="1"/>
  <c r="B561" i="1"/>
  <c r="EY490" i="1"/>
  <c r="AO490" i="1"/>
  <c r="AO492" i="1" s="1"/>
  <c r="B536" i="1"/>
  <c r="BF490" i="1"/>
  <c r="BF492" i="1" s="1"/>
  <c r="CA490" i="1"/>
  <c r="CA492" i="1" s="1"/>
  <c r="B545" i="1"/>
  <c r="BI490" i="1"/>
  <c r="BI492" i="1" s="1"/>
  <c r="B504" i="1"/>
  <c r="D528" i="1"/>
  <c r="ED490" i="1"/>
  <c r="ED492" i="1" s="1"/>
  <c r="DQ490" i="1"/>
  <c r="DQ492" i="1" s="1"/>
  <c r="DW490" i="1"/>
  <c r="DW492" i="1" s="1"/>
  <c r="AK490" i="1"/>
  <c r="AK492" i="1" s="1"/>
  <c r="CI490" i="1"/>
  <c r="CI492" i="1" s="1"/>
  <c r="B513" i="1"/>
  <c r="DB490" i="1"/>
  <c r="DB492" i="1" s="1"/>
  <c r="D559" i="1"/>
  <c r="AQ490" i="1"/>
  <c r="AQ492" i="1" s="1"/>
  <c r="AH490" i="1"/>
  <c r="AH492" i="1" s="1"/>
  <c r="DC490" i="1"/>
  <c r="DC492" i="1" s="1"/>
  <c r="FE490" i="1"/>
  <c r="AE490" i="1"/>
  <c r="AE492" i="1" s="1"/>
  <c r="CT490" i="1"/>
  <c r="CT492" i="1" s="1"/>
  <c r="B520" i="1"/>
  <c r="CP490" i="1"/>
  <c r="CP492" i="1" s="1"/>
  <c r="BU490" i="1"/>
  <c r="BU492" i="1" s="1"/>
  <c r="B562" i="1"/>
  <c r="BC490" i="1"/>
  <c r="BC492" i="1" s="1"/>
  <c r="BH490" i="1"/>
  <c r="BH492" i="1" s="1"/>
  <c r="FF490" i="1"/>
  <c r="BT490" i="1"/>
  <c r="BT492" i="1" s="1"/>
  <c r="CQ490" i="1"/>
  <c r="CQ492" i="1" s="1"/>
  <c r="BB490" i="1"/>
  <c r="BB492" i="1" s="1"/>
  <c r="C537" i="1"/>
  <c r="C528" i="1"/>
  <c r="CY490" i="1"/>
  <c r="CY492" i="1" s="1"/>
  <c r="BX490" i="1"/>
  <c r="BX492" i="1" s="1"/>
  <c r="CO490" i="1"/>
  <c r="CO492" i="1" s="1"/>
  <c r="BP490" i="1"/>
  <c r="BP492" i="1" s="1"/>
  <c r="FG490" i="1"/>
  <c r="CX490" i="1"/>
  <c r="CX492" i="1" s="1"/>
  <c r="DD490" i="1"/>
  <c r="DD492" i="1" s="1"/>
  <c r="D562" i="1"/>
  <c r="N536" i="1"/>
  <c r="DJ490" i="1"/>
  <c r="P512" i="1"/>
  <c r="FC490" i="1"/>
  <c r="EM490" i="1"/>
  <c r="EM492" i="1" s="1"/>
  <c r="AJ490" i="1"/>
  <c r="AJ492" i="1" s="1"/>
  <c r="DZ490" i="1"/>
  <c r="DZ492" i="1" s="1"/>
  <c r="D537" i="1"/>
  <c r="C512" i="1"/>
  <c r="B559" i="1"/>
  <c r="EH490" i="1"/>
  <c r="EH492" i="1" s="1"/>
  <c r="B519" i="1"/>
  <c r="B544" i="1"/>
  <c r="D538" i="1"/>
  <c r="B560" i="1"/>
  <c r="DX490" i="1"/>
  <c r="DX492" i="1" s="1"/>
  <c r="D495" i="1"/>
  <c r="CG490" i="1"/>
  <c r="CG492" i="1" s="1"/>
  <c r="CE490" i="1"/>
  <c r="CE492" i="1" s="1"/>
  <c r="C513" i="1"/>
  <c r="BJ490" i="1"/>
  <c r="BJ492" i="1" s="1"/>
  <c r="B505" i="1"/>
  <c r="B538" i="1"/>
  <c r="DT490" i="1"/>
  <c r="DT492" i="1" s="1"/>
  <c r="DN490" i="1"/>
  <c r="DN492" i="1" s="1"/>
  <c r="D554" i="1"/>
  <c r="FH490" i="1"/>
  <c r="B553" i="1"/>
  <c r="ES490" i="1"/>
  <c r="B551" i="1"/>
  <c r="C529" i="1"/>
  <c r="DA490" i="1"/>
  <c r="DA492" i="1" s="1"/>
  <c r="CN490" i="1"/>
  <c r="CN492" i="1" s="1"/>
  <c r="C496" i="1"/>
  <c r="DU490" i="1"/>
  <c r="DU492" i="1" s="1"/>
  <c r="C535" i="1"/>
  <c r="B506" i="1"/>
  <c r="CR490" i="1"/>
  <c r="CR492" i="1" s="1"/>
  <c r="D511" i="1"/>
  <c r="B512" i="1"/>
  <c r="P513" i="1"/>
  <c r="D513" i="1"/>
  <c r="N535" i="1"/>
  <c r="DM490" i="1"/>
  <c r="DM492" i="1" s="1"/>
  <c r="B552" i="1"/>
  <c r="AF490" i="1"/>
  <c r="AF492" i="1" s="1"/>
  <c r="AG490" i="1"/>
  <c r="AG492" i="1" s="1"/>
  <c r="EB490" i="1"/>
  <c r="EB492" i="1" s="1"/>
  <c r="DK490" i="1"/>
  <c r="DK492" i="1" s="1"/>
  <c r="B522" i="1"/>
  <c r="DH490" i="1"/>
  <c r="DH492" i="1" s="1"/>
  <c r="FK490" i="1"/>
  <c r="EF490" i="1"/>
  <c r="EF492" i="1" s="1"/>
  <c r="B497" i="1"/>
  <c r="N537" i="1"/>
  <c r="U490" i="1"/>
  <c r="U492" i="1" s="1"/>
  <c r="EG490" i="1"/>
  <c r="EG492" i="1" s="1"/>
  <c r="BR490" i="1"/>
  <c r="BR492" i="1" s="1"/>
  <c r="C514" i="1"/>
  <c r="CF490" i="1"/>
  <c r="CF492" i="1" s="1"/>
  <c r="AC490" i="1"/>
  <c r="AC492" i="1" s="1"/>
  <c r="AS490" i="1"/>
  <c r="AS492" i="1" s="1"/>
  <c r="B537" i="1"/>
  <c r="D527" i="1"/>
  <c r="V490" i="1"/>
  <c r="V492" i="1" s="1"/>
  <c r="DG490" i="1"/>
  <c r="DS490" i="1"/>
  <c r="DS492" i="1" s="1"/>
  <c r="BG490" i="1"/>
  <c r="BG492" i="1" s="1"/>
  <c r="AB490" i="1"/>
  <c r="AB492" i="1" s="1"/>
  <c r="CC490" i="1"/>
  <c r="BQ490" i="1"/>
  <c r="BQ492" i="1" s="1"/>
  <c r="AP490" i="1"/>
  <c r="AP492" i="1" s="1"/>
  <c r="BM490" i="1"/>
  <c r="BM492" i="1" s="1"/>
  <c r="AR490" i="1"/>
  <c r="AR492" i="1" s="1"/>
  <c r="AX490" i="1"/>
  <c r="AX492" i="1" s="1"/>
  <c r="BK490" i="1"/>
  <c r="BK492" i="1" s="1"/>
  <c r="AN490" i="1"/>
  <c r="AN492" i="1" s="1"/>
  <c r="CW490" i="1"/>
  <c r="CW492" i="1" s="1"/>
  <c r="CS490" i="1"/>
  <c r="CS492" i="1" s="1"/>
  <c r="N512" i="1"/>
  <c r="AV490" i="1"/>
  <c r="N529" i="1"/>
  <c r="ET490" i="1"/>
  <c r="P514" i="1"/>
  <c r="C538" i="1"/>
  <c r="D545" i="1"/>
  <c r="D514" i="1"/>
  <c r="Z490" i="1"/>
  <c r="Z492" i="1" s="1"/>
  <c r="EW490" i="1"/>
  <c r="D535" i="1"/>
  <c r="AT490" i="1"/>
  <c r="AT492" i="1" s="1"/>
  <c r="BN490" i="1"/>
  <c r="BN492" i="1" s="1"/>
  <c r="EE490" i="1"/>
  <c r="EE492" i="1" s="1"/>
  <c r="CZ490" i="1"/>
  <c r="CZ492" i="1" s="1"/>
  <c r="AI490" i="1"/>
  <c r="AI492" i="1" s="1"/>
  <c r="EX490" i="1"/>
  <c r="P580" i="1" s="1"/>
  <c r="B514" i="1"/>
  <c r="D512" i="1"/>
  <c r="N513" i="1"/>
  <c r="AL490" i="1"/>
  <c r="AL492" i="1" s="1"/>
  <c r="D497" i="1"/>
  <c r="BO490" i="1"/>
  <c r="BO492" i="1" s="1"/>
  <c r="AW490" i="1"/>
  <c r="AW492" i="1" s="1"/>
  <c r="AZ490" i="1"/>
  <c r="AZ492" i="1" s="1"/>
  <c r="B521" i="1"/>
  <c r="W490" i="1"/>
  <c r="W492" i="1" s="1"/>
  <c r="Y490" i="1"/>
  <c r="Y492" i="1" s="1"/>
  <c r="D529" i="1"/>
  <c r="BV490" i="1"/>
  <c r="BV492" i="1" s="1"/>
  <c r="AY490" i="1"/>
  <c r="AY492" i="1" s="1"/>
  <c r="AD490" i="1"/>
  <c r="AD492" i="1" s="1"/>
  <c r="DR490" i="1"/>
  <c r="DR492" i="1" s="1"/>
  <c r="AM490" i="1"/>
  <c r="AM492" i="1" s="1"/>
  <c r="D546" i="1"/>
  <c r="EJ490" i="1"/>
  <c r="EJ492" i="1" s="1"/>
  <c r="D498" i="1"/>
  <c r="DL490" i="1"/>
  <c r="DL492" i="1" s="1"/>
  <c r="B530" i="1"/>
  <c r="CU490" i="1"/>
  <c r="CU492" i="1" s="1"/>
  <c r="CD490" i="1"/>
  <c r="CD492" i="1" s="1"/>
  <c r="BD490" i="1"/>
  <c r="BD492" i="1" s="1"/>
  <c r="D544" i="1"/>
  <c r="D553" i="1"/>
  <c r="D536" i="1"/>
  <c r="D552" i="1"/>
  <c r="B546" i="1"/>
  <c r="BZ490" i="1"/>
  <c r="BS490" i="1"/>
  <c r="BS492" i="1" s="1"/>
  <c r="B528" i="1"/>
  <c r="CM490" i="1"/>
  <c r="CM492" i="1" s="1"/>
  <c r="D530" i="1"/>
  <c r="DE490" i="1"/>
  <c r="DE492" i="1" s="1"/>
  <c r="CL490" i="1"/>
  <c r="CL492" i="1" s="1"/>
  <c r="EC490" i="1"/>
  <c r="EC492" i="1" s="1"/>
  <c r="CV490" i="1"/>
  <c r="CV492" i="1" s="1"/>
  <c r="BW490" i="1"/>
  <c r="BW492" i="1" s="1"/>
  <c r="X490" i="1"/>
  <c r="X492" i="1" s="1"/>
  <c r="EK490" i="1"/>
  <c r="EK492" i="1" s="1"/>
  <c r="B529" i="1"/>
  <c r="EI490" i="1"/>
  <c r="EI492" i="1" s="1"/>
  <c r="EU490" i="1"/>
  <c r="FD490" i="1"/>
  <c r="N530" i="1"/>
  <c r="CK490" i="1"/>
  <c r="CK492" i="1" s="1"/>
  <c r="D543" i="1"/>
  <c r="S490" i="1"/>
  <c r="S492" i="1" s="1"/>
  <c r="BA490" i="1"/>
  <c r="BA492" i="1" s="1"/>
  <c r="N538" i="1"/>
  <c r="CJ490" i="1"/>
  <c r="CJ492" i="1" s="1"/>
  <c r="N528" i="1"/>
  <c r="EL490" i="1"/>
  <c r="EL492" i="1" s="1"/>
  <c r="EA490" i="1"/>
  <c r="EA492" i="1" s="1"/>
  <c r="D496" i="1"/>
  <c r="DY490" i="1"/>
  <c r="DY492" i="1" s="1"/>
  <c r="C527" i="1"/>
  <c r="D551" i="1"/>
  <c r="D560" i="1"/>
  <c r="AA490" i="1"/>
  <c r="AA492" i="1" s="1"/>
  <c r="B554" i="1"/>
  <c r="B495" i="1"/>
  <c r="DV490" i="1"/>
  <c r="DV492" i="1" s="1"/>
  <c r="B496" i="1"/>
  <c r="C497" i="1"/>
  <c r="BE490" i="1"/>
  <c r="BE492" i="1" s="1"/>
  <c r="C569" i="1" l="1"/>
  <c r="D569" i="1" s="1"/>
  <c r="P569" i="1" s="1"/>
  <c r="C571" i="1"/>
  <c r="D571" i="1" s="1"/>
  <c r="P571" i="1" s="1"/>
  <c r="C570" i="1"/>
  <c r="D570" i="1" s="1"/>
  <c r="P570" i="1" s="1"/>
  <c r="D500" i="1"/>
  <c r="B540" i="1"/>
  <c r="C516" i="1"/>
  <c r="P576" i="1"/>
  <c r="P577" i="1" s="1"/>
  <c r="B564" i="1"/>
  <c r="P516" i="1"/>
  <c r="D548" i="1"/>
  <c r="B508" i="1"/>
  <c r="N540" i="1"/>
  <c r="C532" i="1"/>
  <c r="B524" i="1"/>
  <c r="D532" i="1"/>
  <c r="N532" i="1"/>
  <c r="B516" i="1"/>
  <c r="C540" i="1"/>
  <c r="B532" i="1"/>
  <c r="B548" i="1"/>
  <c r="C568" i="1"/>
  <c r="D568" i="1" s="1"/>
  <c r="P568" i="1" s="1"/>
  <c r="D556" i="1"/>
  <c r="D564" i="1"/>
  <c r="D540" i="1"/>
  <c r="D516" i="1"/>
  <c r="N516" i="1"/>
  <c r="B556" i="1"/>
  <c r="C2" i="2"/>
  <c r="D2" i="2" s="1"/>
  <c r="C4" i="2"/>
  <c r="D4" i="2" s="1"/>
  <c r="C3" i="2"/>
  <c r="D3" i="2" s="1"/>
  <c r="C567" i="1"/>
  <c r="B500" i="1"/>
  <c r="C500" i="1"/>
  <c r="P581" i="1" l="1"/>
  <c r="P584" i="1"/>
  <c r="C573" i="1"/>
  <c r="D567" i="1"/>
  <c r="D573" i="1" s="1"/>
  <c r="P567" i="1" l="1"/>
  <c r="P573" i="1" s="1"/>
  <c r="FI480" i="1" l="1"/>
  <c r="FI490" i="1" s="1"/>
  <c r="FJ480" i="1"/>
  <c r="FJ49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Davis, Evan</author>
    <author>Mueller, Patrick</author>
  </authors>
  <commentList>
    <comment ref="DP2" authorId="0" shapeId="0" xr:uid="{CED3764A-9A0C-49B5-97A1-196DE6FE3DC1}">
      <text>
        <r>
          <rPr>
            <b/>
            <sz val="14"/>
            <color indexed="81"/>
            <rFont val="Calibri"/>
            <family val="2"/>
            <scheme val="minor"/>
          </rPr>
          <t>Paid out of 577D</t>
        </r>
      </text>
    </comment>
    <comment ref="EC246" authorId="1" shapeId="0" xr:uid="{AD3599AC-EE9C-46EF-B8D1-E12D1CD64EEB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overflow from payment request for DR moved to DDL per PM judgment </t>
        </r>
      </text>
    </comment>
    <comment ref="D294" authorId="1" shapeId="0" xr:uid="{45A34B35-E0BC-4CA3-A3D7-5639FDBCE2C2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bessemer, roncalli minnequa risley and district level</t>
        </r>
      </text>
    </comment>
    <comment ref="D299" authorId="1" shapeId="0" xr:uid="{962AF964-F7FA-4647-9F8E-3A40B77B8910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bessemer, roncalli minnequa risley and district level</t>
        </r>
      </text>
    </comment>
    <comment ref="C377" authorId="1" shapeId="0" xr:uid="{70288BFD-AA8C-4DDB-B8F1-921077A33649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administered by E Central BOCES
</t>
        </r>
      </text>
    </comment>
    <comment ref="DQ385" authorId="0" shapeId="0" xr:uid="{4B0009CA-69F5-48F3-912A-FD28B1CB88BA}">
      <text>
        <r>
          <rPr>
            <b/>
            <sz val="9"/>
            <color indexed="81"/>
            <rFont val="Tahoma"/>
            <family val="2"/>
          </rPr>
          <t>Overpayment sent back to CDE for old NCLB Turnaround funds related to Thornton Elementary from FY16-17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E411" authorId="1" shapeId="0" xr:uid="{74DCCA95-F4C6-4B06-BA70-E0E33A13E232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refund from district recorded in CORE 5/06; overpayment due to district error during 2/16 formsite batch
</t>
        </r>
      </text>
    </comment>
    <comment ref="DJ438" authorId="1" shapeId="0" xr:uid="{3D5193E5-D555-475D-893C-03FF84386B3E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per district, cohort 4 money was intended to be for year 2; i.e., 21/22; zeroes out line and will revise year 1 GAL to zero out year 1 award
</t>
        </r>
      </text>
    </comment>
    <comment ref="DP464" authorId="0" shapeId="0" xr:uid="{D434618F-1FF9-46D9-9363-F45711D9B7A5}">
      <text>
        <r>
          <rPr>
            <b/>
            <sz val="14"/>
            <color indexed="81"/>
            <rFont val="Calibri"/>
            <family val="2"/>
            <scheme val="minor"/>
          </rPr>
          <t>Paid out of 577D</t>
        </r>
      </text>
    </comment>
  </commentList>
</comments>
</file>

<file path=xl/sharedStrings.xml><?xml version="1.0" encoding="utf-8"?>
<sst xmlns="http://schemas.openxmlformats.org/spreadsheetml/2006/main" count="8116" uniqueCount="825">
  <si>
    <t xml:space="preserve">DIST/AU CODE </t>
  </si>
  <si>
    <t>DISTRICT/AU NAME</t>
  </si>
  <si>
    <t>SCHOOL NAME</t>
  </si>
  <si>
    <t>GRANT</t>
  </si>
  <si>
    <t>Federal Award Identification Number (FAIN)</t>
  </si>
  <si>
    <t>GRANT CODE</t>
  </si>
  <si>
    <t>GBL</t>
  </si>
  <si>
    <t>Request For Funds (RFF)</t>
  </si>
  <si>
    <t>0010</t>
  </si>
  <si>
    <t>0030</t>
  </si>
  <si>
    <t>0050</t>
  </si>
  <si>
    <t>0060</t>
  </si>
  <si>
    <t>0070</t>
  </si>
  <si>
    <t>0120</t>
  </si>
  <si>
    <t>0123</t>
  </si>
  <si>
    <t>0180</t>
  </si>
  <si>
    <t>1180</t>
  </si>
  <si>
    <t>1520</t>
  </si>
  <si>
    <t>2395</t>
  </si>
  <si>
    <t>2690</t>
  </si>
  <si>
    <t>2760</t>
  </si>
  <si>
    <t>3120</t>
  </si>
  <si>
    <t>0740</t>
  </si>
  <si>
    <t>0880</t>
  </si>
  <si>
    <t>1110</t>
  </si>
  <si>
    <t>1420</t>
  </si>
  <si>
    <t>1540</t>
  </si>
  <si>
    <t>1550</t>
  </si>
  <si>
    <t>1570</t>
  </si>
  <si>
    <t>1620</t>
  </si>
  <si>
    <t>2035</t>
  </si>
  <si>
    <t>2600</t>
  </si>
  <si>
    <t>3050</t>
  </si>
  <si>
    <t>9170</t>
  </si>
  <si>
    <t>N/A</t>
  </si>
  <si>
    <t>8334</t>
  </si>
  <si>
    <t>2752</t>
  </si>
  <si>
    <t>8123</t>
  </si>
  <si>
    <t>0219</t>
  </si>
  <si>
    <t>3471</t>
  </si>
  <si>
    <t>3571</t>
  </si>
  <si>
    <t>1094</t>
  </si>
  <si>
    <t>1096</t>
  </si>
  <si>
    <t>1438</t>
  </si>
  <si>
    <t>1504</t>
  </si>
  <si>
    <t>2522</t>
  </si>
  <si>
    <t>0052</t>
  </si>
  <si>
    <t>7700</t>
  </si>
  <si>
    <t>1384</t>
  </si>
  <si>
    <t>3880</t>
  </si>
  <si>
    <t>7880</t>
  </si>
  <si>
    <t>0220</t>
  </si>
  <si>
    <t>0388</t>
  </si>
  <si>
    <t>0520</t>
  </si>
  <si>
    <t>0650</t>
  </si>
  <si>
    <t>9496</t>
  </si>
  <si>
    <t>1295</t>
  </si>
  <si>
    <t>1816</t>
  </si>
  <si>
    <t>1489</t>
  </si>
  <si>
    <t>5844</t>
  </si>
  <si>
    <t>2209</t>
  </si>
  <si>
    <t>2188</t>
  </si>
  <si>
    <t>2129</t>
  </si>
  <si>
    <t>2652</t>
  </si>
  <si>
    <t>2726</t>
  </si>
  <si>
    <t>3655</t>
  </si>
  <si>
    <t>4782</t>
  </si>
  <si>
    <t>2757</t>
  </si>
  <si>
    <t>7188</t>
  </si>
  <si>
    <t>6002</t>
  </si>
  <si>
    <t>7698</t>
  </si>
  <si>
    <t>8006</t>
  </si>
  <si>
    <t>8888</t>
  </si>
  <si>
    <t>8791</t>
  </si>
  <si>
    <t>8793</t>
  </si>
  <si>
    <t>4252</t>
  </si>
  <si>
    <t>0612</t>
  </si>
  <si>
    <t>0678</t>
  </si>
  <si>
    <t>3760</t>
  </si>
  <si>
    <t>5068</t>
  </si>
  <si>
    <t>7127</t>
  </si>
  <si>
    <t>7161</t>
  </si>
  <si>
    <t>7198</t>
  </si>
  <si>
    <t>0058</t>
  </si>
  <si>
    <t>6026</t>
  </si>
  <si>
    <t>8133</t>
  </si>
  <si>
    <t>0609</t>
  </si>
  <si>
    <t>7046</t>
  </si>
  <si>
    <t>6582</t>
  </si>
  <si>
    <t>Mapleton School District</t>
  </si>
  <si>
    <t>Adams County School District 14</t>
  </si>
  <si>
    <t>Bennett School District 29 J</t>
  </si>
  <si>
    <t>Strasburg School District</t>
  </si>
  <si>
    <t>Westminster Public Schools</t>
  </si>
  <si>
    <t>Arapahoe County School District #1</t>
  </si>
  <si>
    <t>Sheridan School District 2</t>
  </si>
  <si>
    <t>Roaring Fork School District</t>
  </si>
  <si>
    <t>Durango School District 9-R</t>
  </si>
  <si>
    <t>Pueblo School District No. 60</t>
  </si>
  <si>
    <t>Hayden School District R-1</t>
  </si>
  <si>
    <t>Weld County School District 6</t>
  </si>
  <si>
    <t>Sierra Grande School District R-30</t>
  </si>
  <si>
    <t>Falcon School District 49</t>
  </si>
  <si>
    <t>Jefferson County School District R-1</t>
  </si>
  <si>
    <t>Ignacio School District 11-JT</t>
  </si>
  <si>
    <t>Poudre School District</t>
  </si>
  <si>
    <t>Estes Park School District R-3</t>
  </si>
  <si>
    <t>Aguilar School District RE-6</t>
  </si>
  <si>
    <t>Platte Canyon School District No 1</t>
  </si>
  <si>
    <t>Otis School District R-3</t>
  </si>
  <si>
    <t>SCHOOL CODE</t>
  </si>
  <si>
    <t>District Level</t>
  </si>
  <si>
    <t>Strasburg High School</t>
  </si>
  <si>
    <t>Englewood Middle School</t>
  </si>
  <si>
    <t>SOAR Academy</t>
  </si>
  <si>
    <t>Global Village Academy</t>
  </si>
  <si>
    <t>Durango Big Picture High School</t>
  </si>
  <si>
    <t>Brush Middle School</t>
  </si>
  <si>
    <t>Brush High School</t>
  </si>
  <si>
    <t>Beaver Valley Elementary School</t>
  </si>
  <si>
    <t>Goodnight Elementary School</t>
  </si>
  <si>
    <t>Hayden Valley Elementary School</t>
  </si>
  <si>
    <t>Heiman Elementary School</t>
  </si>
  <si>
    <t>Scott Elementary School</t>
  </si>
  <si>
    <t>Centennial Elementary School</t>
  </si>
  <si>
    <t>Heath Middle School</t>
  </si>
  <si>
    <t>Sierra Grande K-12 School</t>
  </si>
  <si>
    <t>Amesse Elementary School</t>
  </si>
  <si>
    <t>Asbury Elementary School</t>
  </si>
  <si>
    <t>Barnum Elementary School</t>
  </si>
  <si>
    <t>Beach Court Elementary School</t>
  </si>
  <si>
    <t>Castro Elementary School</t>
  </si>
  <si>
    <t>Collegiate Preparatory Academy</t>
  </si>
  <si>
    <t>Columbian Elementary School</t>
  </si>
  <si>
    <t>Compassion Road Academy</t>
  </si>
  <si>
    <t>Contemporary Learning Academy</t>
  </si>
  <si>
    <t>Ellis Elementary School</t>
  </si>
  <si>
    <t>Emily Griffith High School</t>
  </si>
  <si>
    <t>Greenlee Elementary School</t>
  </si>
  <si>
    <t>Hallett Academy</t>
  </si>
  <si>
    <t>High Tech Early College</t>
  </si>
  <si>
    <t>Montebello Career and Technical High School</t>
  </si>
  <si>
    <t>Montclair Elementary School</t>
  </si>
  <si>
    <t>Schmitt Elementary School</t>
  </si>
  <si>
    <t>Smith Elementary School</t>
  </si>
  <si>
    <t>Traylor Academy</t>
  </si>
  <si>
    <t>Vista Ridge High School</t>
  </si>
  <si>
    <t>Two Roads Charter School</t>
  </si>
  <si>
    <t>Ignacio Elementary School</t>
  </si>
  <si>
    <t>Bauder Elementary School</t>
  </si>
  <si>
    <t>Beattie Elementary School</t>
  </si>
  <si>
    <t>Centennial High School</t>
  </si>
  <si>
    <t>Lesher Middle School</t>
  </si>
  <si>
    <t>Preston Middle School</t>
  </si>
  <si>
    <t>PSD Global Academy</t>
  </si>
  <si>
    <t>Aguilar Elementary School</t>
  </si>
  <si>
    <t>Montezuma-Cortez High School</t>
  </si>
  <si>
    <t>Battle Rock Charter School</t>
  </si>
  <si>
    <t>Platte Canyon High School</t>
  </si>
  <si>
    <t>Otis Elementary School</t>
  </si>
  <si>
    <t>5010</t>
  </si>
  <si>
    <t>S010A170006</t>
  </si>
  <si>
    <t>District Design and Led</t>
  </si>
  <si>
    <t>Connect For Success</t>
  </si>
  <si>
    <t>Diagnostic Review</t>
  </si>
  <si>
    <t>Accountability Pathways</t>
  </si>
  <si>
    <t>Consultation</t>
  </si>
  <si>
    <t>Engagement Planning</t>
  </si>
  <si>
    <t>70*C</t>
  </si>
  <si>
    <t>Award Letter  Sent Date</t>
  </si>
  <si>
    <t>FY 17-18 ALLOCATION AMOUNT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</si>
  <si>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</si>
  <si>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</si>
  <si>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</si>
  <si>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</si>
  <si>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</si>
  <si>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</si>
  <si>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</si>
  <si>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</si>
  <si>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</si>
  <si>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</si>
  <si>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</si>
  <si>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</si>
  <si>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Yearly Disbursed</t>
  </si>
  <si>
    <t>FY 17-18 BALANCE</t>
  </si>
  <si>
    <t>Notes</t>
  </si>
  <si>
    <t>708C</t>
  </si>
  <si>
    <t>709C</t>
  </si>
  <si>
    <t>Grand Total</t>
  </si>
  <si>
    <t>Total</t>
  </si>
  <si>
    <t xml:space="preserve">Beginning Balance </t>
  </si>
  <si>
    <t>Disbursements</t>
  </si>
  <si>
    <t>Remaining Balance</t>
  </si>
  <si>
    <t>CORE balance Adjustments</t>
  </si>
  <si>
    <t>Difference</t>
  </si>
  <si>
    <t>710C</t>
  </si>
  <si>
    <t>Accountability Pathways 17-18</t>
  </si>
  <si>
    <t>Accountability Pathways 18-19</t>
  </si>
  <si>
    <t>Accountability Pathways 19-20</t>
  </si>
  <si>
    <t>Accountability Pathways 20-21</t>
  </si>
  <si>
    <t>Diagnostic Review 17-18</t>
  </si>
  <si>
    <t>Diagnostic Review 18-19</t>
  </si>
  <si>
    <t>Diagnostic Review 19-20</t>
  </si>
  <si>
    <t>Diagnostic Review 20-21</t>
  </si>
  <si>
    <t>Colorado Digital BOCES</t>
  </si>
  <si>
    <t>Poudre Community Academy</t>
  </si>
  <si>
    <t>Southwest Open Charter School</t>
  </si>
  <si>
    <t xml:space="preserve">Montezuma-Cortez </t>
  </si>
  <si>
    <t>Remaining Available to Award</t>
  </si>
  <si>
    <t>Accountability Pathways 21-22</t>
  </si>
  <si>
    <t>Diagnostic Review 21-22</t>
  </si>
  <si>
    <t>District Design and Led 17-20</t>
  </si>
  <si>
    <t>Connect For Success 17-20</t>
  </si>
  <si>
    <t>District Design and Led 18-21</t>
  </si>
  <si>
    <t>District Design and Led 19-22</t>
  </si>
  <si>
    <t>Connect For Success 18-21</t>
  </si>
  <si>
    <t>Connect For Success 19-22</t>
  </si>
  <si>
    <t>Remaining Obligation  Balance</t>
  </si>
  <si>
    <t>17-18</t>
  </si>
  <si>
    <t>18-19</t>
  </si>
  <si>
    <t>0580</t>
  </si>
  <si>
    <t>South Conejos School District RE-10</t>
  </si>
  <si>
    <t>1560</t>
  </si>
  <si>
    <t>Thompson School District R2J</t>
  </si>
  <si>
    <t>2180</t>
  </si>
  <si>
    <t>Montrose County School District RE-1J</t>
  </si>
  <si>
    <t>9149</t>
  </si>
  <si>
    <t>Vista Charter School</t>
  </si>
  <si>
    <t>Turnaround Network</t>
  </si>
  <si>
    <t>0020</t>
  </si>
  <si>
    <t>1010</t>
  </si>
  <si>
    <t>Adams 12 Five Star Schools</t>
  </si>
  <si>
    <t>Colorado Springs School District 11</t>
  </si>
  <si>
    <t>0464</t>
  </si>
  <si>
    <t>6376</t>
  </si>
  <si>
    <t>6310</t>
  </si>
  <si>
    <t>8078</t>
  </si>
  <si>
    <t>5988</t>
  </si>
  <si>
    <t>9445</t>
  </si>
  <si>
    <t>4422</t>
  </si>
  <si>
    <t>5972</t>
  </si>
  <si>
    <t>9154</t>
  </si>
  <si>
    <t>5170</t>
  </si>
  <si>
    <t>8918</t>
  </si>
  <si>
    <t>9674</t>
  </si>
  <si>
    <t>2394</t>
  </si>
  <si>
    <t>3976</t>
  </si>
  <si>
    <t>6770</t>
  </si>
  <si>
    <t>3162</t>
  </si>
  <si>
    <t>4438</t>
  </si>
  <si>
    <t>6774</t>
  </si>
  <si>
    <t>North Star Elementary School</t>
  </si>
  <si>
    <t>North Middle School</t>
  </si>
  <si>
    <t>South Middle School</t>
  </si>
  <si>
    <t>Aurora Hills Middle School</t>
  </si>
  <si>
    <t>Monroe Elementary School</t>
  </si>
  <si>
    <t>West Elementary School</t>
  </si>
  <si>
    <t>Jefferson Junior/Senior School</t>
  </si>
  <si>
    <t>Molholm Elementary School</t>
  </si>
  <si>
    <t>Vivian Elementary School</t>
  </si>
  <si>
    <t>Lincoln Elementary School</t>
  </si>
  <si>
    <t>Truscott Elementary School</t>
  </si>
  <si>
    <t>Winona Elementary School</t>
  </si>
  <si>
    <t>East High School</t>
  </si>
  <si>
    <t>Highland Park Elementary School</t>
  </si>
  <si>
    <t>Franklin Middle School</t>
  </si>
  <si>
    <t>Prairie Heights Middle School</t>
  </si>
  <si>
    <t>Martinez Elementary School</t>
  </si>
  <si>
    <t>Accountability Total</t>
  </si>
  <si>
    <t>Connect Total</t>
  </si>
  <si>
    <t>Consultation Total</t>
  </si>
  <si>
    <t>Diagnostic Total</t>
  </si>
  <si>
    <t>DDL Total</t>
  </si>
  <si>
    <t xml:space="preserve"> Engagement Total</t>
  </si>
  <si>
    <t>TNP Total</t>
  </si>
  <si>
    <t>Park View Elementary School</t>
  </si>
  <si>
    <t>0990</t>
  </si>
  <si>
    <t xml:space="preserve">N/A </t>
  </si>
  <si>
    <t>0109</t>
  </si>
  <si>
    <t>Widefield School District 3</t>
  </si>
  <si>
    <t>Monaco Elementary School</t>
  </si>
  <si>
    <t>Pinello Elementary School</t>
  </si>
  <si>
    <t>Jack Swigert Elementary School</t>
  </si>
  <si>
    <t>Rogers Elementary School</t>
  </si>
  <si>
    <t>Sopris Elementary School</t>
  </si>
  <si>
    <t>Arvada K-8</t>
  </si>
  <si>
    <t>Lumberg Elementary School</t>
  </si>
  <si>
    <t>Thomson Elementary School</t>
  </si>
  <si>
    <t>Northside Elementary School</t>
  </si>
  <si>
    <t>Olathe Middle School</t>
  </si>
  <si>
    <t>Pomona Elementary School</t>
  </si>
  <si>
    <t>FY 18-19 ALLOCATION AMOUNT</t>
  </si>
  <si>
    <t>FY 18-19 BALANCE</t>
  </si>
  <si>
    <t>3920</t>
  </si>
  <si>
    <t>Henry Elementary School</t>
  </si>
  <si>
    <t>5982</t>
  </si>
  <si>
    <t xml:space="preserve">Adams-Arapahoe 28J </t>
  </si>
  <si>
    <t>9140</t>
  </si>
  <si>
    <t>Virginia Court Elementary</t>
  </si>
  <si>
    <t>6952</t>
  </si>
  <si>
    <t>Pinello Elementary</t>
  </si>
  <si>
    <t>8457</t>
  </si>
  <si>
    <t>Jack Swigert Aerospace Academy</t>
  </si>
  <si>
    <t>9404</t>
  </si>
  <si>
    <t>West Elementary</t>
  </si>
  <si>
    <t>9618</t>
  </si>
  <si>
    <t>5354</t>
  </si>
  <si>
    <t>Lincoln Elementary</t>
  </si>
  <si>
    <t>Truscott Elementary</t>
  </si>
  <si>
    <t>Winona Elementary</t>
  </si>
  <si>
    <t>6486</t>
  </si>
  <si>
    <t>1304</t>
  </si>
  <si>
    <t>Carlile Elementary</t>
  </si>
  <si>
    <t>5048</t>
  </si>
  <si>
    <t>Pueblo Academy of the Arts</t>
  </si>
  <si>
    <t>Old Funding Source</t>
  </si>
  <si>
    <t>8038</t>
  </si>
  <si>
    <t>8834</t>
  </si>
  <si>
    <t>6366</t>
  </si>
  <si>
    <t>6490</t>
  </si>
  <si>
    <t>7106</t>
  </si>
  <si>
    <t>7932</t>
  </si>
  <si>
    <t>Sixth Avenue Elementary</t>
  </si>
  <si>
    <t>Old Funding Source 16-19</t>
  </si>
  <si>
    <t>4646</t>
  </si>
  <si>
    <t>Kenton Elementary</t>
  </si>
  <si>
    <t>Columbian Elementary</t>
  </si>
  <si>
    <t>2364</t>
  </si>
  <si>
    <t xml:space="preserve">Eagleton Elementary </t>
  </si>
  <si>
    <t>4450</t>
  </si>
  <si>
    <t>Johnson Elementary</t>
  </si>
  <si>
    <t>Hallett Fundamental Academy</t>
  </si>
  <si>
    <t>2740</t>
  </si>
  <si>
    <t>6036</t>
  </si>
  <si>
    <t>Monte Vista School District 8</t>
  </si>
  <si>
    <t>Bill Metz Elementary</t>
  </si>
  <si>
    <t>S010A180006</t>
  </si>
  <si>
    <t>FAIN</t>
  </si>
  <si>
    <t>Distribution Amount</t>
  </si>
  <si>
    <t>Awarded Amount</t>
  </si>
  <si>
    <t>Remaining Funds</t>
  </si>
  <si>
    <t>S010A190006</t>
  </si>
  <si>
    <t>0024</t>
  </si>
  <si>
    <t>0186</t>
  </si>
  <si>
    <t>2308</t>
  </si>
  <si>
    <t>4516</t>
  </si>
  <si>
    <t>Kearney Middle School</t>
  </si>
  <si>
    <t>4536</t>
  </si>
  <si>
    <t>6534</t>
  </si>
  <si>
    <t>7500</t>
  </si>
  <si>
    <t>1514</t>
  </si>
  <si>
    <t>3054</t>
  </si>
  <si>
    <t>7837</t>
  </si>
  <si>
    <t>4085</t>
  </si>
  <si>
    <t>2155</t>
  </si>
  <si>
    <t>2166</t>
  </si>
  <si>
    <t>5578</t>
  </si>
  <si>
    <t>1625</t>
  </si>
  <si>
    <t>3218</t>
  </si>
  <si>
    <t>5604</t>
  </si>
  <si>
    <t>3002</t>
  </si>
  <si>
    <t>3690</t>
  </si>
  <si>
    <t>2792</t>
  </si>
  <si>
    <t>2794</t>
  </si>
  <si>
    <t>0430</t>
  </si>
  <si>
    <t>1488</t>
  </si>
  <si>
    <t>8372</t>
  </si>
  <si>
    <t>8376</t>
  </si>
  <si>
    <t>6963</t>
  </si>
  <si>
    <t>8965</t>
  </si>
  <si>
    <t>3066</t>
  </si>
  <si>
    <t>0775</t>
  </si>
  <si>
    <t>0213</t>
  </si>
  <si>
    <t>0458</t>
  </si>
  <si>
    <t>2095</t>
  </si>
  <si>
    <t>6758</t>
  </si>
  <si>
    <t>6266</t>
  </si>
  <si>
    <t>0500</t>
  </si>
  <si>
    <t>0870</t>
  </si>
  <si>
    <t>1150</t>
  </si>
  <si>
    <t>1360</t>
  </si>
  <si>
    <t>2000</t>
  </si>
  <si>
    <t>2640</t>
  </si>
  <si>
    <t>3000</t>
  </si>
  <si>
    <t>3110</t>
  </si>
  <si>
    <t>3140</t>
  </si>
  <si>
    <t>8001</t>
  </si>
  <si>
    <t>COLORADO SPRINGS 11</t>
  </si>
  <si>
    <t>PUEBLO CITY 60</t>
  </si>
  <si>
    <t>GREELEY 6</t>
  </si>
  <si>
    <t>5044</t>
  </si>
  <si>
    <t>1458</t>
  </si>
  <si>
    <t>MTSS Total</t>
  </si>
  <si>
    <t>4049</t>
  </si>
  <si>
    <t>4383</t>
  </si>
  <si>
    <t>5621</t>
  </si>
  <si>
    <t>0655</t>
  </si>
  <si>
    <t>2837</t>
  </si>
  <si>
    <t>8145</t>
  </si>
  <si>
    <t>1510</t>
  </si>
  <si>
    <t>2190</t>
  </si>
  <si>
    <t>0910</t>
  </si>
  <si>
    <t>LAKE COUNTY R-1</t>
  </si>
  <si>
    <t>DURANGO 9-R</t>
  </si>
  <si>
    <t>MONTEZUMA-CORTEZ RE-1</t>
  </si>
  <si>
    <t>MONTROSE COUNTY RE-1J</t>
  </si>
  <si>
    <t>WEST END RE-2</t>
  </si>
  <si>
    <t>BRUSH RE-2(J)</t>
  </si>
  <si>
    <t>OTIS R-3</t>
  </si>
  <si>
    <t>0040</t>
  </si>
  <si>
    <t>1076</t>
  </si>
  <si>
    <t>2506</t>
  </si>
  <si>
    <t>3340</t>
  </si>
  <si>
    <t>4444</t>
  </si>
  <si>
    <t>4494</t>
  </si>
  <si>
    <t>4795</t>
  </si>
  <si>
    <t>5255</t>
  </si>
  <si>
    <t>5605</t>
  </si>
  <si>
    <t>6308</t>
  </si>
  <si>
    <t>6970</t>
  </si>
  <si>
    <t>7163</t>
  </si>
  <si>
    <t>7361</t>
  </si>
  <si>
    <t>7694</t>
  </si>
  <si>
    <t>8422</t>
  </si>
  <si>
    <t>8995</t>
  </si>
  <si>
    <t>9050</t>
  </si>
  <si>
    <t>2400</t>
  </si>
  <si>
    <t>2528</t>
  </si>
  <si>
    <t>6466</t>
  </si>
  <si>
    <t>6196</t>
  </si>
  <si>
    <t>8832</t>
  </si>
  <si>
    <t>0900</t>
  </si>
  <si>
    <t>STLDP Total</t>
  </si>
  <si>
    <t>0067</t>
  </si>
  <si>
    <t>2183</t>
  </si>
  <si>
    <t>5448</t>
  </si>
  <si>
    <t>6239</t>
  </si>
  <si>
    <t>6508</t>
  </si>
  <si>
    <t>3863</t>
  </si>
  <si>
    <t>4425</t>
  </si>
  <si>
    <t>1454</t>
  </si>
  <si>
    <t>5752</t>
  </si>
  <si>
    <t>0510</t>
  </si>
  <si>
    <t>6194</t>
  </si>
  <si>
    <t>9228</t>
  </si>
  <si>
    <t>1070</t>
  </si>
  <si>
    <t>Hanover School District 28</t>
  </si>
  <si>
    <t>Connect For Success 16-19</t>
  </si>
  <si>
    <t>FY 19-20 ALLOCATION AMOUNT</t>
  </si>
  <si>
    <t>FY 19-20 BALANCE</t>
  </si>
  <si>
    <t>3699</t>
  </si>
  <si>
    <t>6679</t>
  </si>
  <si>
    <t>6858</t>
  </si>
  <si>
    <t>2573</t>
  </si>
  <si>
    <t>1195</t>
  </si>
  <si>
    <t>0480</t>
  </si>
  <si>
    <t>District Design and Led 20-23</t>
  </si>
  <si>
    <t>District Design and Led 21-24</t>
  </si>
  <si>
    <t>S010A180006/S010A190006</t>
  </si>
  <si>
    <t>0125</t>
  </si>
  <si>
    <t>Boulder Valley School District RE-2</t>
  </si>
  <si>
    <t>Arapahoe Ridge</t>
  </si>
  <si>
    <t>Eagle County School District RE-50 J</t>
  </si>
  <si>
    <t>Red Canyon</t>
  </si>
  <si>
    <t>0205</t>
  </si>
  <si>
    <t>Mesa County Valley School District 51</t>
  </si>
  <si>
    <t>Grand River</t>
  </si>
  <si>
    <t>3604</t>
  </si>
  <si>
    <t>Morgan County School District RE3</t>
  </si>
  <si>
    <t>Lincoln</t>
  </si>
  <si>
    <t>2405</t>
  </si>
  <si>
    <t>5180</t>
  </si>
  <si>
    <t>Pikes Peak</t>
  </si>
  <si>
    <t>6971</t>
  </si>
  <si>
    <t>AEC Pilot</t>
  </si>
  <si>
    <t>AEC Pilot Total</t>
  </si>
  <si>
    <t>Supervisor Pilot</t>
  </si>
  <si>
    <t>Supervisor Pilot Total</t>
  </si>
  <si>
    <t>9036</t>
  </si>
  <si>
    <t>Valley View R-8</t>
  </si>
  <si>
    <t>0206</t>
  </si>
  <si>
    <t>0130</t>
  </si>
  <si>
    <t>0242</t>
  </si>
  <si>
    <t>Cherry Creek School District #5</t>
  </si>
  <si>
    <t>Antelope Ridge Elementary School</t>
  </si>
  <si>
    <t>2897</t>
  </si>
  <si>
    <t>3988</t>
  </si>
  <si>
    <t>Highline Community Elementary School</t>
  </si>
  <si>
    <t>4276</t>
  </si>
  <si>
    <t>Independence Elementary School</t>
  </si>
  <si>
    <t>7116</t>
  </si>
  <si>
    <t>Ponderosa Elementary School</t>
  </si>
  <si>
    <t>9108</t>
  </si>
  <si>
    <t>Village East Community Elementary School</t>
  </si>
  <si>
    <t>0170</t>
  </si>
  <si>
    <t>2136</t>
  </si>
  <si>
    <t>Deer Trail School District</t>
  </si>
  <si>
    <t>Deer Trail Elementary School</t>
  </si>
  <si>
    <t>6090</t>
  </si>
  <si>
    <t>Moore Middle School</t>
  </si>
  <si>
    <t>Connect For Success 20-23</t>
  </si>
  <si>
    <t>Conrad Ball Middle School</t>
  </si>
  <si>
    <t>Namaqua Elementary School</t>
  </si>
  <si>
    <t>Central High School</t>
  </si>
  <si>
    <t>Meeker Elementary School</t>
  </si>
  <si>
    <t>Walt Clark Middle School</t>
  </si>
  <si>
    <t>Boulder Valley RE2</t>
  </si>
  <si>
    <t>Denver County 1</t>
  </si>
  <si>
    <t>Douglas County RE 1</t>
  </si>
  <si>
    <t>School Turnaround Leaders Program</t>
  </si>
  <si>
    <t>Academy of Urban Learning</t>
  </si>
  <si>
    <t>Charles M. Schenck Community School</t>
  </si>
  <si>
    <t>DCIS At Montebello</t>
  </si>
  <si>
    <t>DCIS</t>
  </si>
  <si>
    <t>DCIS At Fairmont</t>
  </si>
  <si>
    <t>John F. Kennedy High School</t>
  </si>
  <si>
    <t>John H. Amesse Elementary School</t>
  </si>
  <si>
    <t>Kunsmiller Creative Arts Academy</t>
  </si>
  <si>
    <t>Manual High School</t>
  </si>
  <si>
    <t>Noel Community Arts School</t>
  </si>
  <si>
    <t>Omar D. Blair Charter School</t>
  </si>
  <si>
    <t>Summit Academy</t>
  </si>
  <si>
    <t>Hope Online Learning Academy</t>
  </si>
  <si>
    <t>Jefferson Junior/Senior High School</t>
  </si>
  <si>
    <t>EASI MTSS</t>
  </si>
  <si>
    <t>Eagle County RE 50</t>
  </si>
  <si>
    <t>Weld County School District RE-8</t>
  </si>
  <si>
    <t>Charter School Institute</t>
  </si>
  <si>
    <t>Englewood 1</t>
  </si>
  <si>
    <t>Adams-Arapahoe 28J</t>
  </si>
  <si>
    <t>Abraham Lincoln High School</t>
  </si>
  <si>
    <t>Brown International Academy</t>
  </si>
  <si>
    <t>DCIS At Wyman</t>
  </si>
  <si>
    <t>Denver Justice High School</t>
  </si>
  <si>
    <t>Dr. Martin Luther King Jr. Early College</t>
  </si>
  <si>
    <t>Edison Elementary School</t>
  </si>
  <si>
    <t>Florida Pitt-Waller Ece-8 School</t>
  </si>
  <si>
    <t>John F Kennedy High School</t>
  </si>
  <si>
    <t>John H. Amesse Elementary</t>
  </si>
  <si>
    <t>Lake Middle School</t>
  </si>
  <si>
    <t>Legacy Options High School</t>
  </si>
  <si>
    <t>Lena Archuleta Elementary School</t>
  </si>
  <si>
    <t>Montebello Career And Technical High School</t>
  </si>
  <si>
    <t>North High School Engagement Center</t>
  </si>
  <si>
    <t>Prep Academy</t>
  </si>
  <si>
    <t>Ridge View Academy Charter School</t>
  </si>
  <si>
    <t>Riseup Community School</t>
  </si>
  <si>
    <t>Smith Elementary</t>
  </si>
  <si>
    <t>Swansea Elementary School</t>
  </si>
  <si>
    <t>Valverde Elementary School</t>
  </si>
  <si>
    <t>Vista Academy</t>
  </si>
  <si>
    <t>Nikola Tesla Education Opportunity Center</t>
  </si>
  <si>
    <t>Odyssey Early College And Career Options</t>
  </si>
  <si>
    <t>Oak Grove</t>
  </si>
  <si>
    <t>Naturita Elementary School</t>
  </si>
  <si>
    <t>Thomson Primary School</t>
  </si>
  <si>
    <t>FY 17-18 Cohort 1 ALLOCATION AMOUNT</t>
  </si>
  <si>
    <t>FY 18-19 Cohort 1 ALLOCATION AMOUNT</t>
  </si>
  <si>
    <t>FY 18-19 Cohort 2 ALLOCATION AMOUNT</t>
  </si>
  <si>
    <t>FY 19-20 Cohort 1 ALLOCATION AMOUNT</t>
  </si>
  <si>
    <t>FY 19-20 Cohort 2 ALLOCATION AMOUNT</t>
  </si>
  <si>
    <t>Adams City High School</t>
  </si>
  <si>
    <t>Alsup Elementary School</t>
  </si>
  <si>
    <t>Dupont Elementary School</t>
  </si>
  <si>
    <t>Lester R Arnold High School</t>
  </si>
  <si>
    <t>Kemp Elementary School</t>
  </si>
  <si>
    <t>Hanson Elementary School</t>
  </si>
  <si>
    <t>Rose Hill Elementary School</t>
  </si>
  <si>
    <t>Bennett High School</t>
  </si>
  <si>
    <t>Charles Hay World School</t>
  </si>
  <si>
    <t>Alice Terry Elementary School</t>
  </si>
  <si>
    <t>Fort Logan</t>
  </si>
  <si>
    <t>Aps Online School</t>
  </si>
  <si>
    <t>Aurora Academy Charter School</t>
  </si>
  <si>
    <t>Dalton Elementary School</t>
  </si>
  <si>
    <t>Park Lane Elementary School</t>
  </si>
  <si>
    <t>Pagosa Peak Open School</t>
  </si>
  <si>
    <t>Horizons Exploratory Academy</t>
  </si>
  <si>
    <t>Grand Mesa Choice Academy</t>
  </si>
  <si>
    <t>Vision Charter Academy</t>
  </si>
  <si>
    <t>Marrama Elementary School</t>
  </si>
  <si>
    <t>Montclair School Of Academics And Enrichment</t>
  </si>
  <si>
    <t>Schmitt Elementary</t>
  </si>
  <si>
    <t>Mcauliffe Elementary</t>
  </si>
  <si>
    <t>Fremont Elementary School</t>
  </si>
  <si>
    <t>King Elementary School</t>
  </si>
  <si>
    <t>Florence High School</t>
  </si>
  <si>
    <t>Penrose Elementary School</t>
  </si>
  <si>
    <t>Elk Creek Elementary</t>
  </si>
  <si>
    <t>Gunnison Elementary School</t>
  </si>
  <si>
    <t>Estes Park Middle School</t>
  </si>
  <si>
    <t>Estes Park High School</t>
  </si>
  <si>
    <t>Aspen Middle School</t>
  </si>
  <si>
    <t>Chavez/Huerta K-12 Preparatory Academy</t>
  </si>
  <si>
    <t>Breckenridge Elementary School</t>
  </si>
  <si>
    <t>Silverthorne Elementary School</t>
  </si>
  <si>
    <t>Pioneer Ridge Elementary School</t>
  </si>
  <si>
    <t>Union Colony Preparatory School</t>
  </si>
  <si>
    <t>Fort Lupton Middle School</t>
  </si>
  <si>
    <t>New Legacy Charter School</t>
  </si>
  <si>
    <t>Bennett 29J</t>
  </si>
  <si>
    <t>Salida R-32</t>
  </si>
  <si>
    <t>Fremont Re-2</t>
  </si>
  <si>
    <t>Garfield Re-2</t>
  </si>
  <si>
    <t>Gunnison Watershed Re1J</t>
  </si>
  <si>
    <t>Mesa County Valley 51</t>
  </si>
  <si>
    <t>Aspen 1</t>
  </si>
  <si>
    <t>Summit Re-1</t>
  </si>
  <si>
    <t>Johnstown-Milliken Re-5J</t>
  </si>
  <si>
    <t>Lake County R-1</t>
  </si>
  <si>
    <t>Durango 9-R</t>
  </si>
  <si>
    <t>West End Re-2</t>
  </si>
  <si>
    <t>Montezuma-Cortez RE-1</t>
  </si>
  <si>
    <t>Brush School District RE 2J</t>
  </si>
  <si>
    <t>Archuleta County 50 JT</t>
  </si>
  <si>
    <t>Delta County 50J</t>
  </si>
  <si>
    <t>Colorado's Finest High School of Choice</t>
  </si>
  <si>
    <t>Center for Talent Development at Greenlee</t>
  </si>
  <si>
    <t>Delta High School</t>
  </si>
  <si>
    <t>Highline Academy Northeast</t>
  </si>
  <si>
    <t>Joe Shoemaker School</t>
  </si>
  <si>
    <t>Monarch Montessori</t>
  </si>
  <si>
    <t>High Point Academy</t>
  </si>
  <si>
    <t>Early College Of Arvada</t>
  </si>
  <si>
    <t>Aurora Central High School</t>
  </si>
  <si>
    <t>AXL Academy</t>
  </si>
  <si>
    <t>FY 19-20 Cohort 3 ALLOCATION AMOUNT</t>
  </si>
  <si>
    <t>2520</t>
  </si>
  <si>
    <t>2428</t>
  </si>
  <si>
    <t>2653</t>
  </si>
  <si>
    <t>1885</t>
  </si>
  <si>
    <t>4841</t>
  </si>
  <si>
    <t>4843</t>
  </si>
  <si>
    <t>East Otero R-1</t>
  </si>
  <si>
    <t>Eastridge Community Elementary School</t>
  </si>
  <si>
    <t>Endeavor Academy</t>
  </si>
  <si>
    <t>Community Prep Charter School</t>
  </si>
  <si>
    <t>La Junta Intermediate School</t>
  </si>
  <si>
    <t>La Junta Primary School</t>
  </si>
  <si>
    <t>1140</t>
  </si>
  <si>
    <t>0022</t>
  </si>
  <si>
    <t>0934</t>
  </si>
  <si>
    <t>5704</t>
  </si>
  <si>
    <t>6237</t>
  </si>
  <si>
    <t>6219</t>
  </si>
  <si>
    <t>4699</t>
  </si>
  <si>
    <t>0871</t>
  </si>
  <si>
    <t>4140</t>
  </si>
  <si>
    <t>0965</t>
  </si>
  <si>
    <t>7236</t>
  </si>
  <si>
    <t>9260</t>
  </si>
  <si>
    <t>3931</t>
  </si>
  <si>
    <t>New America School</t>
  </si>
  <si>
    <t>New America School - Thornton</t>
  </si>
  <si>
    <t>Boulder Prep Charter High School</t>
  </si>
  <si>
    <t>Mckinley Elementary School</t>
  </si>
  <si>
    <t>New America School - Lowry</t>
  </si>
  <si>
    <t>The Bijou School</t>
  </si>
  <si>
    <t>Farrell B. Howell Ece-8 School</t>
  </si>
  <si>
    <t>Brady Exploration School</t>
  </si>
  <si>
    <t>R-5 High School</t>
  </si>
  <si>
    <t>Harold Ferguson High School</t>
  </si>
  <si>
    <t>Hidden Lake High School</t>
  </si>
  <si>
    <t>Canon City RE-1</t>
  </si>
  <si>
    <t>5836</t>
  </si>
  <si>
    <t>0822</t>
  </si>
  <si>
    <t>0756</t>
  </si>
  <si>
    <t>5916</t>
  </si>
  <si>
    <t>7481</t>
  </si>
  <si>
    <t>0252</t>
  </si>
  <si>
    <t>0248</t>
  </si>
  <si>
    <t>Mesa Elementary School</t>
  </si>
  <si>
    <t>Colorado Preparatory Academy High School</t>
  </si>
  <si>
    <t>Pikes Peak Online School</t>
  </si>
  <si>
    <t>Grand River Academy</t>
  </si>
  <si>
    <t>Bessemer Elementary School</t>
  </si>
  <si>
    <t>Franklin School Of Innovation</t>
  </si>
  <si>
    <t>Minnequa Elementary School</t>
  </si>
  <si>
    <t>Roncalli Stem Academy</t>
  </si>
  <si>
    <t>Antonito High School</t>
  </si>
  <si>
    <t>Guadalupe Elementary School</t>
  </si>
  <si>
    <t>1748</t>
  </si>
  <si>
    <t>Colorado High School Charter</t>
  </si>
  <si>
    <t>Chatfield Elementary School</t>
  </si>
  <si>
    <t>Falcon Creek Middle School</t>
  </si>
  <si>
    <t>Combine</t>
  </si>
  <si>
    <t>FY 20-21 Cohort 2 ALLOCATION AMOUNT</t>
  </si>
  <si>
    <t>FY 20-21 Cohort 3 ALLOCATION AMOUNT</t>
  </si>
  <si>
    <t>FY 20-21 Cohort 4 ALLOCATION AMOUNT</t>
  </si>
  <si>
    <t>FY 20-21 BALANCE</t>
  </si>
  <si>
    <t>700C</t>
  </si>
  <si>
    <t>701C</t>
  </si>
  <si>
    <t>5436</t>
  </si>
  <si>
    <t>Manaugh Elementary School</t>
  </si>
  <si>
    <t>0066</t>
  </si>
  <si>
    <t>Aguilar Reorganized 6</t>
  </si>
  <si>
    <t>Aguilar Junior/Senior School</t>
  </si>
  <si>
    <t>577D</t>
  </si>
  <si>
    <t>Reallocated Assistance Fund</t>
  </si>
  <si>
    <t>Reallocated Assistance Fund Total</t>
  </si>
  <si>
    <t>Boulder Valley RE3</t>
  </si>
  <si>
    <t xml:space="preserve"> </t>
  </si>
  <si>
    <t>2770</t>
  </si>
  <si>
    <t>9757</t>
  </si>
  <si>
    <t>Steamboat Springs RE-2</t>
  </si>
  <si>
    <t>Yampa Valley High School</t>
  </si>
  <si>
    <t>9025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</si>
  <si>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</si>
  <si>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</si>
  <si>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</si>
  <si>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</si>
  <si>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</si>
  <si>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</si>
  <si>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</si>
  <si>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</si>
  <si>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</si>
  <si>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</si>
  <si>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</si>
  <si>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</si>
  <si>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</si>
  <si>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</si>
  <si>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</si>
  <si>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</si>
  <si>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MTSS</t>
  </si>
  <si>
    <t>Principal Supervisor Network</t>
  </si>
  <si>
    <t>School Turnaround Leadership Development Program</t>
  </si>
  <si>
    <t>Cohort</t>
  </si>
  <si>
    <t>Route #</t>
  </si>
  <si>
    <t>XX</t>
  </si>
  <si>
    <t>YY</t>
  </si>
  <si>
    <t>Cohort 2</t>
  </si>
  <si>
    <t>Cohort 3</t>
  </si>
  <si>
    <t>Cohort 4</t>
  </si>
  <si>
    <t>Cohort 1</t>
  </si>
  <si>
    <t>Cohort ID</t>
  </si>
  <si>
    <t>2223</t>
  </si>
  <si>
    <t>DSST: COLE MIDDLE SCHOOL</t>
  </si>
  <si>
    <t>00</t>
  </si>
  <si>
    <t>1000</t>
  </si>
  <si>
    <t>0100</t>
  </si>
  <si>
    <t>0001</t>
  </si>
  <si>
    <t>FY 21-22 BALANCE</t>
  </si>
  <si>
    <t>Allocations placeholder</t>
  </si>
  <si>
    <t>1572</t>
  </si>
  <si>
    <t>High Plains Elementary</t>
  </si>
  <si>
    <t>6625</t>
  </si>
  <si>
    <t>Overland High School</t>
  </si>
  <si>
    <t>Montbello Career and Tech High School</t>
  </si>
  <si>
    <t>9999</t>
  </si>
  <si>
    <t>Diagnostic Review 20-23</t>
  </si>
  <si>
    <t>9060</t>
  </si>
  <si>
    <t>Vaughn Elementary</t>
  </si>
  <si>
    <t>1530</t>
  </si>
  <si>
    <t>Bayfield</t>
  </si>
  <si>
    <t>Bayfield Intermediate</t>
  </si>
  <si>
    <t>Diagnostic Review 20-22</t>
  </si>
  <si>
    <t>0632</t>
  </si>
  <si>
    <t>5146</t>
  </si>
  <si>
    <t>Eastlake High School</t>
  </si>
  <si>
    <t>6810</t>
  </si>
  <si>
    <t>District 49</t>
  </si>
  <si>
    <t>Patriot High School</t>
  </si>
  <si>
    <t>Florence Crittenton High School</t>
  </si>
  <si>
    <t>Eagle County</t>
  </si>
  <si>
    <t>8647</t>
  </si>
  <si>
    <t>Salida del Sol Academy</t>
  </si>
  <si>
    <t>3691</t>
  </si>
  <si>
    <t>Great Work Montessori</t>
  </si>
  <si>
    <t>6030</t>
  </si>
  <si>
    <t>Byron Syring Delta Center</t>
  </si>
  <si>
    <t>0550</t>
  </si>
  <si>
    <t>6339</t>
  </si>
  <si>
    <t>North Conejos Alternative Program</t>
  </si>
  <si>
    <t>North Conejos</t>
  </si>
  <si>
    <t>1060</t>
  </si>
  <si>
    <t>6900</t>
  </si>
  <si>
    <t>Peyton 23JT</t>
  </si>
  <si>
    <t>Peyton JR High School</t>
  </si>
  <si>
    <t>4282</t>
  </si>
  <si>
    <t>Irish Elementary</t>
  </si>
  <si>
    <t>2036</t>
  </si>
  <si>
    <t>Children's Kiva Montessori</t>
  </si>
  <si>
    <t>0263</t>
  </si>
  <si>
    <t>Global Leadership Academy</t>
  </si>
  <si>
    <t>4792</t>
  </si>
  <si>
    <t>Kohl Elementary</t>
  </si>
  <si>
    <t>2641</t>
  </si>
  <si>
    <t>Excel Academy</t>
  </si>
  <si>
    <t>9693</t>
  </si>
  <si>
    <t>West Early College</t>
  </si>
  <si>
    <t>9702</t>
  </si>
  <si>
    <t>West Leadership Academy</t>
  </si>
  <si>
    <t>0290</t>
  </si>
  <si>
    <t>0443</t>
  </si>
  <si>
    <t>Las Animas</t>
  </si>
  <si>
    <t>AIM Global</t>
  </si>
  <si>
    <t>0140</t>
  </si>
  <si>
    <t>8064</t>
  </si>
  <si>
    <t>Moody Elementary</t>
  </si>
  <si>
    <t>Littleton 6</t>
  </si>
  <si>
    <t>1450</t>
  </si>
  <si>
    <t>Oak Grove Elementary</t>
  </si>
  <si>
    <t>1050</t>
  </si>
  <si>
    <t>Ellicott 22</t>
  </si>
  <si>
    <t>District Design and Led 20-22</t>
  </si>
  <si>
    <t>FY 21-22 Cohort 3 ALLOCATION AMOUNT</t>
  </si>
  <si>
    <t>FY 21-22 Cohort 2 ALLOCATION AMOUNT</t>
  </si>
  <si>
    <t>FY 21-22 Cohort 4 ALLOCATION AMOUNT</t>
  </si>
  <si>
    <t>4458</t>
  </si>
  <si>
    <t>RISLEY INTERNATIONAL ACADEMY OF INNOVATION</t>
  </si>
  <si>
    <t>Monthly Payment Check</t>
  </si>
  <si>
    <t>702C</t>
  </si>
  <si>
    <t>709R</t>
  </si>
  <si>
    <t>Education ReEnvision</t>
  </si>
  <si>
    <t>District</t>
  </si>
  <si>
    <t>Route</t>
  </si>
  <si>
    <t>School</t>
  </si>
  <si>
    <t>amount requested</t>
  </si>
  <si>
    <t xml:space="preserve">Truncate payment to </t>
  </si>
  <si>
    <t>Reason</t>
  </si>
  <si>
    <t>Request Date</t>
  </si>
  <si>
    <t>Colorado Springs</t>
  </si>
  <si>
    <t>No Remaining Funds for this route</t>
  </si>
  <si>
    <t>fine</t>
  </si>
  <si>
    <t>Remaining Balance Per CORE as of 3/22/22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</si>
</sst>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Calibri"/>
      <family val="2"/>
      <scheme val="minor"/>
    </font>
    <font>
      <b/>
      <sz val="9"/>
      <color indexed="81"/>
      <name val="Tahoma"/>
      <family val="2"/>
    </font>
    <font>
      <sz val="7.7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46">
    <xf numFmtId="0" fontId="0" fillId="0" borderId="0" xfId="0"/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5" fillId="0" borderId="10" xfId="0" applyFont="1" applyFill="1" applyBorder="1"/>
    <xf numFmtId="0" fontId="5" fillId="0" borderId="8" xfId="0" applyFont="1" applyFill="1" applyBorder="1"/>
    <xf numFmtId="0" fontId="5" fillId="0" borderId="5" xfId="0" applyFont="1" applyFill="1" applyBorder="1"/>
    <xf numFmtId="164" fontId="5" fillId="0" borderId="8" xfId="1" applyNumberFormat="1" applyFont="1" applyFill="1" applyBorder="1"/>
    <xf numFmtId="164" fontId="5" fillId="0" borderId="5" xfId="1" applyNumberFormat="1" applyFont="1" applyFill="1" applyBorder="1"/>
    <xf numFmtId="164" fontId="5" fillId="0" borderId="10" xfId="1" applyNumberFormat="1" applyFont="1" applyFill="1" applyBorder="1"/>
    <xf numFmtId="164" fontId="3" fillId="0" borderId="3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/>
    <xf numFmtId="164" fontId="5" fillId="0" borderId="6" xfId="1" applyNumberFormat="1" applyFont="1" applyFill="1" applyBorder="1"/>
    <xf numFmtId="164" fontId="5" fillId="0" borderId="9" xfId="1" applyNumberFormat="1" applyFont="1" applyFill="1" applyBorder="1"/>
    <xf numFmtId="164" fontId="5" fillId="0" borderId="23" xfId="1" applyNumberFormat="1" applyFont="1" applyFill="1" applyBorder="1"/>
    <xf numFmtId="0" fontId="5" fillId="0" borderId="7" xfId="0" quotePrefix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4" fillId="0" borderId="9" xfId="0" applyFont="1" applyFill="1" applyBorder="1"/>
    <xf numFmtId="164" fontId="5" fillId="0" borderId="21" xfId="1" applyNumberFormat="1" applyFont="1" applyFill="1" applyBorder="1"/>
    <xf numFmtId="0" fontId="4" fillId="0" borderId="23" xfId="0" applyFont="1" applyFill="1" applyBorder="1"/>
    <xf numFmtId="164" fontId="5" fillId="0" borderId="24" xfId="1" applyNumberFormat="1" applyFont="1" applyFill="1" applyBorder="1"/>
    <xf numFmtId="0" fontId="4" fillId="0" borderId="12" xfId="0" applyFont="1" applyFill="1" applyBorder="1"/>
    <xf numFmtId="0" fontId="4" fillId="0" borderId="17" xfId="0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19" xfId="0" applyFont="1" applyFill="1" applyBorder="1"/>
    <xf numFmtId="0" fontId="4" fillId="0" borderId="14" xfId="0" applyFont="1" applyFill="1" applyBorder="1"/>
    <xf numFmtId="164" fontId="5" fillId="0" borderId="0" xfId="1" applyNumberFormat="1" applyFont="1" applyFill="1" applyBorder="1"/>
    <xf numFmtId="0" fontId="5" fillId="0" borderId="14" xfId="0" applyFont="1" applyFill="1" applyBorder="1"/>
    <xf numFmtId="164" fontId="4" fillId="0" borderId="0" xfId="1" quotePrefix="1" applyNumberFormat="1" applyFont="1" applyFill="1"/>
    <xf numFmtId="44" fontId="5" fillId="0" borderId="15" xfId="2" applyFont="1" applyFill="1" applyBorder="1" applyAlignment="1">
      <alignment horizontal="center" vertical="center" wrapText="1"/>
    </xf>
    <xf numFmtId="44" fontId="5" fillId="0" borderId="11" xfId="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165" fontId="4" fillId="0" borderId="0" xfId="2" applyNumberFormat="1" applyFont="1"/>
    <xf numFmtId="164" fontId="4" fillId="0" borderId="0" xfId="0" applyNumberFormat="1" applyFont="1" applyFill="1"/>
    <xf numFmtId="164" fontId="4" fillId="3" borderId="0" xfId="1" applyNumberFormat="1" applyFont="1" applyFill="1"/>
    <xf numFmtId="0" fontId="5" fillId="0" borderId="0" xfId="0" quotePrefix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30" xfId="0" applyFont="1" applyFill="1" applyBorder="1"/>
    <xf numFmtId="43" fontId="3" fillId="0" borderId="16" xfId="1" applyFont="1" applyFill="1" applyBorder="1" applyAlignment="1">
      <alignment horizontal="center" wrapText="1"/>
    </xf>
    <xf numFmtId="0" fontId="4" fillId="0" borderId="34" xfId="0" applyFont="1" applyFill="1" applyBorder="1"/>
    <xf numFmtId="164" fontId="5" fillId="0" borderId="34" xfId="1" applyNumberFormat="1" applyFont="1" applyFill="1" applyBorder="1"/>
    <xf numFmtId="164" fontId="5" fillId="0" borderId="35" xfId="1" applyNumberFormat="1" applyFont="1" applyFill="1" applyBorder="1"/>
    <xf numFmtId="0" fontId="4" fillId="0" borderId="32" xfId="0" applyFont="1" applyFill="1" applyBorder="1"/>
    <xf numFmtId="0" fontId="4" fillId="0" borderId="36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165" fontId="4" fillId="0" borderId="0" xfId="0" applyNumberFormat="1" applyFont="1"/>
    <xf numFmtId="164" fontId="5" fillId="0" borderId="37" xfId="1" applyNumberFormat="1" applyFont="1" applyFill="1" applyBorder="1"/>
    <xf numFmtId="164" fontId="5" fillId="0" borderId="38" xfId="1" applyNumberFormat="1" applyFont="1" applyFill="1" applyBorder="1"/>
    <xf numFmtId="0" fontId="5" fillId="0" borderId="39" xfId="0" applyFont="1" applyFill="1" applyBorder="1"/>
    <xf numFmtId="164" fontId="5" fillId="0" borderId="39" xfId="1" applyNumberFormat="1" applyFont="1" applyFill="1" applyBorder="1"/>
    <xf numFmtId="164" fontId="5" fillId="0" borderId="40" xfId="1" applyNumberFormat="1" applyFont="1" applyFill="1" applyBorder="1"/>
    <xf numFmtId="43" fontId="3" fillId="0" borderId="1" xfId="1" applyNumberFormat="1" applyFont="1" applyFill="1" applyBorder="1" applyAlignment="1">
      <alignment horizontal="center" vertical="top" wrapText="1"/>
    </xf>
    <xf numFmtId="0" fontId="3" fillId="0" borderId="11" xfId="3" applyFont="1" applyFill="1" applyBorder="1" applyAlignment="1">
      <alignment horizontal="center" vertical="top" wrapText="1"/>
    </xf>
    <xf numFmtId="0" fontId="3" fillId="0" borderId="11" xfId="3" applyFont="1" applyFill="1" applyBorder="1" applyAlignment="1">
      <alignment horizontal="center" vertical="top"/>
    </xf>
    <xf numFmtId="43" fontId="3" fillId="0" borderId="11" xfId="1" applyNumberFormat="1" applyFont="1" applyFill="1" applyBorder="1" applyAlignment="1">
      <alignment horizontal="center" vertical="top" wrapText="1"/>
    </xf>
    <xf numFmtId="164" fontId="3" fillId="0" borderId="30" xfId="1" applyNumberFormat="1" applyFont="1" applyFill="1" applyBorder="1" applyAlignment="1">
      <alignment horizontal="center" wrapText="1"/>
    </xf>
    <xf numFmtId="43" fontId="4" fillId="0" borderId="0" xfId="1" applyFont="1" applyFill="1"/>
    <xf numFmtId="43" fontId="5" fillId="0" borderId="7" xfId="1" quotePrefix="1" applyFont="1" applyFill="1" applyBorder="1" applyAlignment="1">
      <alignment horizontal="right"/>
    </xf>
    <xf numFmtId="43" fontId="5" fillId="0" borderId="7" xfId="1" applyFont="1" applyFill="1" applyBorder="1"/>
    <xf numFmtId="0" fontId="4" fillId="0" borderId="0" xfId="0" applyFont="1" applyFill="1" applyAlignment="1">
      <alignment horizontal="right"/>
    </xf>
    <xf numFmtId="0" fontId="0" fillId="0" borderId="0" xfId="0"/>
    <xf numFmtId="0" fontId="3" fillId="0" borderId="1" xfId="3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horizontal="left" vertical="top" wrapText="1"/>
    </xf>
    <xf numFmtId="43" fontId="3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quotePrefix="1" applyFont="1" applyFill="1"/>
    <xf numFmtId="14" fontId="4" fillId="0" borderId="0" xfId="0" applyNumberFormat="1" applyFont="1" applyFill="1"/>
    <xf numFmtId="164" fontId="4" fillId="0" borderId="0" xfId="1" applyNumberFormat="1" applyFont="1" applyFill="1"/>
    <xf numFmtId="0" fontId="4" fillId="0" borderId="0" xfId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3" fontId="4" fillId="0" borderId="0" xfId="1" applyNumberFormat="1" applyFont="1" applyFill="1"/>
    <xf numFmtId="0" fontId="0" fillId="0" borderId="0" xfId="0" applyFill="1"/>
    <xf numFmtId="43" fontId="4" fillId="0" borderId="0" xfId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5" fillId="0" borderId="11" xfId="0" quotePrefix="1" applyFont="1" applyFill="1" applyBorder="1" applyAlignment="1">
      <alignment horizontal="center" wrapText="1"/>
    </xf>
    <xf numFmtId="0" fontId="4" fillId="4" borderId="0" xfId="0" applyFont="1" applyFill="1"/>
    <xf numFmtId="0" fontId="4" fillId="4" borderId="0" xfId="0" quotePrefix="1" applyFont="1" applyFill="1"/>
    <xf numFmtId="0" fontId="4" fillId="4" borderId="0" xfId="0" applyFont="1" applyFill="1" applyAlignment="1">
      <alignment horizontal="right"/>
    </xf>
    <xf numFmtId="14" fontId="4" fillId="4" borderId="0" xfId="0" applyNumberFormat="1" applyFont="1" applyFill="1"/>
    <xf numFmtId="164" fontId="4" fillId="4" borderId="0" xfId="1" applyNumberFormat="1" applyFont="1" applyFill="1"/>
    <xf numFmtId="43" fontId="4" fillId="0" borderId="0" xfId="0" applyNumberFormat="1" applyFont="1" applyFill="1"/>
    <xf numFmtId="0" fontId="4" fillId="4" borderId="0" xfId="0" quotePrefix="1" applyFont="1" applyFill="1" applyBorder="1" applyAlignment="1">
      <alignment horizontal="right"/>
    </xf>
    <xf numFmtId="164" fontId="4" fillId="4" borderId="0" xfId="1" applyNumberFormat="1" applyFont="1" applyFill="1" applyBorder="1"/>
    <xf numFmtId="43" fontId="3" fillId="0" borderId="17" xfId="1" applyNumberFormat="1" applyFont="1" applyFill="1" applyBorder="1" applyAlignment="1">
      <alignment horizontal="center" vertical="top" wrapText="1"/>
    </xf>
    <xf numFmtId="164" fontId="4" fillId="5" borderId="0" xfId="1" applyNumberFormat="1" applyFont="1" applyFill="1"/>
    <xf numFmtId="0" fontId="4" fillId="5" borderId="0" xfId="0" applyFont="1" applyFill="1"/>
    <xf numFmtId="0" fontId="4" fillId="5" borderId="0" xfId="0" quotePrefix="1" applyFont="1" applyFill="1"/>
    <xf numFmtId="0" fontId="4" fillId="5" borderId="0" xfId="0" applyFont="1" applyFill="1" applyAlignment="1">
      <alignment horizontal="right"/>
    </xf>
    <xf numFmtId="14" fontId="4" fillId="5" borderId="0" xfId="0" applyNumberFormat="1" applyFont="1" applyFill="1"/>
    <xf numFmtId="164" fontId="3" fillId="0" borderId="32" xfId="1" applyNumberFormat="1" applyFont="1" applyFill="1" applyBorder="1" applyAlignment="1">
      <alignment horizontal="center" wrapText="1"/>
    </xf>
    <xf numFmtId="164" fontId="4" fillId="6" borderId="0" xfId="1" applyNumberFormat="1" applyFont="1" applyFill="1"/>
    <xf numFmtId="0" fontId="4" fillId="2" borderId="17" xfId="0" applyFont="1" applyFill="1" applyBorder="1"/>
    <xf numFmtId="0" fontId="5" fillId="2" borderId="17" xfId="0" applyFont="1" applyFill="1" applyBorder="1" applyAlignment="1">
      <alignment horizontal="center" wrapText="1"/>
    </xf>
    <xf numFmtId="164" fontId="5" fillId="0" borderId="48" xfId="1" applyNumberFormat="1" applyFont="1" applyFill="1" applyBorder="1"/>
    <xf numFmtId="164" fontId="5" fillId="0" borderId="49" xfId="1" applyNumberFormat="1" applyFont="1" applyFill="1" applyBorder="1"/>
    <xf numFmtId="0" fontId="5" fillId="0" borderId="12" xfId="0" applyFont="1" applyFill="1" applyBorder="1" applyAlignment="1">
      <alignment horizontal="center" wrapText="1"/>
    </xf>
    <xf numFmtId="0" fontId="4" fillId="8" borderId="0" xfId="0" applyFont="1" applyFill="1"/>
    <xf numFmtId="0" fontId="4" fillId="8" borderId="0" xfId="0" quotePrefix="1" applyFont="1" applyFill="1"/>
    <xf numFmtId="0" fontId="4" fillId="8" borderId="0" xfId="0" applyFont="1" applyFill="1" applyAlignment="1">
      <alignment horizontal="right"/>
    </xf>
    <xf numFmtId="164" fontId="4" fillId="8" borderId="0" xfId="1" applyNumberFormat="1" applyFont="1" applyFill="1"/>
    <xf numFmtId="43" fontId="4" fillId="8" borderId="0" xfId="0" applyNumberFormat="1" applyFont="1" applyFill="1"/>
    <xf numFmtId="0" fontId="4" fillId="2" borderId="48" xfId="0" applyFont="1" applyFill="1" applyBorder="1"/>
    <xf numFmtId="0" fontId="4" fillId="2" borderId="7" xfId="0" applyFont="1" applyFill="1" applyBorder="1"/>
    <xf numFmtId="0" fontId="4" fillId="2" borderId="49" xfId="0" applyFont="1" applyFill="1" applyBorder="1"/>
    <xf numFmtId="43" fontId="5" fillId="0" borderId="0" xfId="1" applyFont="1" applyFill="1" applyBorder="1"/>
    <xf numFmtId="0" fontId="4" fillId="9" borderId="0" xfId="0" applyFont="1" applyFill="1"/>
    <xf numFmtId="0" fontId="4" fillId="9" borderId="0" xfId="0" quotePrefix="1" applyFont="1" applyFill="1"/>
    <xf numFmtId="0" fontId="4" fillId="9" borderId="0" xfId="0" applyFont="1" applyFill="1" applyAlignment="1">
      <alignment horizontal="right"/>
    </xf>
    <xf numFmtId="14" fontId="4" fillId="9" borderId="0" xfId="0" applyNumberFormat="1" applyFont="1" applyFill="1"/>
    <xf numFmtId="164" fontId="4" fillId="9" borderId="0" xfId="1" applyNumberFormat="1" applyFont="1" applyFill="1"/>
    <xf numFmtId="43" fontId="4" fillId="9" borderId="0" xfId="0" applyNumberFormat="1" applyFont="1" applyFill="1"/>
    <xf numFmtId="164" fontId="4" fillId="9" borderId="0" xfId="1" applyNumberFormat="1" applyFont="1" applyFill="1" applyBorder="1"/>
    <xf numFmtId="0" fontId="4" fillId="9" borderId="0" xfId="0" quotePrefix="1" applyFont="1" applyFill="1" applyBorder="1" applyAlignment="1">
      <alignment horizontal="right"/>
    </xf>
    <xf numFmtId="43" fontId="4" fillId="9" borderId="0" xfId="1" applyFont="1" applyFill="1"/>
    <xf numFmtId="43" fontId="3" fillId="0" borderId="0" xfId="1" applyNumberFormat="1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/>
    <xf numFmtId="164" fontId="3" fillId="7" borderId="1" xfId="1" applyNumberFormat="1" applyFont="1" applyFill="1" applyBorder="1" applyAlignment="1">
      <alignment horizontal="center" wrapText="1"/>
    </xf>
    <xf numFmtId="164" fontId="4" fillId="7" borderId="0" xfId="1" applyNumberFormat="1" applyFont="1" applyFill="1"/>
    <xf numFmtId="164" fontId="5" fillId="7" borderId="7" xfId="1" applyNumberFormat="1" applyFont="1" applyFill="1" applyBorder="1"/>
    <xf numFmtId="164" fontId="5" fillId="7" borderId="0" xfId="1" applyNumberFormat="1" applyFont="1" applyFill="1" applyBorder="1"/>
    <xf numFmtId="164" fontId="4" fillId="7" borderId="0" xfId="1" applyNumberFormat="1" applyFont="1" applyFill="1" applyBorder="1"/>
    <xf numFmtId="164" fontId="5" fillId="7" borderId="6" xfId="1" applyNumberFormat="1" applyFont="1" applyFill="1" applyBorder="1"/>
    <xf numFmtId="164" fontId="5" fillId="7" borderId="34" xfId="1" applyNumberFormat="1" applyFont="1" applyFill="1" applyBorder="1"/>
    <xf numFmtId="164" fontId="5" fillId="7" borderId="9" xfId="1" applyNumberFormat="1" applyFont="1" applyFill="1" applyBorder="1"/>
    <xf numFmtId="164" fontId="5" fillId="7" borderId="23" xfId="1" applyNumberFormat="1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 wrapText="1"/>
    </xf>
    <xf numFmtId="43" fontId="3" fillId="0" borderId="5" xfId="1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 wrapText="1"/>
    </xf>
    <xf numFmtId="43" fontId="4" fillId="6" borderId="0" xfId="1" applyFont="1" applyFill="1"/>
    <xf numFmtId="43" fontId="11" fillId="0" borderId="0" xfId="1" applyFont="1" applyFill="1"/>
    <xf numFmtId="43" fontId="11" fillId="0" borderId="0" xfId="1" applyFont="1" applyBorder="1" applyProtection="1">
      <protection locked="0"/>
    </xf>
    <xf numFmtId="43" fontId="11" fillId="0" borderId="0" xfId="1" applyFont="1" applyFill="1" applyBorder="1"/>
    <xf numFmtId="43" fontId="11" fillId="9" borderId="0" xfId="1" applyFont="1" applyFill="1"/>
    <xf numFmtId="43" fontId="4" fillId="8" borderId="0" xfId="1" applyFont="1" applyFill="1"/>
    <xf numFmtId="43" fontId="5" fillId="0" borderId="6" xfId="1" applyFont="1" applyFill="1" applyBorder="1"/>
    <xf numFmtId="43" fontId="5" fillId="0" borderId="35" xfId="1" applyFont="1" applyFill="1" applyBorder="1"/>
    <xf numFmtId="43" fontId="5" fillId="0" borderId="21" xfId="1" applyFont="1" applyFill="1" applyBorder="1"/>
    <xf numFmtId="43" fontId="5" fillId="0" borderId="24" xfId="1" applyFont="1" applyFill="1" applyBorder="1"/>
    <xf numFmtId="164" fontId="3" fillId="0" borderId="3" xfId="1" applyNumberFormat="1" applyFont="1" applyFill="1" applyBorder="1" applyAlignment="1">
      <alignment horizontal="left" wrapText="1"/>
    </xf>
    <xf numFmtId="164" fontId="3" fillId="2" borderId="3" xfId="1" applyNumberFormat="1" applyFont="1" applyFill="1" applyBorder="1" applyAlignment="1">
      <alignment horizontal="left" wrapText="1"/>
    </xf>
    <xf numFmtId="164" fontId="3" fillId="7" borderId="5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4" fillId="9" borderId="0" xfId="1" applyNumberFormat="1" applyFont="1" applyFill="1" applyAlignment="1">
      <alignment horizontal="left"/>
    </xf>
    <xf numFmtId="164" fontId="4" fillId="4" borderId="0" xfId="1" applyNumberFormat="1" applyFont="1" applyFill="1" applyAlignment="1">
      <alignment horizontal="left"/>
    </xf>
    <xf numFmtId="164" fontId="4" fillId="5" borderId="0" xfId="1" applyNumberFormat="1" applyFont="1" applyFill="1" applyAlignment="1">
      <alignment horizontal="left"/>
    </xf>
    <xf numFmtId="164" fontId="3" fillId="0" borderId="31" xfId="1" applyNumberFormat="1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left" wrapText="1"/>
    </xf>
    <xf numFmtId="164" fontId="3" fillId="0" borderId="16" xfId="1" applyNumberFormat="1" applyFont="1" applyFill="1" applyBorder="1" applyAlignment="1">
      <alignment horizontal="center" wrapText="1"/>
    </xf>
    <xf numFmtId="164" fontId="3" fillId="7" borderId="30" xfId="1" applyNumberFormat="1" applyFont="1" applyFill="1" applyBorder="1" applyAlignment="1">
      <alignment horizontal="center" wrapText="1"/>
    </xf>
    <xf numFmtId="164" fontId="5" fillId="2" borderId="34" xfId="1" applyNumberFormat="1" applyFont="1" applyFill="1" applyBorder="1" applyAlignment="1">
      <alignment horizontal="left"/>
    </xf>
    <xf numFmtId="164" fontId="5" fillId="2" borderId="9" xfId="1" applyNumberFormat="1" applyFont="1" applyFill="1" applyBorder="1" applyAlignment="1">
      <alignment horizontal="left"/>
    </xf>
    <xf numFmtId="164" fontId="5" fillId="2" borderId="23" xfId="1" applyNumberFormat="1" applyFont="1" applyFill="1" applyBorder="1" applyAlignment="1">
      <alignment horizontal="left"/>
    </xf>
    <xf numFmtId="164" fontId="10" fillId="0" borderId="0" xfId="1" applyNumberFormat="1" applyFont="1"/>
    <xf numFmtId="43" fontId="5" fillId="6" borderId="6" xfId="1" applyFont="1" applyFill="1" applyBorder="1"/>
    <xf numFmtId="0" fontId="4" fillId="2" borderId="0" xfId="0" applyFont="1" applyFill="1"/>
    <xf numFmtId="164" fontId="5" fillId="0" borderId="0" xfId="1" applyNumberFormat="1" applyFont="1" applyFill="1"/>
    <xf numFmtId="0" fontId="5" fillId="0" borderId="1" xfId="0" applyFont="1" applyFill="1" applyBorder="1" applyAlignment="1">
      <alignment horizontal="right" wrapText="1"/>
    </xf>
    <xf numFmtId="43" fontId="3" fillId="0" borderId="3" xfId="1" applyFont="1" applyFill="1" applyBorder="1" applyAlignment="1">
      <alignment wrapText="1"/>
    </xf>
    <xf numFmtId="43" fontId="3" fillId="0" borderId="1" xfId="1" applyFont="1" applyFill="1" applyBorder="1" applyAlignment="1">
      <alignment wrapText="1"/>
    </xf>
    <xf numFmtId="43" fontId="3" fillId="0" borderId="5" xfId="1" applyFont="1" applyFill="1" applyBorder="1" applyAlignment="1">
      <alignment wrapText="1"/>
    </xf>
    <xf numFmtId="0" fontId="5" fillId="0" borderId="5" xfId="0" applyFont="1" applyFill="1" applyBorder="1" applyAlignment="1">
      <alignment horizontal="right" wrapText="1"/>
    </xf>
    <xf numFmtId="43" fontId="3" fillId="0" borderId="26" xfId="1" applyFont="1" applyFill="1" applyBorder="1" applyAlignment="1">
      <alignment wrapText="1"/>
    </xf>
    <xf numFmtId="0" fontId="5" fillId="0" borderId="18" xfId="0" applyFont="1" applyFill="1" applyBorder="1" applyAlignment="1">
      <alignment horizontal="right" wrapText="1"/>
    </xf>
    <xf numFmtId="43" fontId="3" fillId="0" borderId="13" xfId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43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164" fontId="5" fillId="0" borderId="1" xfId="0" applyNumberFormat="1" applyFont="1" applyFill="1" applyBorder="1" applyAlignment="1">
      <alignment wrapText="1"/>
    </xf>
    <xf numFmtId="164" fontId="5" fillId="0" borderId="2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4" fontId="5" fillId="0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wrapText="1"/>
    </xf>
    <xf numFmtId="164" fontId="5" fillId="0" borderId="58" xfId="1" applyNumberFormat="1" applyFont="1" applyFill="1" applyBorder="1"/>
    <xf numFmtId="0" fontId="5" fillId="0" borderId="15" xfId="0" applyFont="1" applyFill="1" applyBorder="1" applyAlignment="1">
      <alignment horizontal="center" wrapText="1"/>
    </xf>
    <xf numFmtId="164" fontId="5" fillId="0" borderId="59" xfId="1" applyNumberFormat="1" applyFont="1" applyFill="1" applyBorder="1"/>
    <xf numFmtId="164" fontId="5" fillId="2" borderId="0" xfId="1" applyNumberFormat="1" applyFont="1" applyFill="1" applyBorder="1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15" xfId="0" applyFont="1" applyFill="1" applyBorder="1"/>
    <xf numFmtId="0" fontId="4" fillId="2" borderId="14" xfId="0" applyFont="1" applyFill="1" applyBorder="1"/>
    <xf numFmtId="0" fontId="4" fillId="2" borderId="19" xfId="0" applyFont="1" applyFill="1" applyBorder="1"/>
    <xf numFmtId="0" fontId="4" fillId="2" borderId="58" xfId="0" applyFont="1" applyFill="1" applyBorder="1"/>
    <xf numFmtId="164" fontId="5" fillId="2" borderId="26" xfId="1" applyNumberFormat="1" applyFont="1" applyFill="1" applyBorder="1"/>
    <xf numFmtId="0" fontId="4" fillId="2" borderId="59" xfId="0" applyFont="1" applyFill="1" applyBorder="1"/>
    <xf numFmtId="164" fontId="5" fillId="2" borderId="58" xfId="1" applyNumberFormat="1" applyFont="1" applyFill="1" applyBorder="1"/>
    <xf numFmtId="0" fontId="5" fillId="2" borderId="12" xfId="0" applyFont="1" applyFill="1" applyBorder="1" applyAlignment="1">
      <alignment horizontal="center" wrapText="1"/>
    </xf>
    <xf numFmtId="164" fontId="5" fillId="2" borderId="14" xfId="1" applyNumberFormat="1" applyFont="1" applyFill="1" applyBorder="1"/>
    <xf numFmtId="43" fontId="3" fillId="0" borderId="4" xfId="1" applyFont="1" applyFill="1" applyBorder="1" applyAlignment="1">
      <alignment horizontal="center"/>
    </xf>
    <xf numFmtId="43" fontId="3" fillId="0" borderId="59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43" fontId="3" fillId="2" borderId="14" xfId="1" applyFont="1" applyFill="1" applyBorder="1" applyAlignment="1">
      <alignment horizontal="center" wrapText="1"/>
    </xf>
    <xf numFmtId="43" fontId="5" fillId="0" borderId="35" xfId="0" applyNumberFormat="1" applyFont="1" applyFill="1" applyBorder="1" applyAlignment="1">
      <alignment horizontal="right"/>
    </xf>
    <xf numFmtId="43" fontId="5" fillId="0" borderId="24" xfId="0" applyNumberFormat="1" applyFont="1" applyFill="1" applyBorder="1" applyAlignment="1">
      <alignment horizontal="right"/>
    </xf>
    <xf numFmtId="0" fontId="5" fillId="0" borderId="36" xfId="0" applyFont="1" applyFill="1" applyBorder="1"/>
    <xf numFmtId="0" fontId="5" fillId="0" borderId="28" xfId="0" applyFont="1" applyFill="1" applyBorder="1"/>
    <xf numFmtId="0" fontId="5" fillId="0" borderId="14" xfId="0" applyFont="1" applyFill="1" applyBorder="1" applyAlignment="1">
      <alignment horizontal="right" wrapText="1"/>
    </xf>
    <xf numFmtId="43" fontId="3" fillId="0" borderId="0" xfId="1" applyFont="1" applyFill="1" applyBorder="1" applyAlignment="1">
      <alignment wrapText="1"/>
    </xf>
    <xf numFmtId="43" fontId="3" fillId="0" borderId="11" xfId="1" applyFont="1" applyFill="1" applyBorder="1" applyAlignment="1">
      <alignment wrapText="1"/>
    </xf>
    <xf numFmtId="43" fontId="3" fillId="0" borderId="63" xfId="1" applyFont="1" applyFill="1" applyBorder="1" applyAlignment="1">
      <alignment horizontal="center" wrapText="1"/>
    </xf>
    <xf numFmtId="43" fontId="3" fillId="0" borderId="63" xfId="1" applyFont="1" applyFill="1" applyBorder="1" applyAlignment="1">
      <alignment wrapText="1"/>
    </xf>
    <xf numFmtId="43" fontId="3" fillId="0" borderId="19" xfId="1" applyFont="1" applyFill="1" applyBorder="1" applyAlignment="1">
      <alignment horizontal="center"/>
    </xf>
    <xf numFmtId="43" fontId="4" fillId="5" borderId="0" xfId="1" applyFont="1" applyFill="1"/>
    <xf numFmtId="43" fontId="4" fillId="0" borderId="0" xfId="0" applyNumberFormat="1" applyFont="1" applyFill="1" applyAlignment="1">
      <alignment horizontal="right"/>
    </xf>
    <xf numFmtId="43" fontId="3" fillId="0" borderId="12" xfId="1" applyNumberFormat="1" applyFont="1" applyFill="1" applyBorder="1" applyAlignment="1">
      <alignment horizontal="center" vertical="top" wrapText="1"/>
    </xf>
    <xf numFmtId="14" fontId="0" fillId="0" borderId="0" xfId="0" applyNumberFormat="1"/>
    <xf numFmtId="43" fontId="4" fillId="7" borderId="0" xfId="1" applyFont="1" applyFill="1"/>
    <xf numFmtId="43" fontId="11" fillId="0" borderId="9" xfId="1" applyNumberFormat="1" applyFont="1" applyFill="1" applyBorder="1"/>
    <xf numFmtId="43" fontId="3" fillId="0" borderId="3" xfId="1" applyNumberFormat="1" applyFont="1" applyFill="1" applyBorder="1" applyAlignment="1">
      <alignment horizontal="center" vertical="top" wrapText="1"/>
    </xf>
    <xf numFmtId="43" fontId="11" fillId="0" borderId="21" xfId="1" applyNumberFormat="1" applyFont="1" applyFill="1" applyBorder="1"/>
    <xf numFmtId="0" fontId="11" fillId="0" borderId="0" xfId="0" applyFont="1" applyFill="1"/>
    <xf numFmtId="0" fontId="11" fillId="0" borderId="33" xfId="0" quotePrefix="1" applyFont="1" applyFill="1" applyBorder="1"/>
    <xf numFmtId="0" fontId="11" fillId="0" borderId="34" xfId="0" quotePrefix="1" applyFont="1" applyFill="1" applyBorder="1"/>
    <xf numFmtId="0" fontId="11" fillId="0" borderId="34" xfId="0" applyFont="1" applyFill="1" applyBorder="1"/>
    <xf numFmtId="0" fontId="11" fillId="0" borderId="45" xfId="0" quotePrefix="1" applyFont="1" applyFill="1" applyBorder="1"/>
    <xf numFmtId="0" fontId="11" fillId="0" borderId="50" xfId="0" quotePrefix="1" applyFont="1" applyFill="1" applyBorder="1"/>
    <xf numFmtId="0" fontId="11" fillId="0" borderId="36" xfId="0" quotePrefix="1" applyFont="1" applyFill="1" applyBorder="1"/>
    <xf numFmtId="43" fontId="11" fillId="0" borderId="34" xfId="1" applyNumberFormat="1" applyFont="1" applyFill="1" applyBorder="1"/>
    <xf numFmtId="43" fontId="11" fillId="0" borderId="45" xfId="1" applyNumberFormat="1" applyFont="1" applyFill="1" applyBorder="1"/>
    <xf numFmtId="43" fontId="11" fillId="0" borderId="35" xfId="1" applyNumberFormat="1" applyFont="1" applyFill="1" applyBorder="1"/>
    <xf numFmtId="43" fontId="11" fillId="0" borderId="33" xfId="1" applyNumberFormat="1" applyFont="1" applyFill="1" applyBorder="1"/>
    <xf numFmtId="43" fontId="11" fillId="0" borderId="48" xfId="1" applyNumberFormat="1" applyFont="1" applyFill="1" applyBorder="1"/>
    <xf numFmtId="43" fontId="11" fillId="0" borderId="51" xfId="1" applyNumberFormat="1" applyFont="1" applyFill="1" applyBorder="1"/>
    <xf numFmtId="43" fontId="11" fillId="0" borderId="60" xfId="1" applyNumberFormat="1" applyFont="1" applyFill="1" applyBorder="1"/>
    <xf numFmtId="43" fontId="11" fillId="0" borderId="50" xfId="1" applyNumberFormat="1" applyFont="1" applyFill="1" applyBorder="1"/>
    <xf numFmtId="43" fontId="11" fillId="0" borderId="61" xfId="1" applyNumberFormat="1" applyFont="1" applyFill="1" applyBorder="1"/>
    <xf numFmtId="43" fontId="11" fillId="0" borderId="0" xfId="1" applyNumberFormat="1" applyFont="1" applyFill="1" applyBorder="1"/>
    <xf numFmtId="0" fontId="11" fillId="0" borderId="20" xfId="0" applyFont="1" applyFill="1" applyBorder="1"/>
    <xf numFmtId="0" fontId="11" fillId="0" borderId="9" xfId="0" applyFont="1" applyFill="1" applyBorder="1"/>
    <xf numFmtId="0" fontId="11" fillId="0" borderId="9" xfId="0" quotePrefix="1" applyFont="1" applyFill="1" applyBorder="1"/>
    <xf numFmtId="43" fontId="11" fillId="0" borderId="46" xfId="1" applyNumberFormat="1" applyFont="1" applyFill="1" applyBorder="1"/>
    <xf numFmtId="43" fontId="11" fillId="0" borderId="20" xfId="1" applyNumberFormat="1" applyFont="1" applyFill="1" applyBorder="1"/>
    <xf numFmtId="43" fontId="11" fillId="0" borderId="7" xfId="1" applyNumberFormat="1" applyFont="1" applyFill="1" applyBorder="1"/>
    <xf numFmtId="0" fontId="11" fillId="0" borderId="20" xfId="0" quotePrefix="1" applyFont="1" applyFill="1" applyBorder="1"/>
    <xf numFmtId="43" fontId="11" fillId="0" borderId="9" xfId="1" applyFont="1" applyFill="1" applyBorder="1"/>
    <xf numFmtId="164" fontId="11" fillId="0" borderId="0" xfId="1" applyNumberFormat="1" applyFont="1" applyFill="1"/>
    <xf numFmtId="0" fontId="11" fillId="0" borderId="0" xfId="0" quotePrefix="1" applyFont="1" applyFill="1" applyBorder="1"/>
    <xf numFmtId="43" fontId="11" fillId="0" borderId="9" xfId="0" applyNumberFormat="1" applyFont="1" applyFill="1" applyBorder="1"/>
    <xf numFmtId="43" fontId="11" fillId="0" borderId="46" xfId="0" applyNumberFormat="1" applyFont="1" applyFill="1" applyBorder="1"/>
    <xf numFmtId="43" fontId="11" fillId="0" borderId="20" xfId="0" applyNumberFormat="1" applyFont="1" applyFill="1" applyBorder="1"/>
    <xf numFmtId="43" fontId="11" fillId="0" borderId="21" xfId="0" applyNumberFormat="1" applyFont="1" applyFill="1" applyBorder="1"/>
    <xf numFmtId="43" fontId="11" fillId="0" borderId="7" xfId="0" applyNumberFormat="1" applyFont="1" applyFill="1" applyBorder="1"/>
    <xf numFmtId="43" fontId="11" fillId="0" borderId="52" xfId="1" applyNumberFormat="1" applyFont="1" applyFill="1" applyBorder="1"/>
    <xf numFmtId="164" fontId="11" fillId="0" borderId="9" xfId="1" applyNumberFormat="1" applyFont="1" applyFill="1" applyBorder="1"/>
    <xf numFmtId="164" fontId="11" fillId="0" borderId="46" xfId="1" applyNumberFormat="1" applyFont="1" applyFill="1" applyBorder="1"/>
    <xf numFmtId="43" fontId="11" fillId="0" borderId="64" xfId="1" applyNumberFormat="1" applyFont="1" applyFill="1" applyBorder="1"/>
    <xf numFmtId="0" fontId="11" fillId="0" borderId="52" xfId="0" applyFont="1" applyFill="1" applyBorder="1"/>
    <xf numFmtId="0" fontId="11" fillId="0" borderId="53" xfId="0" quotePrefix="1" applyFont="1" applyFill="1" applyBorder="1"/>
    <xf numFmtId="0" fontId="11" fillId="0" borderId="53" xfId="0" applyFont="1" applyFill="1" applyBorder="1"/>
    <xf numFmtId="0" fontId="11" fillId="0" borderId="54" xfId="0" quotePrefix="1" applyFont="1" applyFill="1" applyBorder="1"/>
    <xf numFmtId="43" fontId="11" fillId="0" borderId="53" xfId="1" applyNumberFormat="1" applyFont="1" applyFill="1" applyBorder="1"/>
    <xf numFmtId="43" fontId="11" fillId="0" borderId="55" xfId="1" applyNumberFormat="1" applyFont="1" applyFill="1" applyBorder="1"/>
    <xf numFmtId="43" fontId="11" fillId="0" borderId="56" xfId="1" applyNumberFormat="1" applyFont="1" applyFill="1" applyBorder="1"/>
    <xf numFmtId="43" fontId="11" fillId="0" borderId="57" xfId="1" applyNumberFormat="1" applyFont="1" applyFill="1" applyBorder="1"/>
    <xf numFmtId="0" fontId="11" fillId="0" borderId="9" xfId="0" applyFont="1" applyFill="1" applyBorder="1" applyAlignment="1">
      <alignment horizontal="right"/>
    </xf>
    <xf numFmtId="164" fontId="3" fillId="0" borderId="9" xfId="1" applyNumberFormat="1" applyFont="1" applyFill="1" applyBorder="1"/>
    <xf numFmtId="0" fontId="11" fillId="0" borderId="27" xfId="0" applyFont="1" applyFill="1" applyBorder="1"/>
    <xf numFmtId="0" fontId="11" fillId="0" borderId="60" xfId="0" applyFont="1" applyFill="1" applyBorder="1"/>
    <xf numFmtId="0" fontId="11" fillId="0" borderId="50" xfId="0" applyFont="1" applyFill="1" applyBorder="1"/>
    <xf numFmtId="43" fontId="11" fillId="0" borderId="62" xfId="1" applyNumberFormat="1" applyFont="1" applyFill="1" applyBorder="1"/>
    <xf numFmtId="0" fontId="11" fillId="0" borderId="22" xfId="0" applyFont="1" applyFill="1" applyBorder="1"/>
    <xf numFmtId="0" fontId="11" fillId="0" borderId="23" xfId="0" quotePrefix="1" applyFont="1" applyFill="1" applyBorder="1"/>
    <xf numFmtId="0" fontId="11" fillId="0" borderId="23" xfId="0" applyFont="1" applyFill="1" applyBorder="1"/>
    <xf numFmtId="43" fontId="11" fillId="0" borderId="23" xfId="1" applyNumberFormat="1" applyFont="1" applyFill="1" applyBorder="1"/>
    <xf numFmtId="43" fontId="11" fillId="0" borderId="47" xfId="1" applyNumberFormat="1" applyFont="1" applyFill="1" applyBorder="1"/>
    <xf numFmtId="43" fontId="11" fillId="0" borderId="24" xfId="1" applyNumberFormat="1" applyFont="1" applyFill="1" applyBorder="1"/>
    <xf numFmtId="43" fontId="11" fillId="0" borderId="22" xfId="1" applyNumberFormat="1" applyFont="1" applyFill="1" applyBorder="1"/>
    <xf numFmtId="43" fontId="11" fillId="0" borderId="49" xfId="1" applyNumberFormat="1" applyFont="1" applyFill="1" applyBorder="1"/>
    <xf numFmtId="0" fontId="11" fillId="0" borderId="0" xfId="0" applyFont="1" applyFill="1" applyBorder="1"/>
    <xf numFmtId="0" fontId="3" fillId="0" borderId="41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43" fontId="3" fillId="0" borderId="42" xfId="1" applyNumberFormat="1" applyFont="1" applyFill="1" applyBorder="1"/>
    <xf numFmtId="43" fontId="3" fillId="0" borderId="43" xfId="1" applyNumberFormat="1" applyFont="1" applyFill="1" applyBorder="1"/>
    <xf numFmtId="43" fontId="3" fillId="0" borderId="0" xfId="1" applyNumberFormat="1" applyFont="1" applyFill="1" applyBorder="1"/>
    <xf numFmtId="43" fontId="11" fillId="0" borderId="0" xfId="1" applyNumberFormat="1" applyFont="1" applyFill="1"/>
    <xf numFmtId="43" fontId="11" fillId="0" borderId="0" xfId="1" applyNumberFormat="1" applyFont="1" applyFill="1" applyAlignment="1">
      <alignment horizontal="left"/>
    </xf>
    <xf numFmtId="0" fontId="11" fillId="0" borderId="60" xfId="0" quotePrefix="1" applyFont="1" applyFill="1" applyBorder="1"/>
    <xf numFmtId="0" fontId="4" fillId="9" borderId="9" xfId="0" applyFont="1" applyFill="1" applyBorder="1"/>
    <xf numFmtId="43" fontId="4" fillId="0" borderId="9" xfId="1" applyFont="1" applyFill="1" applyBorder="1"/>
    <xf numFmtId="43" fontId="4" fillId="0" borderId="46" xfId="1" applyFont="1" applyFill="1" applyBorder="1"/>
    <xf numFmtId="43" fontId="4" fillId="0" borderId="21" xfId="1" applyFont="1" applyFill="1" applyBorder="1"/>
    <xf numFmtId="43" fontId="4" fillId="0" borderId="20" xfId="1" applyFont="1" applyFill="1" applyBorder="1"/>
    <xf numFmtId="43" fontId="4" fillId="10" borderId="0" xfId="1" applyFont="1" applyFill="1"/>
    <xf numFmtId="43" fontId="4" fillId="0" borderId="9" xfId="0" applyNumberFormat="1" applyFont="1" applyFill="1" applyBorder="1"/>
    <xf numFmtId="0" fontId="4" fillId="0" borderId="20" xfId="0" quotePrefix="1" applyFont="1" applyFill="1" applyBorder="1"/>
    <xf numFmtId="0" fontId="4" fillId="0" borderId="9" xfId="0" quotePrefix="1" applyFont="1" applyFill="1" applyBorder="1"/>
    <xf numFmtId="0" fontId="4" fillId="0" borderId="50" xfId="0" applyFont="1" applyFill="1" applyBorder="1" applyAlignment="1">
      <alignment horizontal="right"/>
    </xf>
    <xf numFmtId="164" fontId="4" fillId="0" borderId="50" xfId="1" applyNumberFormat="1" applyFont="1" applyFill="1" applyBorder="1"/>
    <xf numFmtId="164" fontId="4" fillId="0" borderId="9" xfId="1" applyNumberFormat="1" applyFont="1" applyFill="1" applyBorder="1"/>
    <xf numFmtId="43" fontId="4" fillId="0" borderId="21" xfId="0" applyNumberFormat="1" applyFont="1" applyFill="1" applyBorder="1"/>
    <xf numFmtId="0" fontId="4" fillId="0" borderId="7" xfId="0" applyFont="1" applyFill="1" applyBorder="1"/>
    <xf numFmtId="0" fontId="4" fillId="0" borderId="46" xfId="0" applyFont="1" applyFill="1" applyBorder="1"/>
    <xf numFmtId="0" fontId="4" fillId="0" borderId="20" xfId="0" applyFont="1" applyFill="1" applyBorder="1"/>
    <xf numFmtId="43" fontId="12" fillId="9" borderId="0" xfId="1" applyFont="1" applyFill="1"/>
    <xf numFmtId="43" fontId="4" fillId="11" borderId="0" xfId="1" applyFont="1" applyFill="1"/>
    <xf numFmtId="43" fontId="5" fillId="0" borderId="22" xfId="1" applyFont="1" applyFill="1" applyBorder="1" applyAlignment="1">
      <alignment horizontal="right"/>
    </xf>
    <xf numFmtId="43" fontId="5" fillId="0" borderId="23" xfId="1" applyFont="1" applyFill="1" applyBorder="1" applyAlignment="1">
      <alignment horizontal="right"/>
    </xf>
    <xf numFmtId="43" fontId="5" fillId="0" borderId="24" xfId="1" applyFont="1" applyFill="1" applyBorder="1" applyAlignment="1">
      <alignment horizontal="right"/>
    </xf>
    <xf numFmtId="43" fontId="5" fillId="0" borderId="20" xfId="1" applyFont="1" applyFill="1" applyBorder="1" applyAlignment="1">
      <alignment horizontal="right"/>
    </xf>
    <xf numFmtId="43" fontId="5" fillId="0" borderId="9" xfId="1" applyFont="1" applyFill="1" applyBorder="1" applyAlignment="1">
      <alignment horizontal="right"/>
    </xf>
    <xf numFmtId="43" fontId="5" fillId="0" borderId="21" xfId="1" applyFont="1" applyFill="1" applyBorder="1" applyAlignment="1">
      <alignment horizontal="right"/>
    </xf>
    <xf numFmtId="43" fontId="5" fillId="0" borderId="20" xfId="1" quotePrefix="1" applyFont="1" applyFill="1" applyBorder="1" applyAlignment="1">
      <alignment horizontal="right"/>
    </xf>
    <xf numFmtId="43" fontId="5" fillId="0" borderId="33" xfId="1" applyFont="1" applyFill="1" applyBorder="1" applyAlignment="1">
      <alignment horizontal="right"/>
    </xf>
    <xf numFmtId="43" fontId="5" fillId="0" borderId="34" xfId="1" applyFont="1" applyFill="1" applyBorder="1" applyAlignment="1">
      <alignment horizontal="right"/>
    </xf>
    <xf numFmtId="43" fontId="5" fillId="0" borderId="35" xfId="1" applyFont="1" applyFill="1" applyBorder="1" applyAlignment="1">
      <alignment horizontal="right"/>
    </xf>
    <xf numFmtId="43" fontId="3" fillId="0" borderId="2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top" wrapText="1"/>
    </xf>
    <xf numFmtId="164" fontId="3" fillId="0" borderId="4" xfId="1" applyNumberFormat="1" applyFont="1" applyFill="1" applyBorder="1" applyAlignment="1">
      <alignment horizontal="center" vertical="top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left" vertical="top" wrapText="1"/>
    </xf>
    <xf numFmtId="164" fontId="3" fillId="0" borderId="4" xfId="1" applyNumberFormat="1" applyFont="1" applyFill="1" applyBorder="1" applyAlignment="1">
      <alignment horizontal="left" vertical="top" wrapText="1"/>
    </xf>
    <xf numFmtId="164" fontId="3" fillId="0" borderId="3" xfId="1" applyNumberFormat="1" applyFont="1" applyFill="1" applyBorder="1" applyAlignment="1">
      <alignment horizontal="left" vertical="top" wrapText="1"/>
    </xf>
    <xf numFmtId="43" fontId="3" fillId="0" borderId="12" xfId="1" applyNumberFormat="1" applyFont="1" applyFill="1" applyBorder="1" applyAlignment="1">
      <alignment horizontal="center" vertical="top" wrapText="1"/>
    </xf>
    <xf numFmtId="43" fontId="3" fillId="0" borderId="15" xfId="1" applyNumberFormat="1" applyFont="1" applyFill="1" applyBorder="1" applyAlignment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CC99"/>
      <color rgb="FFF0E1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s_E\Desktop\Working%20Files\New%20EASI%20Master%20File%20Updated%2001.20.21%20with%20prior%20year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ilable Funding"/>
      <sheetName val="Master Report"/>
      <sheetName val="Sheet1"/>
      <sheetName val="Sheet6"/>
      <sheetName val="Individual Route"/>
      <sheetName val="Sheet5"/>
      <sheetName val="GAL Awards"/>
      <sheetName val="Sheet2"/>
      <sheetName val="Data Dump FY19-20"/>
      <sheetName val="Sheet3"/>
      <sheetName val="Data Dump FY20-21"/>
      <sheetName val="Cohort 4 Google Doc"/>
      <sheetName val="Identified Schools &amp; Districts"/>
      <sheetName val="FY18-19 App 20-21 Awards"/>
      <sheetName val="School Level"/>
      <sheetName val="Manual Overide"/>
      <sheetName val="District Level"/>
    </sheetNames>
    <sheetDataSet>
      <sheetData sheetId="0" refreshError="1"/>
      <sheetData sheetId="1" refreshError="1">
        <row r="622">
          <cell r="SD622">
            <v>5867761.9968000008</v>
          </cell>
          <cell r="SE622">
            <v>2379431.3556000004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FN632"/>
  <sheetViews>
    <sheetView zoomScale="70" zoomScaleNormal="70" workbookViewId="0">
      <pane xSplit="18" ySplit="2" topLeftCell="FA72" activePane="bottomRight" state="frozen"/>
      <selection activeCell="E499" sqref="E499"/>
      <selection pane="topRight" activeCell="E499" sqref="E499"/>
      <selection pane="bottomLeft" activeCell="E499" sqref="E499"/>
      <selection pane="bottomRight" activeCell="E499" sqref="E499"/>
    </sheetView>
  </sheetViews>
  <sheetFormatPr defaultColWidth="9.140625" defaultRowHeight="12.75" outlineLevelRow="1" outlineLevelCol="2" x14ac:dyDescent="0.2"/>
  <cols>
    <col min="1" max="1" width="15.28515625" style="76" bestFit="1" customWidth="1"/>
    <col min="2" max="2" width="17.7109375" style="76" customWidth="1"/>
    <col min="3" max="3" width="41" style="76" bestFit="1" customWidth="1"/>
    <col min="4" max="4" width="51" style="76" bestFit="1" customWidth="1"/>
    <col min="5" max="5" width="33.5703125" style="76" bestFit="1" customWidth="1"/>
    <col min="6" max="6" width="10.140625" style="76" hidden="1" customWidth="1" outlineLevel="2"/>
    <col min="7" max="7" width="15" style="76" hidden="1" customWidth="1" outlineLevel="2"/>
    <col min="8" max="8" width="25.7109375" style="76" hidden="1" customWidth="1" outlineLevel="2"/>
    <col min="9" max="9" width="22.140625" style="76" hidden="1" customWidth="1" outlineLevel="2"/>
    <col min="10" max="10" width="11" style="76" hidden="1" customWidth="1" outlineLevel="2"/>
    <col min="11" max="11" width="12" style="76" hidden="1" customWidth="1" outlineLevel="2"/>
    <col min="12" max="12" width="5" style="76" hidden="1" customWidth="1" outlineLevel="2"/>
    <col min="13" max="13" width="42.140625" style="76" hidden="1" customWidth="1" outlineLevel="2"/>
    <col min="14" max="14" width="22.5703125" style="76" bestFit="1" customWidth="1" collapsed="1"/>
    <col min="15" max="15" width="16.85546875" style="76" hidden="1" customWidth="1" outlineLevel="1"/>
    <col min="16" max="16" width="39.28515625" style="69" bestFit="1" customWidth="1" collapsed="1"/>
    <col min="17" max="17" width="21" style="76" hidden="1" customWidth="1" outlineLevel="1"/>
    <col min="18" max="18" width="15.5703125" style="76" hidden="1" customWidth="1" outlineLevel="1"/>
    <col min="19" max="19" width="27.140625" style="79" bestFit="1" customWidth="1" collapsed="1"/>
    <col min="20" max="43" width="14.28515625" style="79" hidden="1" customWidth="1" outlineLevel="1"/>
    <col min="44" max="44" width="14.28515625" style="79" bestFit="1" customWidth="1" collapsed="1"/>
    <col min="45" max="45" width="14.28515625" style="79" bestFit="1" customWidth="1"/>
    <col min="46" max="46" width="22.5703125" style="79" bestFit="1" customWidth="1"/>
    <col min="47" max="47" width="41" style="158" hidden="1" customWidth="1" outlineLevel="1"/>
    <col min="48" max="48" width="27.140625" style="158" bestFit="1" customWidth="1" collapsed="1"/>
    <col min="49" max="49" width="36.28515625" style="79" bestFit="1" customWidth="1" collapsed="1"/>
    <col min="50" max="73" width="14.28515625" style="79" hidden="1" customWidth="1" outlineLevel="1"/>
    <col min="74" max="74" width="14.28515625" style="79" bestFit="1" customWidth="1" collapsed="1"/>
    <col min="75" max="75" width="14.28515625" style="79" bestFit="1" customWidth="1"/>
    <col min="76" max="76" width="22.5703125" style="79" bestFit="1" customWidth="1"/>
    <col min="77" max="77" width="41" style="158" hidden="1" customWidth="1" outlineLevel="1"/>
    <col min="78" max="79" width="27.140625" style="79" bestFit="1" customWidth="1" collapsed="1"/>
    <col min="80" max="80" width="41" style="79" hidden="1" customWidth="1" outlineLevel="1"/>
    <col min="81" max="81" width="27.140625" style="79" bestFit="1" customWidth="1" collapsed="1"/>
    <col min="82" max="86" width="14.28515625" style="79" hidden="1" customWidth="1" outlineLevel="1"/>
    <col min="87" max="87" width="13.85546875" style="79" hidden="1" customWidth="1" outlineLevel="1"/>
    <col min="88" max="88" width="14.28515625" style="79" hidden="1" customWidth="1" outlineLevel="1"/>
    <col min="89" max="89" width="13.85546875" style="79" hidden="1" customWidth="1" outlineLevel="1"/>
    <col min="90" max="90" width="14.28515625" style="79" hidden="1" customWidth="1" outlineLevel="1"/>
    <col min="91" max="91" width="13.85546875" style="79" hidden="1" customWidth="1" outlineLevel="1"/>
    <col min="92" max="92" width="14.28515625" style="79" hidden="1" customWidth="1" outlineLevel="1"/>
    <col min="93" max="93" width="13.85546875" style="79" hidden="1" customWidth="1" outlineLevel="1"/>
    <col min="94" max="94" width="14.28515625" style="79" hidden="1" customWidth="1" outlineLevel="1"/>
    <col min="95" max="95" width="13.85546875" style="79" hidden="1" customWidth="1" outlineLevel="1"/>
    <col min="96" max="96" width="14.28515625" style="79" hidden="1" customWidth="1" outlineLevel="1"/>
    <col min="97" max="97" width="13.85546875" style="79" hidden="1" customWidth="1" outlineLevel="1"/>
    <col min="98" max="98" width="14.28515625" style="79" hidden="1" customWidth="1" outlineLevel="1"/>
    <col min="99" max="99" width="13.85546875" style="79" hidden="1" customWidth="1" outlineLevel="1"/>
    <col min="100" max="100" width="14.28515625" style="79" hidden="1" customWidth="1" outlineLevel="1"/>
    <col min="101" max="101" width="13.85546875" style="79" hidden="1" customWidth="1" outlineLevel="1"/>
    <col min="102" max="102" width="14.28515625" style="79" hidden="1" customWidth="1" outlineLevel="1"/>
    <col min="103" max="103" width="13.85546875" style="79" hidden="1" customWidth="1" outlineLevel="1"/>
    <col min="104" max="104" width="14.28515625" style="79" hidden="1" customWidth="1" outlineLevel="1"/>
    <col min="105" max="105" width="13.85546875" style="79" hidden="1" customWidth="1" outlineLevel="1"/>
    <col min="106" max="107" width="14.28515625" style="79" bestFit="1" customWidth="1" collapsed="1"/>
    <col min="108" max="108" width="13.85546875" style="79" bestFit="1" customWidth="1"/>
    <col min="109" max="109" width="16.140625" style="79" bestFit="1" customWidth="1"/>
    <col min="110" max="110" width="41" style="158" hidden="1" customWidth="1" outlineLevel="1"/>
    <col min="111" max="112" width="27.140625" style="79" bestFit="1" customWidth="1" collapsed="1"/>
    <col min="113" max="113" width="41" style="79" hidden="1" customWidth="1" outlineLevel="1"/>
    <col min="114" max="114" width="27.140625" style="79" bestFit="1" customWidth="1" collapsed="1"/>
    <col min="115" max="136" width="14.28515625" style="79" hidden="1" customWidth="1" outlineLevel="1"/>
    <col min="137" max="137" width="14.28515625" style="131" hidden="1" customWidth="1" outlineLevel="1"/>
    <col min="138" max="139" width="14.28515625" style="79" hidden="1" customWidth="1" outlineLevel="1"/>
    <col min="140" max="140" width="14.28515625" style="79" bestFit="1" customWidth="1" collapsed="1"/>
    <col min="141" max="142" width="14.28515625" style="79" bestFit="1" customWidth="1"/>
    <col min="143" max="143" width="16.140625" style="79" bestFit="1" customWidth="1"/>
    <col min="144" max="144" width="36.7109375" style="79" bestFit="1" customWidth="1"/>
    <col min="145" max="147" width="27.140625" style="79" bestFit="1" customWidth="1"/>
    <col min="148" max="148" width="20.140625" style="79" customWidth="1"/>
    <col min="149" max="149" width="16.85546875" style="66" customWidth="1" outlineLevel="1"/>
    <col min="150" max="151" width="14.85546875" style="66" customWidth="1" outlineLevel="1"/>
    <col min="152" max="153" width="15.28515625" style="66" customWidth="1" outlineLevel="1"/>
    <col min="154" max="154" width="16.85546875" style="66" customWidth="1" outlineLevel="1"/>
    <col min="155" max="155" width="15.28515625" style="66" customWidth="1" outlineLevel="1"/>
    <col min="156" max="157" width="14.28515625" style="66" customWidth="1"/>
    <col min="158" max="159" width="14.85546875" style="66" customWidth="1"/>
    <col min="160" max="160" width="15.28515625" style="66" bestFit="1" customWidth="1" outlineLevel="1"/>
    <col min="161" max="161" width="14.85546875" style="66" bestFit="1" customWidth="1" outlineLevel="1"/>
    <col min="162" max="164" width="13.85546875" style="66" hidden="1" customWidth="1" outlineLevel="1"/>
    <col min="165" max="166" width="14.28515625" style="66" bestFit="1" customWidth="1"/>
    <col min="167" max="167" width="17.28515625" style="66" bestFit="1" customWidth="1"/>
    <col min="168" max="168" width="16.140625" style="173" bestFit="1" customWidth="1"/>
    <col min="169" max="169" width="11.140625" style="93" bestFit="1" customWidth="1"/>
    <col min="170" max="170" width="11" style="76" bestFit="1" customWidth="1"/>
    <col min="171" max="171" width="42.140625" style="76" bestFit="1" customWidth="1"/>
    <col min="172" max="16384" width="9.140625" style="76"/>
  </cols>
  <sheetData>
    <row r="1" spans="1:169" ht="39" thickBot="1" x14ac:dyDescent="0.25">
      <c r="A1" s="1" t="s">
        <v>0</v>
      </c>
      <c r="B1" s="1" t="s">
        <v>110</v>
      </c>
      <c r="C1" s="2" t="s">
        <v>1</v>
      </c>
      <c r="D1" s="2" t="s">
        <v>2</v>
      </c>
      <c r="E1" s="2" t="s">
        <v>3</v>
      </c>
      <c r="F1" s="2" t="s">
        <v>727</v>
      </c>
      <c r="G1" s="2" t="s">
        <v>733</v>
      </c>
      <c r="H1" s="2" t="s">
        <v>730</v>
      </c>
      <c r="I1" s="2" t="s">
        <v>731</v>
      </c>
      <c r="J1" s="2" t="s">
        <v>732</v>
      </c>
      <c r="K1" s="2" t="s">
        <v>734</v>
      </c>
      <c r="L1" s="2"/>
      <c r="M1" s="2" t="s">
        <v>685</v>
      </c>
      <c r="N1" s="1" t="s">
        <v>4</v>
      </c>
      <c r="O1" s="1" t="s">
        <v>5</v>
      </c>
      <c r="P1" s="1" t="s">
        <v>6</v>
      </c>
      <c r="Q1" s="1" t="s">
        <v>169</v>
      </c>
      <c r="R1" s="1" t="s">
        <v>7</v>
      </c>
      <c r="S1" s="3" t="s">
        <v>556</v>
      </c>
      <c r="T1" s="329" t="s">
        <v>171</v>
      </c>
      <c r="U1" s="330"/>
      <c r="V1" s="329" t="s">
        <v>172</v>
      </c>
      <c r="W1" s="330"/>
      <c r="X1" s="329" t="s">
        <v>173</v>
      </c>
      <c r="Y1" s="330"/>
      <c r="Z1" s="331" t="s">
        <v>174</v>
      </c>
      <c r="AA1" s="330"/>
      <c r="AB1" s="329" t="s">
        <v>175</v>
      </c>
      <c r="AC1" s="330"/>
      <c r="AD1" s="329" t="s">
        <v>176</v>
      </c>
      <c r="AE1" s="330"/>
      <c r="AF1" s="329" t="s">
        <v>177</v>
      </c>
      <c r="AG1" s="330"/>
      <c r="AH1" s="329" t="s">
        <v>178</v>
      </c>
      <c r="AI1" s="330"/>
      <c r="AJ1" s="329" t="s">
        <v>179</v>
      </c>
      <c r="AK1" s="330"/>
      <c r="AL1" s="329" t="s">
        <v>180</v>
      </c>
      <c r="AM1" s="330"/>
      <c r="AN1" s="329" t="s">
        <v>181</v>
      </c>
      <c r="AO1" s="330"/>
      <c r="AP1" s="329" t="s">
        <v>182</v>
      </c>
      <c r="AQ1" s="330"/>
      <c r="AR1" s="331" t="s">
        <v>183</v>
      </c>
      <c r="AS1" s="330"/>
      <c r="AT1" s="3" t="s">
        <v>184</v>
      </c>
      <c r="AU1" s="3" t="s">
        <v>4</v>
      </c>
      <c r="AV1" s="3" t="s">
        <v>557</v>
      </c>
      <c r="AW1" s="3" t="s">
        <v>558</v>
      </c>
      <c r="AX1" s="329" t="s">
        <v>171</v>
      </c>
      <c r="AY1" s="330"/>
      <c r="AZ1" s="329" t="s">
        <v>172</v>
      </c>
      <c r="BA1" s="330"/>
      <c r="BB1" s="329" t="s">
        <v>173</v>
      </c>
      <c r="BC1" s="330"/>
      <c r="BD1" s="331" t="s">
        <v>174</v>
      </c>
      <c r="BE1" s="330"/>
      <c r="BF1" s="329" t="s">
        <v>175</v>
      </c>
      <c r="BG1" s="330"/>
      <c r="BH1" s="329" t="s">
        <v>176</v>
      </c>
      <c r="BI1" s="330"/>
      <c r="BJ1" s="329" t="s">
        <v>177</v>
      </c>
      <c r="BK1" s="330"/>
      <c r="BL1" s="329" t="s">
        <v>178</v>
      </c>
      <c r="BM1" s="330"/>
      <c r="BN1" s="329" t="s">
        <v>179</v>
      </c>
      <c r="BO1" s="330"/>
      <c r="BP1" s="329" t="s">
        <v>180</v>
      </c>
      <c r="BQ1" s="330"/>
      <c r="BR1" s="329" t="s">
        <v>181</v>
      </c>
      <c r="BS1" s="330"/>
      <c r="BT1" s="329" t="s">
        <v>182</v>
      </c>
      <c r="BU1" s="330"/>
      <c r="BV1" s="331" t="s">
        <v>183</v>
      </c>
      <c r="BW1" s="330"/>
      <c r="BX1" s="3" t="s">
        <v>292</v>
      </c>
      <c r="BY1" s="3" t="s">
        <v>4</v>
      </c>
      <c r="BZ1" s="3" t="s">
        <v>559</v>
      </c>
      <c r="CA1" s="3" t="s">
        <v>560</v>
      </c>
      <c r="CB1" s="3" t="s">
        <v>4</v>
      </c>
      <c r="CC1" s="3" t="s">
        <v>626</v>
      </c>
      <c r="CD1" s="329" t="s">
        <v>171</v>
      </c>
      <c r="CE1" s="330"/>
      <c r="CF1" s="329" t="s">
        <v>172</v>
      </c>
      <c r="CG1" s="330"/>
      <c r="CH1" s="329" t="s">
        <v>173</v>
      </c>
      <c r="CI1" s="330"/>
      <c r="CJ1" s="331" t="s">
        <v>174</v>
      </c>
      <c r="CK1" s="330"/>
      <c r="CL1" s="329" t="s">
        <v>175</v>
      </c>
      <c r="CM1" s="330"/>
      <c r="CN1" s="329" t="s">
        <v>176</v>
      </c>
      <c r="CO1" s="330"/>
      <c r="CP1" s="329" t="s">
        <v>177</v>
      </c>
      <c r="CQ1" s="330"/>
      <c r="CR1" s="329" t="s">
        <v>178</v>
      </c>
      <c r="CS1" s="330"/>
      <c r="CT1" s="329" t="s">
        <v>179</v>
      </c>
      <c r="CU1" s="330"/>
      <c r="CV1" s="329" t="s">
        <v>180</v>
      </c>
      <c r="CW1" s="330"/>
      <c r="CX1" s="329" t="s">
        <v>181</v>
      </c>
      <c r="CY1" s="330"/>
      <c r="CZ1" s="329" t="s">
        <v>182</v>
      </c>
      <c r="DA1" s="330"/>
      <c r="DB1" s="331" t="s">
        <v>183</v>
      </c>
      <c r="DC1" s="331"/>
      <c r="DD1" s="330"/>
      <c r="DE1" s="3" t="s">
        <v>449</v>
      </c>
      <c r="DF1" s="3" t="s">
        <v>4</v>
      </c>
      <c r="DG1" s="3" t="s">
        <v>686</v>
      </c>
      <c r="DH1" s="3" t="s">
        <v>687</v>
      </c>
      <c r="DI1" s="3" t="s">
        <v>4</v>
      </c>
      <c r="DJ1" s="3" t="s">
        <v>688</v>
      </c>
      <c r="DK1" s="329" t="s">
        <v>171</v>
      </c>
      <c r="DL1" s="330"/>
      <c r="DM1" s="329" t="s">
        <v>172</v>
      </c>
      <c r="DN1" s="330"/>
      <c r="DO1" s="329" t="s">
        <v>173</v>
      </c>
      <c r="DP1" s="330"/>
      <c r="DQ1" s="331" t="s">
        <v>174</v>
      </c>
      <c r="DR1" s="330"/>
      <c r="DS1" s="329" t="s">
        <v>175</v>
      </c>
      <c r="DT1" s="330"/>
      <c r="DU1" s="329" t="s">
        <v>176</v>
      </c>
      <c r="DV1" s="330"/>
      <c r="DW1" s="329" t="s">
        <v>177</v>
      </c>
      <c r="DX1" s="330"/>
      <c r="DY1" s="329" t="s">
        <v>178</v>
      </c>
      <c r="DZ1" s="330"/>
      <c r="EA1" s="329" t="s">
        <v>179</v>
      </c>
      <c r="EB1" s="330"/>
      <c r="EC1" s="329" t="s">
        <v>180</v>
      </c>
      <c r="ED1" s="330"/>
      <c r="EE1" s="329" t="s">
        <v>181</v>
      </c>
      <c r="EF1" s="331"/>
      <c r="EG1" s="330"/>
      <c r="EH1" s="329" t="s">
        <v>182</v>
      </c>
      <c r="EI1" s="330"/>
      <c r="EJ1" s="331" t="s">
        <v>183</v>
      </c>
      <c r="EK1" s="331"/>
      <c r="EL1" s="330"/>
      <c r="EM1" s="3" t="s">
        <v>689</v>
      </c>
      <c r="EN1" s="3" t="s">
        <v>4</v>
      </c>
      <c r="EO1" s="3" t="s">
        <v>806</v>
      </c>
      <c r="EP1" s="3" t="s">
        <v>805</v>
      </c>
      <c r="EQ1" s="3" t="s">
        <v>807</v>
      </c>
      <c r="ER1" s="3" t="s">
        <v>742</v>
      </c>
      <c r="ES1" s="139" t="s">
        <v>171</v>
      </c>
      <c r="ET1" s="139" t="s">
        <v>172</v>
      </c>
      <c r="EU1" s="139" t="s">
        <v>173</v>
      </c>
      <c r="EV1" s="139" t="s">
        <v>174</v>
      </c>
      <c r="EW1" s="139" t="s">
        <v>174</v>
      </c>
      <c r="EX1" s="139" t="s">
        <v>175</v>
      </c>
      <c r="EY1" s="139" t="s">
        <v>176</v>
      </c>
      <c r="EZ1" s="323" t="s">
        <v>177</v>
      </c>
      <c r="FA1" s="324"/>
      <c r="FB1" s="324"/>
      <c r="FC1" s="325"/>
      <c r="FD1" s="139" t="s">
        <v>178</v>
      </c>
      <c r="FE1" s="139" t="s">
        <v>179</v>
      </c>
      <c r="FF1" s="139" t="s">
        <v>180</v>
      </c>
      <c r="FG1" s="139" t="s">
        <v>181</v>
      </c>
      <c r="FH1" s="139" t="s">
        <v>182</v>
      </c>
      <c r="FI1" s="323" t="s">
        <v>183</v>
      </c>
      <c r="FJ1" s="324"/>
      <c r="FK1" s="325"/>
      <c r="FL1" s="3" t="s">
        <v>741</v>
      </c>
      <c r="FM1" s="61" t="s">
        <v>185</v>
      </c>
    </row>
    <row r="2" spans="1:169" ht="13.5" thickBot="1" x14ac:dyDescent="0.25">
      <c r="S2" s="13"/>
      <c r="T2" s="4" t="s">
        <v>186</v>
      </c>
      <c r="U2" s="4" t="s">
        <v>187</v>
      </c>
      <c r="V2" s="4" t="s">
        <v>186</v>
      </c>
      <c r="W2" s="4" t="s">
        <v>187</v>
      </c>
      <c r="X2" s="4" t="s">
        <v>186</v>
      </c>
      <c r="Y2" s="4" t="s">
        <v>187</v>
      </c>
      <c r="Z2" s="5" t="s">
        <v>186</v>
      </c>
      <c r="AA2" s="5" t="s">
        <v>187</v>
      </c>
      <c r="AB2" s="4" t="s">
        <v>186</v>
      </c>
      <c r="AC2" s="4" t="s">
        <v>187</v>
      </c>
      <c r="AD2" s="4" t="s">
        <v>186</v>
      </c>
      <c r="AE2" s="4" t="s">
        <v>187</v>
      </c>
      <c r="AF2" s="4" t="s">
        <v>187</v>
      </c>
      <c r="AG2" s="4" t="s">
        <v>187</v>
      </c>
      <c r="AH2" s="4" t="s">
        <v>186</v>
      </c>
      <c r="AI2" s="4" t="s">
        <v>187</v>
      </c>
      <c r="AJ2" s="4" t="s">
        <v>186</v>
      </c>
      <c r="AK2" s="4" t="s">
        <v>187</v>
      </c>
      <c r="AL2" s="4" t="s">
        <v>186</v>
      </c>
      <c r="AM2" s="4" t="s">
        <v>187</v>
      </c>
      <c r="AN2" s="4" t="s">
        <v>186</v>
      </c>
      <c r="AO2" s="4" t="s">
        <v>187</v>
      </c>
      <c r="AP2" s="4" t="s">
        <v>186</v>
      </c>
      <c r="AQ2" s="4" t="s">
        <v>187</v>
      </c>
      <c r="AR2" s="6" t="s">
        <v>186</v>
      </c>
      <c r="AS2" s="6" t="s">
        <v>187</v>
      </c>
      <c r="AT2" s="6"/>
      <c r="AU2" s="154"/>
      <c r="AV2" s="154"/>
      <c r="AW2" s="13"/>
      <c r="AX2" s="4" t="s">
        <v>186</v>
      </c>
      <c r="AY2" s="4" t="s">
        <v>187</v>
      </c>
      <c r="AZ2" s="4" t="s">
        <v>186</v>
      </c>
      <c r="BA2" s="4" t="s">
        <v>187</v>
      </c>
      <c r="BB2" s="4" t="s">
        <v>186</v>
      </c>
      <c r="BC2" s="4" t="s">
        <v>187</v>
      </c>
      <c r="BD2" s="5" t="s">
        <v>186</v>
      </c>
      <c r="BE2" s="5" t="s">
        <v>187</v>
      </c>
      <c r="BF2" s="4" t="s">
        <v>186</v>
      </c>
      <c r="BG2" s="4" t="s">
        <v>187</v>
      </c>
      <c r="BH2" s="4" t="s">
        <v>186</v>
      </c>
      <c r="BI2" s="4" t="s">
        <v>187</v>
      </c>
      <c r="BJ2" s="4" t="s">
        <v>186</v>
      </c>
      <c r="BK2" s="4" t="s">
        <v>187</v>
      </c>
      <c r="BL2" s="4" t="s">
        <v>186</v>
      </c>
      <c r="BM2" s="4" t="s">
        <v>187</v>
      </c>
      <c r="BN2" s="4" t="s">
        <v>186</v>
      </c>
      <c r="BO2" s="4" t="s">
        <v>187</v>
      </c>
      <c r="BP2" s="4" t="s">
        <v>186</v>
      </c>
      <c r="BQ2" s="4" t="s">
        <v>187</v>
      </c>
      <c r="BR2" s="4" t="s">
        <v>186</v>
      </c>
      <c r="BS2" s="4" t="s">
        <v>187</v>
      </c>
      <c r="BT2" s="4" t="s">
        <v>186</v>
      </c>
      <c r="BU2" s="4" t="s">
        <v>187</v>
      </c>
      <c r="BV2" s="6" t="s">
        <v>186</v>
      </c>
      <c r="BW2" s="6" t="s">
        <v>187</v>
      </c>
      <c r="BX2" s="6"/>
      <c r="BY2" s="155"/>
      <c r="BZ2" s="13"/>
      <c r="CA2" s="13"/>
      <c r="CB2" s="155"/>
      <c r="CC2" s="13"/>
      <c r="CD2" s="4" t="s">
        <v>186</v>
      </c>
      <c r="CE2" s="4" t="s">
        <v>187</v>
      </c>
      <c r="CF2" s="4" t="s">
        <v>186</v>
      </c>
      <c r="CG2" s="4" t="s">
        <v>187</v>
      </c>
      <c r="CH2" s="4" t="s">
        <v>187</v>
      </c>
      <c r="CI2" s="4" t="s">
        <v>195</v>
      </c>
      <c r="CJ2" s="5" t="s">
        <v>187</v>
      </c>
      <c r="CK2" s="5" t="s">
        <v>195</v>
      </c>
      <c r="CL2" s="4" t="s">
        <v>187</v>
      </c>
      <c r="CM2" s="4" t="s">
        <v>195</v>
      </c>
      <c r="CN2" s="4" t="s">
        <v>187</v>
      </c>
      <c r="CO2" s="4" t="s">
        <v>195</v>
      </c>
      <c r="CP2" s="4" t="s">
        <v>187</v>
      </c>
      <c r="CQ2" s="4" t="s">
        <v>195</v>
      </c>
      <c r="CR2" s="4" t="s">
        <v>187</v>
      </c>
      <c r="CS2" s="4" t="s">
        <v>195</v>
      </c>
      <c r="CT2" s="4" t="s">
        <v>187</v>
      </c>
      <c r="CU2" s="4" t="s">
        <v>195</v>
      </c>
      <c r="CV2" s="4" t="s">
        <v>187</v>
      </c>
      <c r="CW2" s="4" t="s">
        <v>195</v>
      </c>
      <c r="CX2" s="4" t="s">
        <v>187</v>
      </c>
      <c r="CY2" s="4" t="s">
        <v>195</v>
      </c>
      <c r="CZ2" s="4" t="s">
        <v>187</v>
      </c>
      <c r="DA2" s="4" t="s">
        <v>195</v>
      </c>
      <c r="DB2" s="6" t="s">
        <v>186</v>
      </c>
      <c r="DC2" s="6" t="s">
        <v>187</v>
      </c>
      <c r="DD2" s="6" t="s">
        <v>195</v>
      </c>
      <c r="DE2" s="6"/>
      <c r="DF2" s="154"/>
      <c r="DG2" s="13"/>
      <c r="DH2" s="13"/>
      <c r="DI2" s="154"/>
      <c r="DJ2" s="13"/>
      <c r="DK2" s="5" t="s">
        <v>187</v>
      </c>
      <c r="DL2" s="5" t="s">
        <v>690</v>
      </c>
      <c r="DM2" s="5" t="s">
        <v>187</v>
      </c>
      <c r="DN2" s="5" t="s">
        <v>690</v>
      </c>
      <c r="DO2" s="5" t="s">
        <v>187</v>
      </c>
      <c r="DP2" s="156" t="s">
        <v>697</v>
      </c>
      <c r="DQ2" s="5" t="s">
        <v>187</v>
      </c>
      <c r="DR2" s="5" t="s">
        <v>690</v>
      </c>
      <c r="DS2" s="4" t="s">
        <v>187</v>
      </c>
      <c r="DT2" s="4" t="s">
        <v>690</v>
      </c>
      <c r="DU2" s="4" t="s">
        <v>187</v>
      </c>
      <c r="DV2" s="4" t="s">
        <v>690</v>
      </c>
      <c r="DW2" s="4" t="s">
        <v>187</v>
      </c>
      <c r="DX2" s="4" t="s">
        <v>690</v>
      </c>
      <c r="DY2" s="4" t="s">
        <v>187</v>
      </c>
      <c r="DZ2" s="4" t="s">
        <v>690</v>
      </c>
      <c r="EA2" s="4" t="s">
        <v>187</v>
      </c>
      <c r="EB2" s="4" t="s">
        <v>690</v>
      </c>
      <c r="EC2" s="4" t="s">
        <v>187</v>
      </c>
      <c r="ED2" s="4" t="s">
        <v>690</v>
      </c>
      <c r="EE2" s="4" t="s">
        <v>187</v>
      </c>
      <c r="EF2" s="4" t="s">
        <v>690</v>
      </c>
      <c r="EG2" s="130" t="s">
        <v>697</v>
      </c>
      <c r="EH2" s="4" t="s">
        <v>187</v>
      </c>
      <c r="EI2" s="4" t="s">
        <v>690</v>
      </c>
      <c r="EJ2" s="6" t="s">
        <v>697</v>
      </c>
      <c r="EK2" s="6" t="s">
        <v>187</v>
      </c>
      <c r="EL2" s="6" t="s">
        <v>690</v>
      </c>
      <c r="EM2" s="6"/>
      <c r="EN2" s="13"/>
      <c r="EO2" s="13"/>
      <c r="EP2" s="13"/>
      <c r="EQ2" s="13"/>
      <c r="ER2" s="13"/>
      <c r="ES2" s="143" t="s">
        <v>691</v>
      </c>
      <c r="ET2" s="140" t="s">
        <v>691</v>
      </c>
      <c r="EU2" s="140" t="s">
        <v>691</v>
      </c>
      <c r="EV2" s="140" t="s">
        <v>187</v>
      </c>
      <c r="EW2" s="140" t="s">
        <v>691</v>
      </c>
      <c r="EX2" s="140" t="s">
        <v>691</v>
      </c>
      <c r="EY2" s="140" t="s">
        <v>691</v>
      </c>
      <c r="EZ2" s="140" t="s">
        <v>187</v>
      </c>
      <c r="FA2" s="140" t="s">
        <v>812</v>
      </c>
      <c r="FB2" s="140" t="s">
        <v>691</v>
      </c>
      <c r="FC2" s="140" t="s">
        <v>691</v>
      </c>
      <c r="FD2" s="140" t="s">
        <v>691</v>
      </c>
      <c r="FE2" s="140" t="s">
        <v>691</v>
      </c>
      <c r="FF2" s="140" t="s">
        <v>691</v>
      </c>
      <c r="FG2" s="140" t="s">
        <v>691</v>
      </c>
      <c r="FH2" s="140" t="s">
        <v>691</v>
      </c>
      <c r="FI2" s="140" t="s">
        <v>187</v>
      </c>
      <c r="FJ2" s="140" t="s">
        <v>812</v>
      </c>
      <c r="FK2" s="140" t="s">
        <v>691</v>
      </c>
      <c r="FL2" s="157"/>
    </row>
    <row r="3" spans="1:169" hidden="1" outlineLevel="1" x14ac:dyDescent="0.2">
      <c r="A3" s="77" t="s">
        <v>9</v>
      </c>
      <c r="B3" s="77" t="s">
        <v>34</v>
      </c>
      <c r="C3" s="76" t="s">
        <v>90</v>
      </c>
      <c r="D3" s="76" t="s">
        <v>111</v>
      </c>
      <c r="E3" s="77" t="s">
        <v>198</v>
      </c>
      <c r="F3" s="77" t="s">
        <v>707</v>
      </c>
      <c r="G3" s="77" t="str">
        <f>IF(S3&gt;0, "1", "0")</f>
        <v>0</v>
      </c>
      <c r="H3" s="77" t="str">
        <f>IF(AW3&gt;0, "1", "0")</f>
        <v>0</v>
      </c>
      <c r="I3" s="77" t="str">
        <f>IF(CC3&gt;0, "1", "0")</f>
        <v>0</v>
      </c>
      <c r="J3" s="77" t="str">
        <f>IF(DJ3&gt;0, "1", "0")</f>
        <v>0</v>
      </c>
      <c r="K3" s="77" t="str">
        <f>CONCATENATE(G3,H3,I3,J3)</f>
        <v>0000</v>
      </c>
      <c r="L3" s="77" t="str">
        <f>IFERROR(VLOOKUP(K3,Sheet2!$A$20:$B$23,2,FALSE),"X")</f>
        <v>X</v>
      </c>
      <c r="M3" s="77" t="str">
        <f>A3&amp;B3&amp;E3</f>
        <v>0030N/AAccountability Pathways 19-20</v>
      </c>
      <c r="O3" s="76" t="s">
        <v>160</v>
      </c>
      <c r="P3" s="69" t="s">
        <v>168</v>
      </c>
      <c r="Q3" s="78">
        <v>43168</v>
      </c>
      <c r="R3" s="78">
        <v>43168</v>
      </c>
      <c r="AR3" s="79">
        <f t="shared" ref="AR3:AR10" si="0">SUMIF($T$2:$AQ$2,$AR$2,$T3:$AQ3)</f>
        <v>0</v>
      </c>
      <c r="AS3" s="79">
        <f t="shared" ref="AS3:AS10" si="1">SUMIF($T$2:$AQ$2,$AS$2,$T3:$AQ3)</f>
        <v>0</v>
      </c>
      <c r="AT3" s="79">
        <f t="shared" ref="AT3:AT10" si="2">S3+(AR3+AS3)</f>
        <v>0</v>
      </c>
      <c r="AV3" s="79"/>
      <c r="BV3" s="79">
        <f t="shared" ref="BV3:BV10" si="3">SUMIF($AX$2:$BU$2,$BV$2,$AX3:$BU3)</f>
        <v>0</v>
      </c>
      <c r="BW3" s="79">
        <f t="shared" ref="BW3:BW10" si="4">SUMIF($AX$2:$BU$2,$BW$2,$AX3:$BU3)</f>
        <v>0</v>
      </c>
      <c r="BX3" s="79">
        <f>AT3+AV3+AW3+(BV3+BW3)</f>
        <v>0</v>
      </c>
      <c r="DB3" s="79">
        <f t="shared" ref="DB3:DB10" si="5">SUMIF($CD$2:$DA$2,$DB$2,$CD3:$DA3)</f>
        <v>0</v>
      </c>
      <c r="DC3" s="79">
        <f t="shared" ref="DC3:DC10" si="6">SUMIF($CD$2:$DA$2,$DC$2,$CD3:$DA3)</f>
        <v>0</v>
      </c>
      <c r="DD3" s="79">
        <f t="shared" ref="DD3:DD10" si="7">SUMIF($CD$2:$DA$2,$DD$2,$CD3:$DA3)</f>
        <v>0</v>
      </c>
      <c r="DE3" s="79">
        <f>BX3+CA3+BZ3+CC3+(DB3+DC3+DD3)</f>
        <v>0</v>
      </c>
      <c r="DP3" s="131"/>
      <c r="EJ3" s="79">
        <f t="shared" ref="EJ3:EJ10" si="8">SUMIF($DK$2:$EI$2,$EJ$2,$DK3:$EI3)</f>
        <v>0</v>
      </c>
      <c r="EK3" s="79">
        <f t="shared" ref="EK3:EK10" si="9">SUMIF($DK$2:$EI$2,$EK$2,$DK3:$EI3)</f>
        <v>0</v>
      </c>
      <c r="EL3" s="79">
        <f t="shared" ref="EL3:EL10" si="10">SUMIF($DK$2:$EI$2,$EL$2,$DK3:$EI3)</f>
        <v>0</v>
      </c>
      <c r="EM3" s="79">
        <f>DE3+DH3+DG3+DJ3+(EJ3+EK3+EL3)</f>
        <v>0</v>
      </c>
      <c r="FI3" s="66">
        <f t="shared" ref="FI3:FI10" si="11">SUMIF($ES$2:$FH$2,$FI$2,$ES3:$FH3)</f>
        <v>0</v>
      </c>
      <c r="FJ3" s="66">
        <f t="shared" ref="FJ3:FJ10" si="12">SUMIF($ES$2:$FH$2,$FJ$2,$ES3:$FH3)</f>
        <v>0</v>
      </c>
      <c r="FK3" s="66">
        <f t="shared" ref="FK3:FK10" si="13">SUMIF($ES$2:$FH$2,$FK$2,$ES3:$FH3)</f>
        <v>0</v>
      </c>
      <c r="FL3" s="173">
        <f t="shared" ref="FL3:FL10" si="14">EM3+EO3+EP3+EQ3+(FK3+FI3+FJ3)</f>
        <v>0</v>
      </c>
    </row>
    <row r="4" spans="1:169" hidden="1" outlineLevel="1" x14ac:dyDescent="0.2">
      <c r="A4" s="76" t="s">
        <v>13</v>
      </c>
      <c r="B4" s="76" t="s">
        <v>36</v>
      </c>
      <c r="C4" s="76" t="s">
        <v>94</v>
      </c>
      <c r="D4" s="76" t="s">
        <v>113</v>
      </c>
      <c r="E4" s="77" t="s">
        <v>196</v>
      </c>
      <c r="F4" s="77" t="s">
        <v>707</v>
      </c>
      <c r="G4" s="77" t="str">
        <f t="shared" ref="G4:G10" si="15">IF(S4&gt;0, "1", "0")</f>
        <v>1</v>
      </c>
      <c r="H4" s="77" t="str">
        <f t="shared" ref="H4:H10" si="16">IF(AW4&gt;0, "1", "0")</f>
        <v>0</v>
      </c>
      <c r="I4" s="77" t="str">
        <f t="shared" ref="I4:I10" si="17">IF(CC4&gt;0, "1", "0")</f>
        <v>0</v>
      </c>
      <c r="J4" s="77" t="str">
        <f t="shared" ref="J4:J10" si="18">IF(DJ4&gt;0, "1", "0")</f>
        <v>0</v>
      </c>
      <c r="K4" s="77" t="str">
        <f t="shared" ref="K4:K10" si="19">CONCATENATE(G4,H4,I4,J4)</f>
        <v>1000</v>
      </c>
      <c r="L4" s="77" t="str">
        <f>IFERROR(VLOOKUP(K4,Sheet2!$A$20:$B$23,2,FALSE),"X")</f>
        <v>01</v>
      </c>
      <c r="M4" s="77" t="str">
        <f t="shared" ref="M4:M75" si="20">A4&amp;B4&amp;E4</f>
        <v>01202752Accountability Pathways 17-18</v>
      </c>
      <c r="N4" s="76" t="s">
        <v>161</v>
      </c>
      <c r="O4" s="76" t="s">
        <v>160</v>
      </c>
      <c r="P4" s="69" t="s">
        <v>168</v>
      </c>
      <c r="Q4" s="78">
        <v>43168</v>
      </c>
      <c r="R4" s="78">
        <v>43168</v>
      </c>
      <c r="S4" s="79">
        <v>22050</v>
      </c>
      <c r="AR4" s="79">
        <f t="shared" si="0"/>
        <v>0</v>
      </c>
      <c r="AS4" s="79">
        <f t="shared" si="1"/>
        <v>0</v>
      </c>
      <c r="AT4" s="79">
        <f t="shared" si="2"/>
        <v>22050</v>
      </c>
      <c r="AV4" s="79"/>
      <c r="AX4" s="79">
        <v>-20307</v>
      </c>
      <c r="BV4" s="79">
        <f t="shared" si="3"/>
        <v>-20307</v>
      </c>
      <c r="BW4" s="79">
        <f t="shared" si="4"/>
        <v>0</v>
      </c>
      <c r="BX4" s="79">
        <f t="shared" ref="BX4:BX10" si="21">AT4+AV4+AW4+(BV4+BW4)</f>
        <v>1743</v>
      </c>
      <c r="DB4" s="79">
        <f t="shared" si="5"/>
        <v>0</v>
      </c>
      <c r="DC4" s="79">
        <f t="shared" si="6"/>
        <v>0</v>
      </c>
      <c r="DD4" s="79">
        <f t="shared" si="7"/>
        <v>0</v>
      </c>
      <c r="DE4" s="79">
        <f>BX4+CA4+BZ4+CC4+(DB4+DC4+DD4)</f>
        <v>1743</v>
      </c>
      <c r="DP4" s="131"/>
      <c r="EJ4" s="79">
        <f t="shared" si="8"/>
        <v>0</v>
      </c>
      <c r="EK4" s="79">
        <f t="shared" si="9"/>
        <v>0</v>
      </c>
      <c r="EL4" s="79">
        <f t="shared" si="10"/>
        <v>0</v>
      </c>
      <c r="EM4" s="79">
        <f t="shared" ref="EM4:EM10" si="22">DE4+DH4+DG4+DJ4+(EJ4+EK4+EL4)</f>
        <v>1743</v>
      </c>
      <c r="FE4" s="312">
        <v>-350</v>
      </c>
      <c r="FI4" s="66">
        <f t="shared" si="11"/>
        <v>0</v>
      </c>
      <c r="FJ4" s="66">
        <f t="shared" si="12"/>
        <v>0</v>
      </c>
      <c r="FK4" s="66">
        <f t="shared" si="13"/>
        <v>-350</v>
      </c>
      <c r="FL4" s="173">
        <f t="shared" si="14"/>
        <v>1393</v>
      </c>
    </row>
    <row r="5" spans="1:169" hidden="1" outlineLevel="1" x14ac:dyDescent="0.2">
      <c r="A5" s="76" t="s">
        <v>15</v>
      </c>
      <c r="B5" s="76" t="s">
        <v>391</v>
      </c>
      <c r="C5" s="76" t="s">
        <v>296</v>
      </c>
      <c r="D5" s="76" t="s">
        <v>624</v>
      </c>
      <c r="E5" s="77" t="s">
        <v>197</v>
      </c>
      <c r="F5" s="77" t="s">
        <v>707</v>
      </c>
      <c r="G5" s="77" t="str">
        <f t="shared" si="15"/>
        <v>0</v>
      </c>
      <c r="H5" s="77" t="str">
        <f t="shared" si="16"/>
        <v>1</v>
      </c>
      <c r="I5" s="77" t="str">
        <f t="shared" si="17"/>
        <v>0</v>
      </c>
      <c r="J5" s="77" t="str">
        <f t="shared" si="18"/>
        <v>0</v>
      </c>
      <c r="K5" s="77" t="str">
        <f t="shared" si="19"/>
        <v>0100</v>
      </c>
      <c r="L5" s="77" t="str">
        <f>IFERROR(VLOOKUP(K5,Sheet2!$A$20:$B$23,2,FALSE),"X")</f>
        <v>02</v>
      </c>
      <c r="M5" s="77" t="str">
        <f t="shared" si="20"/>
        <v>01801458Accountability Pathways 18-19</v>
      </c>
      <c r="N5" s="76" t="s">
        <v>161</v>
      </c>
      <c r="O5" s="76" t="s">
        <v>160</v>
      </c>
      <c r="P5" s="69" t="s">
        <v>168</v>
      </c>
      <c r="Q5" s="78">
        <v>43168</v>
      </c>
      <c r="R5" s="78">
        <v>43168</v>
      </c>
      <c r="S5" s="79">
        <v>0</v>
      </c>
      <c r="AR5" s="79">
        <f t="shared" si="0"/>
        <v>0</v>
      </c>
      <c r="AS5" s="79">
        <f t="shared" si="1"/>
        <v>0</v>
      </c>
      <c r="AT5" s="79">
        <f t="shared" si="2"/>
        <v>0</v>
      </c>
      <c r="AU5" s="158" t="s">
        <v>336</v>
      </c>
      <c r="AV5" s="79"/>
      <c r="AW5" s="79">
        <v>80000</v>
      </c>
      <c r="BV5" s="79">
        <f t="shared" si="3"/>
        <v>0</v>
      </c>
      <c r="BW5" s="79">
        <f t="shared" si="4"/>
        <v>0</v>
      </c>
      <c r="BX5" s="79">
        <f t="shared" si="21"/>
        <v>80000</v>
      </c>
      <c r="CH5" s="79">
        <v>-33979.33</v>
      </c>
      <c r="CL5" s="79">
        <v>-46020.67</v>
      </c>
      <c r="DB5" s="79">
        <f t="shared" si="5"/>
        <v>0</v>
      </c>
      <c r="DC5" s="79">
        <f t="shared" si="6"/>
        <v>-80000</v>
      </c>
      <c r="DD5" s="79">
        <f t="shared" si="7"/>
        <v>0</v>
      </c>
      <c r="DE5" s="79">
        <f t="shared" ref="DE5:DE10" si="23">BX5+CA5+BZ5+CC5+(DB5+DC5+DD5)</f>
        <v>0</v>
      </c>
      <c r="DP5" s="131"/>
      <c r="EJ5" s="79">
        <f t="shared" si="8"/>
        <v>0</v>
      </c>
      <c r="EK5" s="79">
        <f t="shared" si="9"/>
        <v>0</v>
      </c>
      <c r="EL5" s="79">
        <f t="shared" si="10"/>
        <v>0</v>
      </c>
      <c r="EM5" s="79">
        <f t="shared" si="22"/>
        <v>0</v>
      </c>
      <c r="FI5" s="66">
        <f t="shared" si="11"/>
        <v>0</v>
      </c>
      <c r="FJ5" s="66">
        <f t="shared" si="12"/>
        <v>0</v>
      </c>
      <c r="FK5" s="66">
        <f t="shared" si="13"/>
        <v>0</v>
      </c>
      <c r="FL5" s="173">
        <f t="shared" si="14"/>
        <v>0</v>
      </c>
    </row>
    <row r="6" spans="1:169" hidden="1" outlineLevel="1" x14ac:dyDescent="0.2">
      <c r="A6" s="77" t="s">
        <v>23</v>
      </c>
      <c r="B6" s="77" t="s">
        <v>34</v>
      </c>
      <c r="C6" s="76" t="s">
        <v>507</v>
      </c>
      <c r="D6" s="76" t="s">
        <v>111</v>
      </c>
      <c r="E6" s="77" t="s">
        <v>198</v>
      </c>
      <c r="F6" s="77" t="s">
        <v>707</v>
      </c>
      <c r="G6" s="77" t="str">
        <f t="shared" si="15"/>
        <v>0</v>
      </c>
      <c r="H6" s="77" t="str">
        <f t="shared" si="16"/>
        <v>0</v>
      </c>
      <c r="I6" s="77" t="str">
        <f t="shared" si="17"/>
        <v>0</v>
      </c>
      <c r="J6" s="77" t="str">
        <f t="shared" si="18"/>
        <v>0</v>
      </c>
      <c r="K6" s="77" t="str">
        <f t="shared" si="19"/>
        <v>0000</v>
      </c>
      <c r="L6" s="77" t="str">
        <f>IFERROR(VLOOKUP(K6,Sheet2!$A$20:$B$23,2,FALSE),"X")</f>
        <v>X</v>
      </c>
      <c r="M6" s="77" t="str">
        <f t="shared" si="20"/>
        <v>0880N/AAccountability Pathways 19-20</v>
      </c>
      <c r="O6" s="76" t="s">
        <v>160</v>
      </c>
      <c r="P6" s="69" t="s">
        <v>168</v>
      </c>
      <c r="Q6" s="78">
        <v>43168</v>
      </c>
      <c r="R6" s="78">
        <v>43168</v>
      </c>
      <c r="AR6" s="79">
        <f t="shared" si="0"/>
        <v>0</v>
      </c>
      <c r="AS6" s="79">
        <f t="shared" si="1"/>
        <v>0</v>
      </c>
      <c r="AT6" s="79">
        <f t="shared" ref="AT6" si="24">S6+(AR6+AS6)</f>
        <v>0</v>
      </c>
      <c r="AV6" s="79"/>
      <c r="BV6" s="79">
        <f t="shared" si="3"/>
        <v>0</v>
      </c>
      <c r="BW6" s="79">
        <f t="shared" si="4"/>
        <v>0</v>
      </c>
      <c r="BX6" s="79">
        <f t="shared" si="21"/>
        <v>0</v>
      </c>
      <c r="DB6" s="79">
        <f t="shared" si="5"/>
        <v>0</v>
      </c>
      <c r="DC6" s="79">
        <f t="shared" si="6"/>
        <v>0</v>
      </c>
      <c r="DD6" s="79">
        <f t="shared" si="7"/>
        <v>0</v>
      </c>
      <c r="DE6" s="79">
        <f t="shared" si="23"/>
        <v>0</v>
      </c>
      <c r="DP6" s="131"/>
      <c r="EJ6" s="79">
        <f t="shared" si="8"/>
        <v>0</v>
      </c>
      <c r="EK6" s="79">
        <f t="shared" si="9"/>
        <v>0</v>
      </c>
      <c r="EL6" s="79">
        <f t="shared" si="10"/>
        <v>0</v>
      </c>
      <c r="EM6" s="79">
        <f t="shared" si="22"/>
        <v>0</v>
      </c>
      <c r="FI6" s="66">
        <f t="shared" si="11"/>
        <v>0</v>
      </c>
      <c r="FJ6" s="66">
        <f t="shared" si="12"/>
        <v>0</v>
      </c>
      <c r="FK6" s="66">
        <f t="shared" si="13"/>
        <v>0</v>
      </c>
      <c r="FL6" s="173">
        <f t="shared" si="14"/>
        <v>0</v>
      </c>
    </row>
    <row r="7" spans="1:169" hidden="1" outlineLevel="1" x14ac:dyDescent="0.2">
      <c r="A7" s="77" t="s">
        <v>431</v>
      </c>
      <c r="B7" s="77" t="s">
        <v>438</v>
      </c>
      <c r="C7" s="76" t="s">
        <v>508</v>
      </c>
      <c r="D7" s="76" t="s">
        <v>522</v>
      </c>
      <c r="E7" s="77" t="s">
        <v>198</v>
      </c>
      <c r="F7" s="77" t="s">
        <v>707</v>
      </c>
      <c r="G7" s="77" t="str">
        <f t="shared" si="15"/>
        <v>0</v>
      </c>
      <c r="H7" s="77" t="str">
        <f t="shared" si="16"/>
        <v>0</v>
      </c>
      <c r="I7" s="77" t="str">
        <f t="shared" si="17"/>
        <v>0</v>
      </c>
      <c r="J7" s="77" t="str">
        <f t="shared" si="18"/>
        <v>0</v>
      </c>
      <c r="K7" s="77" t="str">
        <f t="shared" si="19"/>
        <v>0000</v>
      </c>
      <c r="L7" s="77" t="str">
        <f>IFERROR(VLOOKUP(K7,Sheet2!$A$20:$B$23,2,FALSE),"X")</f>
        <v>X</v>
      </c>
      <c r="M7" s="77" t="str">
        <f t="shared" si="20"/>
        <v>09003863Accountability Pathways 19-20</v>
      </c>
      <c r="O7" s="76" t="s">
        <v>160</v>
      </c>
      <c r="P7" s="69" t="s">
        <v>168</v>
      </c>
      <c r="Q7" s="78">
        <v>43168</v>
      </c>
      <c r="R7" s="78">
        <v>43168</v>
      </c>
      <c r="AR7" s="79">
        <f t="shared" si="0"/>
        <v>0</v>
      </c>
      <c r="AS7" s="79">
        <f t="shared" si="1"/>
        <v>0</v>
      </c>
      <c r="AT7" s="79">
        <f t="shared" si="2"/>
        <v>0</v>
      </c>
      <c r="AV7" s="79"/>
      <c r="BV7" s="79">
        <f t="shared" si="3"/>
        <v>0</v>
      </c>
      <c r="BW7" s="79">
        <f t="shared" si="4"/>
        <v>0</v>
      </c>
      <c r="BX7" s="79">
        <f t="shared" si="21"/>
        <v>0</v>
      </c>
      <c r="DB7" s="79">
        <f t="shared" si="5"/>
        <v>0</v>
      </c>
      <c r="DC7" s="79">
        <f t="shared" si="6"/>
        <v>0</v>
      </c>
      <c r="DD7" s="79">
        <f t="shared" si="7"/>
        <v>0</v>
      </c>
      <c r="DE7" s="79">
        <f t="shared" si="23"/>
        <v>0</v>
      </c>
      <c r="DP7" s="131"/>
      <c r="EJ7" s="79">
        <f t="shared" si="8"/>
        <v>0</v>
      </c>
      <c r="EK7" s="79">
        <f t="shared" si="9"/>
        <v>0</v>
      </c>
      <c r="EL7" s="79">
        <f t="shared" si="10"/>
        <v>0</v>
      </c>
      <c r="EM7" s="79">
        <f t="shared" si="22"/>
        <v>0</v>
      </c>
      <c r="FI7" s="66">
        <f t="shared" si="11"/>
        <v>0</v>
      </c>
      <c r="FJ7" s="66">
        <f t="shared" si="12"/>
        <v>0</v>
      </c>
      <c r="FK7" s="66">
        <f t="shared" si="13"/>
        <v>0</v>
      </c>
      <c r="FL7" s="173">
        <f t="shared" si="14"/>
        <v>0</v>
      </c>
    </row>
    <row r="8" spans="1:169" hidden="1" outlineLevel="1" x14ac:dyDescent="0.2">
      <c r="A8" s="77" t="s">
        <v>29</v>
      </c>
      <c r="B8" s="77" t="s">
        <v>34</v>
      </c>
      <c r="C8" s="76" t="s">
        <v>695</v>
      </c>
      <c r="D8" s="76" t="s">
        <v>111</v>
      </c>
      <c r="E8" s="77" t="s">
        <v>198</v>
      </c>
      <c r="F8" s="77" t="s">
        <v>707</v>
      </c>
      <c r="G8" s="77" t="str">
        <f t="shared" si="15"/>
        <v>0</v>
      </c>
      <c r="H8" s="77" t="str">
        <f t="shared" si="16"/>
        <v>0</v>
      </c>
      <c r="I8" s="77" t="str">
        <f t="shared" si="17"/>
        <v>0</v>
      </c>
      <c r="J8" s="77" t="str">
        <f t="shared" si="18"/>
        <v>0</v>
      </c>
      <c r="K8" s="77" t="str">
        <f t="shared" si="19"/>
        <v>0000</v>
      </c>
      <c r="L8" s="77" t="str">
        <f>IFERROR(VLOOKUP(K8,Sheet2!$A$20:$B$23,2,FALSE),"X")</f>
        <v>X</v>
      </c>
      <c r="M8" s="77" t="str">
        <f t="shared" si="20"/>
        <v>1620N/AAccountability Pathways 19-20</v>
      </c>
      <c r="O8" s="76" t="s">
        <v>160</v>
      </c>
      <c r="P8" s="69" t="s">
        <v>168</v>
      </c>
      <c r="Q8" s="78">
        <v>43168</v>
      </c>
      <c r="R8" s="78">
        <v>43168</v>
      </c>
      <c r="AR8" s="79">
        <f t="shared" si="0"/>
        <v>0</v>
      </c>
      <c r="AS8" s="79">
        <f t="shared" si="1"/>
        <v>0</v>
      </c>
      <c r="AT8" s="79">
        <f t="shared" si="2"/>
        <v>0</v>
      </c>
      <c r="AV8" s="79"/>
      <c r="BV8" s="79">
        <f t="shared" si="3"/>
        <v>0</v>
      </c>
      <c r="BW8" s="79">
        <f t="shared" si="4"/>
        <v>0</v>
      </c>
      <c r="BX8" s="79">
        <f t="shared" si="21"/>
        <v>0</v>
      </c>
      <c r="DB8" s="79">
        <f t="shared" si="5"/>
        <v>0</v>
      </c>
      <c r="DC8" s="79">
        <f t="shared" si="6"/>
        <v>0</v>
      </c>
      <c r="DD8" s="79">
        <f t="shared" si="7"/>
        <v>0</v>
      </c>
      <c r="DE8" s="79">
        <f t="shared" si="23"/>
        <v>0</v>
      </c>
      <c r="DP8" s="131"/>
      <c r="EJ8" s="79">
        <f t="shared" si="8"/>
        <v>0</v>
      </c>
      <c r="EK8" s="79">
        <f t="shared" si="9"/>
        <v>0</v>
      </c>
      <c r="EL8" s="79">
        <f t="shared" si="10"/>
        <v>0</v>
      </c>
      <c r="EM8" s="79">
        <f t="shared" si="22"/>
        <v>0</v>
      </c>
      <c r="FI8" s="66">
        <f t="shared" si="11"/>
        <v>0</v>
      </c>
      <c r="FJ8" s="66">
        <f t="shared" si="12"/>
        <v>0</v>
      </c>
      <c r="FK8" s="66">
        <f t="shared" si="13"/>
        <v>0</v>
      </c>
      <c r="FL8" s="173">
        <f t="shared" si="14"/>
        <v>0</v>
      </c>
    </row>
    <row r="9" spans="1:169" hidden="1" outlineLevel="1" x14ac:dyDescent="0.2">
      <c r="A9" s="77" t="s">
        <v>19</v>
      </c>
      <c r="B9" s="77" t="s">
        <v>34</v>
      </c>
      <c r="C9" s="76" t="s">
        <v>98</v>
      </c>
      <c r="D9" s="76" t="s">
        <v>111</v>
      </c>
      <c r="E9" s="77" t="s">
        <v>198</v>
      </c>
      <c r="F9" s="77" t="s">
        <v>707</v>
      </c>
      <c r="G9" s="77" t="str">
        <f t="shared" si="15"/>
        <v>0</v>
      </c>
      <c r="H9" s="77" t="str">
        <f t="shared" si="16"/>
        <v>0</v>
      </c>
      <c r="I9" s="77" t="str">
        <f t="shared" si="17"/>
        <v>0</v>
      </c>
      <c r="J9" s="77" t="str">
        <f t="shared" si="18"/>
        <v>0</v>
      </c>
      <c r="K9" s="77" t="str">
        <f t="shared" si="19"/>
        <v>0000</v>
      </c>
      <c r="L9" s="77" t="str">
        <f>IFERROR(VLOOKUP(K9,Sheet2!$A$20:$B$23,2,FALSE),"X")</f>
        <v>X</v>
      </c>
      <c r="M9" s="77" t="str">
        <f t="shared" si="20"/>
        <v>2690N/AAccountability Pathways 19-20</v>
      </c>
      <c r="O9" s="76" t="s">
        <v>160</v>
      </c>
      <c r="P9" s="69" t="s">
        <v>168</v>
      </c>
      <c r="Q9" s="78">
        <v>43168</v>
      </c>
      <c r="R9" s="78">
        <v>43168</v>
      </c>
      <c r="AR9" s="79">
        <f t="shared" si="0"/>
        <v>0</v>
      </c>
      <c r="AS9" s="79">
        <f t="shared" si="1"/>
        <v>0</v>
      </c>
      <c r="AT9" s="79">
        <f t="shared" si="2"/>
        <v>0</v>
      </c>
      <c r="AV9" s="79"/>
      <c r="BV9" s="79">
        <f t="shared" si="3"/>
        <v>0</v>
      </c>
      <c r="BW9" s="79">
        <f t="shared" si="4"/>
        <v>0</v>
      </c>
      <c r="BX9" s="79">
        <f t="shared" si="21"/>
        <v>0</v>
      </c>
      <c r="DB9" s="79">
        <f t="shared" si="5"/>
        <v>0</v>
      </c>
      <c r="DC9" s="79">
        <f t="shared" si="6"/>
        <v>0</v>
      </c>
      <c r="DD9" s="79">
        <f t="shared" si="7"/>
        <v>0</v>
      </c>
      <c r="DE9" s="79">
        <f t="shared" si="23"/>
        <v>0</v>
      </c>
      <c r="DP9" s="131"/>
      <c r="EJ9" s="79">
        <f t="shared" si="8"/>
        <v>0</v>
      </c>
      <c r="EK9" s="79">
        <f t="shared" si="9"/>
        <v>0</v>
      </c>
      <c r="EL9" s="79">
        <f t="shared" si="10"/>
        <v>0</v>
      </c>
      <c r="EM9" s="79">
        <f t="shared" si="22"/>
        <v>0</v>
      </c>
      <c r="FI9" s="66">
        <f t="shared" si="11"/>
        <v>0</v>
      </c>
      <c r="FJ9" s="66">
        <f t="shared" si="12"/>
        <v>0</v>
      </c>
      <c r="FK9" s="66">
        <f t="shared" si="13"/>
        <v>0</v>
      </c>
      <c r="FL9" s="173">
        <f t="shared" si="14"/>
        <v>0</v>
      </c>
    </row>
    <row r="10" spans="1:169" hidden="1" outlineLevel="1" x14ac:dyDescent="0.2">
      <c r="A10" s="76" t="s">
        <v>21</v>
      </c>
      <c r="B10" s="76" t="s">
        <v>48</v>
      </c>
      <c r="C10" s="76" t="s">
        <v>100</v>
      </c>
      <c r="D10" s="76" t="s">
        <v>124</v>
      </c>
      <c r="E10" s="77" t="s">
        <v>196</v>
      </c>
      <c r="F10" s="77" t="s">
        <v>707</v>
      </c>
      <c r="G10" s="77" t="str">
        <f t="shared" si="15"/>
        <v>1</v>
      </c>
      <c r="H10" s="77" t="str">
        <f t="shared" si="16"/>
        <v>0</v>
      </c>
      <c r="I10" s="77" t="str">
        <f t="shared" si="17"/>
        <v>0</v>
      </c>
      <c r="J10" s="77" t="str">
        <f t="shared" si="18"/>
        <v>0</v>
      </c>
      <c r="K10" s="77" t="str">
        <f t="shared" si="19"/>
        <v>1000</v>
      </c>
      <c r="L10" s="77" t="str">
        <f>IFERROR(VLOOKUP(K10,Sheet2!$A$20:$B$23,2,FALSE),"X")</f>
        <v>01</v>
      </c>
      <c r="M10" s="77" t="str">
        <f t="shared" si="20"/>
        <v>31201384Accountability Pathways 17-18</v>
      </c>
      <c r="N10" s="76" t="s">
        <v>161</v>
      </c>
      <c r="O10" s="76" t="s">
        <v>160</v>
      </c>
      <c r="P10" s="69" t="s">
        <v>168</v>
      </c>
      <c r="Q10" s="78">
        <v>43168</v>
      </c>
      <c r="R10" s="78">
        <v>43168</v>
      </c>
      <c r="S10" s="79">
        <v>30000</v>
      </c>
      <c r="AR10" s="79">
        <f t="shared" si="0"/>
        <v>0</v>
      </c>
      <c r="AS10" s="79">
        <f t="shared" si="1"/>
        <v>0</v>
      </c>
      <c r="AT10" s="79">
        <f t="shared" si="2"/>
        <v>30000</v>
      </c>
      <c r="AV10" s="79"/>
      <c r="BF10" s="79">
        <v>-839</v>
      </c>
      <c r="BH10" s="79">
        <v>-754</v>
      </c>
      <c r="BJ10" s="79">
        <v>-610</v>
      </c>
      <c r="BL10" s="79">
        <v>-112</v>
      </c>
      <c r="BP10" s="79">
        <v>-9286</v>
      </c>
      <c r="BR10" s="79">
        <v>-7665.57</v>
      </c>
      <c r="BT10" s="79">
        <v>-89.69</v>
      </c>
      <c r="BV10" s="79">
        <f t="shared" si="3"/>
        <v>-19356.259999999998</v>
      </c>
      <c r="BW10" s="79">
        <f t="shared" si="4"/>
        <v>0</v>
      </c>
      <c r="BX10" s="79">
        <f t="shared" si="21"/>
        <v>10643.740000000002</v>
      </c>
      <c r="CH10" s="79">
        <f>-2977.74-7666</f>
        <v>-10643.74</v>
      </c>
      <c r="DB10" s="79">
        <f t="shared" si="5"/>
        <v>0</v>
      </c>
      <c r="DC10" s="79">
        <f t="shared" si="6"/>
        <v>-10643.74</v>
      </c>
      <c r="DD10" s="79">
        <f t="shared" si="7"/>
        <v>0</v>
      </c>
      <c r="DE10" s="79">
        <f t="shared" si="23"/>
        <v>0</v>
      </c>
      <c r="DP10" s="131"/>
      <c r="EJ10" s="79">
        <f t="shared" si="8"/>
        <v>0</v>
      </c>
      <c r="EK10" s="79">
        <f t="shared" si="9"/>
        <v>0</v>
      </c>
      <c r="EL10" s="79">
        <f t="shared" si="10"/>
        <v>0</v>
      </c>
      <c r="EM10" s="79">
        <f t="shared" si="22"/>
        <v>0</v>
      </c>
      <c r="FI10" s="66">
        <f t="shared" si="11"/>
        <v>0</v>
      </c>
      <c r="FJ10" s="66">
        <f t="shared" si="12"/>
        <v>0</v>
      </c>
      <c r="FK10" s="66">
        <f t="shared" si="13"/>
        <v>0</v>
      </c>
      <c r="FL10" s="173">
        <f t="shared" si="14"/>
        <v>0</v>
      </c>
    </row>
    <row r="11" spans="1:169" hidden="1" collapsed="1" x14ac:dyDescent="0.2">
      <c r="G11" s="77"/>
      <c r="H11" s="77"/>
      <c r="I11" s="77"/>
      <c r="J11" s="77"/>
      <c r="K11" s="77"/>
      <c r="L11" s="77" t="s">
        <v>701</v>
      </c>
      <c r="M11" s="77" t="str">
        <f t="shared" si="20"/>
        <v/>
      </c>
      <c r="P11" s="18" t="s">
        <v>268</v>
      </c>
      <c r="Q11" s="78"/>
      <c r="R11" s="78"/>
      <c r="S11" s="14">
        <f t="shared" ref="S11:AT11" si="25">SUM(S3:S10)</f>
        <v>52050</v>
      </c>
      <c r="T11" s="14">
        <f t="shared" si="25"/>
        <v>0</v>
      </c>
      <c r="U11" s="14">
        <f t="shared" si="25"/>
        <v>0</v>
      </c>
      <c r="V11" s="14">
        <f t="shared" si="25"/>
        <v>0</v>
      </c>
      <c r="W11" s="14">
        <f t="shared" si="25"/>
        <v>0</v>
      </c>
      <c r="X11" s="14">
        <f t="shared" si="25"/>
        <v>0</v>
      </c>
      <c r="Y11" s="14">
        <f t="shared" si="25"/>
        <v>0</v>
      </c>
      <c r="Z11" s="14">
        <f t="shared" si="25"/>
        <v>0</v>
      </c>
      <c r="AA11" s="14">
        <f t="shared" si="25"/>
        <v>0</v>
      </c>
      <c r="AB11" s="14">
        <f t="shared" si="25"/>
        <v>0</v>
      </c>
      <c r="AC11" s="14">
        <f t="shared" si="25"/>
        <v>0</v>
      </c>
      <c r="AD11" s="14">
        <f t="shared" si="25"/>
        <v>0</v>
      </c>
      <c r="AE11" s="14">
        <f t="shared" si="25"/>
        <v>0</v>
      </c>
      <c r="AF11" s="14">
        <f t="shared" si="25"/>
        <v>0</v>
      </c>
      <c r="AG11" s="14">
        <f t="shared" si="25"/>
        <v>0</v>
      </c>
      <c r="AH11" s="14">
        <f t="shared" si="25"/>
        <v>0</v>
      </c>
      <c r="AI11" s="14">
        <f t="shared" si="25"/>
        <v>0</v>
      </c>
      <c r="AJ11" s="14">
        <f t="shared" si="25"/>
        <v>0</v>
      </c>
      <c r="AK11" s="14">
        <f t="shared" si="25"/>
        <v>0</v>
      </c>
      <c r="AL11" s="14">
        <f t="shared" si="25"/>
        <v>0</v>
      </c>
      <c r="AM11" s="14">
        <f t="shared" si="25"/>
        <v>0</v>
      </c>
      <c r="AN11" s="14">
        <f t="shared" si="25"/>
        <v>0</v>
      </c>
      <c r="AO11" s="14">
        <f t="shared" si="25"/>
        <v>0</v>
      </c>
      <c r="AP11" s="14">
        <f t="shared" si="25"/>
        <v>0</v>
      </c>
      <c r="AQ11" s="14">
        <f t="shared" si="25"/>
        <v>0</v>
      </c>
      <c r="AR11" s="14">
        <f t="shared" si="25"/>
        <v>0</v>
      </c>
      <c r="AS11" s="14">
        <f t="shared" si="25"/>
        <v>0</v>
      </c>
      <c r="AT11" s="14">
        <f t="shared" si="25"/>
        <v>52050</v>
      </c>
      <c r="AU11" s="159"/>
      <c r="AV11" s="14">
        <f>SUM(AV3:AV10)</f>
        <v>0</v>
      </c>
      <c r="AW11" s="14">
        <f>SUM(AW3:AW10)</f>
        <v>80000</v>
      </c>
      <c r="AX11" s="14">
        <f t="shared" ref="AX11:BX11" si="26">SUM(AX3:AX10)</f>
        <v>-20307</v>
      </c>
      <c r="AY11" s="14">
        <f t="shared" si="26"/>
        <v>0</v>
      </c>
      <c r="AZ11" s="14">
        <f t="shared" si="26"/>
        <v>0</v>
      </c>
      <c r="BA11" s="14">
        <f t="shared" si="26"/>
        <v>0</v>
      </c>
      <c r="BB11" s="14">
        <f t="shared" si="26"/>
        <v>0</v>
      </c>
      <c r="BC11" s="14">
        <f t="shared" si="26"/>
        <v>0</v>
      </c>
      <c r="BD11" s="14">
        <f t="shared" si="26"/>
        <v>0</v>
      </c>
      <c r="BE11" s="14">
        <f t="shared" si="26"/>
        <v>0</v>
      </c>
      <c r="BF11" s="14">
        <f t="shared" si="26"/>
        <v>-839</v>
      </c>
      <c r="BG11" s="14">
        <f t="shared" si="26"/>
        <v>0</v>
      </c>
      <c r="BH11" s="14">
        <f t="shared" si="26"/>
        <v>-754</v>
      </c>
      <c r="BI11" s="14">
        <f t="shared" si="26"/>
        <v>0</v>
      </c>
      <c r="BJ11" s="14">
        <f t="shared" si="26"/>
        <v>-610</v>
      </c>
      <c r="BK11" s="14">
        <f t="shared" si="26"/>
        <v>0</v>
      </c>
      <c r="BL11" s="14">
        <f t="shared" si="26"/>
        <v>-112</v>
      </c>
      <c r="BM11" s="14">
        <f t="shared" si="26"/>
        <v>0</v>
      </c>
      <c r="BN11" s="14">
        <f t="shared" si="26"/>
        <v>0</v>
      </c>
      <c r="BO11" s="14">
        <f t="shared" si="26"/>
        <v>0</v>
      </c>
      <c r="BP11" s="14">
        <f t="shared" si="26"/>
        <v>-9286</v>
      </c>
      <c r="BQ11" s="14">
        <f t="shared" si="26"/>
        <v>0</v>
      </c>
      <c r="BR11" s="14">
        <f t="shared" si="26"/>
        <v>-7665.57</v>
      </c>
      <c r="BS11" s="14">
        <f t="shared" si="26"/>
        <v>0</v>
      </c>
      <c r="BT11" s="14">
        <f t="shared" si="26"/>
        <v>-89.69</v>
      </c>
      <c r="BU11" s="14">
        <f t="shared" si="26"/>
        <v>0</v>
      </c>
      <c r="BV11" s="14">
        <f t="shared" si="26"/>
        <v>-39663.259999999995</v>
      </c>
      <c r="BW11" s="14">
        <f t="shared" si="26"/>
        <v>0</v>
      </c>
      <c r="BX11" s="14">
        <f t="shared" si="26"/>
        <v>92386.74</v>
      </c>
      <c r="BY11" s="159"/>
      <c r="BZ11" s="14">
        <f t="shared" ref="BZ11:DE11" si="27">SUM(BZ3:BZ10)</f>
        <v>0</v>
      </c>
      <c r="CA11" s="14">
        <f t="shared" si="27"/>
        <v>0</v>
      </c>
      <c r="CB11" s="14"/>
      <c r="CC11" s="14">
        <f t="shared" si="27"/>
        <v>0</v>
      </c>
      <c r="CD11" s="14">
        <f t="shared" si="27"/>
        <v>0</v>
      </c>
      <c r="CE11" s="14">
        <f t="shared" si="27"/>
        <v>0</v>
      </c>
      <c r="CF11" s="14">
        <f t="shared" si="27"/>
        <v>0</v>
      </c>
      <c r="CG11" s="14">
        <f t="shared" si="27"/>
        <v>0</v>
      </c>
      <c r="CH11" s="14">
        <f t="shared" si="27"/>
        <v>-44623.07</v>
      </c>
      <c r="CI11" s="14">
        <f t="shared" si="27"/>
        <v>0</v>
      </c>
      <c r="CJ11" s="14">
        <f t="shared" si="27"/>
        <v>0</v>
      </c>
      <c r="CK11" s="14">
        <f t="shared" si="27"/>
        <v>0</v>
      </c>
      <c r="CL11" s="14">
        <f t="shared" si="27"/>
        <v>-46020.67</v>
      </c>
      <c r="CM11" s="14">
        <f t="shared" si="27"/>
        <v>0</v>
      </c>
      <c r="CN11" s="14">
        <f t="shared" si="27"/>
        <v>0</v>
      </c>
      <c r="CO11" s="14">
        <f t="shared" si="27"/>
        <v>0</v>
      </c>
      <c r="CP11" s="14">
        <f t="shared" si="27"/>
        <v>0</v>
      </c>
      <c r="CQ11" s="14">
        <f t="shared" si="27"/>
        <v>0</v>
      </c>
      <c r="CR11" s="14">
        <f t="shared" si="27"/>
        <v>0</v>
      </c>
      <c r="CS11" s="14">
        <f t="shared" si="27"/>
        <v>0</v>
      </c>
      <c r="CT11" s="14">
        <f t="shared" si="27"/>
        <v>0</v>
      </c>
      <c r="CU11" s="14">
        <f t="shared" si="27"/>
        <v>0</v>
      </c>
      <c r="CV11" s="14">
        <f t="shared" si="27"/>
        <v>0</v>
      </c>
      <c r="CW11" s="14">
        <f t="shared" si="27"/>
        <v>0</v>
      </c>
      <c r="CX11" s="14">
        <f t="shared" si="27"/>
        <v>0</v>
      </c>
      <c r="CY11" s="14">
        <f t="shared" si="27"/>
        <v>0</v>
      </c>
      <c r="CZ11" s="14">
        <f t="shared" si="27"/>
        <v>0</v>
      </c>
      <c r="DA11" s="14">
        <f t="shared" si="27"/>
        <v>0</v>
      </c>
      <c r="DB11" s="14">
        <f t="shared" si="27"/>
        <v>0</v>
      </c>
      <c r="DC11" s="14">
        <f t="shared" si="27"/>
        <v>-90643.74</v>
      </c>
      <c r="DD11" s="14">
        <f t="shared" si="27"/>
        <v>0</v>
      </c>
      <c r="DE11" s="14">
        <f t="shared" si="27"/>
        <v>1743</v>
      </c>
      <c r="DF11" s="159"/>
      <c r="DG11" s="14">
        <f t="shared" ref="DG11:DH11" si="28">SUM(DG3:DG10)</f>
        <v>0</v>
      </c>
      <c r="DH11" s="14">
        <f t="shared" si="28"/>
        <v>0</v>
      </c>
      <c r="DI11" s="14"/>
      <c r="DJ11" s="14">
        <f t="shared" ref="DJ11:FH11" si="29">SUM(DJ3:DJ10)</f>
        <v>0</v>
      </c>
      <c r="DK11" s="14">
        <f t="shared" si="29"/>
        <v>0</v>
      </c>
      <c r="DL11" s="14">
        <f t="shared" si="29"/>
        <v>0</v>
      </c>
      <c r="DM11" s="14">
        <f t="shared" si="29"/>
        <v>0</v>
      </c>
      <c r="DN11" s="14">
        <f t="shared" si="29"/>
        <v>0</v>
      </c>
      <c r="DO11" s="14">
        <f t="shared" si="29"/>
        <v>0</v>
      </c>
      <c r="DP11" s="132">
        <f t="shared" si="29"/>
        <v>0</v>
      </c>
      <c r="DQ11" s="14">
        <f t="shared" si="29"/>
        <v>0</v>
      </c>
      <c r="DR11" s="14">
        <f t="shared" si="29"/>
        <v>0</v>
      </c>
      <c r="DS11" s="14">
        <f t="shared" si="29"/>
        <v>0</v>
      </c>
      <c r="DT11" s="14">
        <f t="shared" si="29"/>
        <v>0</v>
      </c>
      <c r="DU11" s="14">
        <f t="shared" si="29"/>
        <v>0</v>
      </c>
      <c r="DV11" s="14">
        <f t="shared" si="29"/>
        <v>0</v>
      </c>
      <c r="DW11" s="14">
        <f t="shared" si="29"/>
        <v>0</v>
      </c>
      <c r="DX11" s="14">
        <f t="shared" si="29"/>
        <v>0</v>
      </c>
      <c r="DY11" s="14">
        <f t="shared" si="29"/>
        <v>0</v>
      </c>
      <c r="DZ11" s="14">
        <f t="shared" si="29"/>
        <v>0</v>
      </c>
      <c r="EA11" s="14">
        <f t="shared" si="29"/>
        <v>0</v>
      </c>
      <c r="EB11" s="14">
        <f t="shared" si="29"/>
        <v>0</v>
      </c>
      <c r="EC11" s="14">
        <f t="shared" si="29"/>
        <v>0</v>
      </c>
      <c r="ED11" s="14">
        <f t="shared" si="29"/>
        <v>0</v>
      </c>
      <c r="EE11" s="14">
        <f t="shared" si="29"/>
        <v>0</v>
      </c>
      <c r="EF11" s="14">
        <f t="shared" si="29"/>
        <v>0</v>
      </c>
      <c r="EG11" s="132">
        <f t="shared" si="29"/>
        <v>0</v>
      </c>
      <c r="EH11" s="14">
        <f t="shared" si="29"/>
        <v>0</v>
      </c>
      <c r="EI11" s="14">
        <f t="shared" si="29"/>
        <v>0</v>
      </c>
      <c r="EJ11" s="14">
        <f t="shared" si="29"/>
        <v>0</v>
      </c>
      <c r="EK11" s="14">
        <f t="shared" ref="EK11" si="30">SUM(EK3:EK10)</f>
        <v>0</v>
      </c>
      <c r="EL11" s="14">
        <f t="shared" si="29"/>
        <v>0</v>
      </c>
      <c r="EM11" s="14">
        <f t="shared" si="29"/>
        <v>1743</v>
      </c>
      <c r="EN11" s="14">
        <f t="shared" si="29"/>
        <v>0</v>
      </c>
      <c r="EO11" s="14">
        <f t="shared" si="29"/>
        <v>0</v>
      </c>
      <c r="EP11" s="14">
        <f t="shared" si="29"/>
        <v>0</v>
      </c>
      <c r="EQ11" s="14">
        <f t="shared" si="29"/>
        <v>0</v>
      </c>
      <c r="ER11" s="14">
        <f t="shared" si="29"/>
        <v>0</v>
      </c>
      <c r="ES11" s="68">
        <f t="shared" si="29"/>
        <v>0</v>
      </c>
      <c r="ET11" s="68">
        <f t="shared" si="29"/>
        <v>0</v>
      </c>
      <c r="EU11" s="68">
        <f t="shared" si="29"/>
        <v>0</v>
      </c>
      <c r="EV11" s="68">
        <f t="shared" ref="EV11" si="31">SUM(EV3:EV10)</f>
        <v>0</v>
      </c>
      <c r="EW11" s="68">
        <f t="shared" si="29"/>
        <v>0</v>
      </c>
      <c r="EX11" s="68">
        <f t="shared" si="29"/>
        <v>0</v>
      </c>
      <c r="EY11" s="68">
        <f t="shared" si="29"/>
        <v>0</v>
      </c>
      <c r="EZ11" s="68">
        <f t="shared" ref="EZ11:FB11" si="32">SUM(EZ3:EZ10)</f>
        <v>0</v>
      </c>
      <c r="FA11" s="68">
        <f t="shared" si="32"/>
        <v>0</v>
      </c>
      <c r="FB11" s="68">
        <f t="shared" si="32"/>
        <v>0</v>
      </c>
      <c r="FC11" s="68">
        <f t="shared" si="29"/>
        <v>0</v>
      </c>
      <c r="FD11" s="68">
        <f t="shared" si="29"/>
        <v>0</v>
      </c>
      <c r="FE11" s="68">
        <f t="shared" si="29"/>
        <v>-350</v>
      </c>
      <c r="FF11" s="68">
        <f t="shared" si="29"/>
        <v>0</v>
      </c>
      <c r="FG11" s="68">
        <f t="shared" si="29"/>
        <v>0</v>
      </c>
      <c r="FH11" s="68">
        <f t="shared" si="29"/>
        <v>0</v>
      </c>
      <c r="FI11" s="68">
        <f t="shared" ref="FI11:FK11" si="33">SUM(FI3:FI10)</f>
        <v>0</v>
      </c>
      <c r="FJ11" s="68">
        <f t="shared" ref="FJ11" si="34">SUM(FJ3:FJ10)</f>
        <v>0</v>
      </c>
      <c r="FK11" s="68">
        <f t="shared" si="33"/>
        <v>-350</v>
      </c>
      <c r="FL11" s="14">
        <f>EM11+EO11+EP11+EQ11+FK11</f>
        <v>1393</v>
      </c>
    </row>
    <row r="12" spans="1:169" hidden="1" x14ac:dyDescent="0.2">
      <c r="E12" s="77"/>
      <c r="F12" s="77"/>
      <c r="G12" s="77"/>
      <c r="H12" s="77"/>
      <c r="I12" s="77"/>
      <c r="J12" s="77"/>
      <c r="K12" s="77"/>
      <c r="L12" s="77" t="s">
        <v>701</v>
      </c>
      <c r="M12" s="77" t="str">
        <f t="shared" si="20"/>
        <v/>
      </c>
      <c r="Q12" s="78"/>
      <c r="R12" s="78"/>
      <c r="AV12" s="79"/>
      <c r="DP12" s="131"/>
    </row>
    <row r="13" spans="1:169" hidden="1" outlineLevel="1" x14ac:dyDescent="0.2">
      <c r="A13" s="77" t="s">
        <v>14</v>
      </c>
      <c r="B13" s="77" t="s">
        <v>37</v>
      </c>
      <c r="C13" s="76" t="s">
        <v>95</v>
      </c>
      <c r="D13" s="76" t="s">
        <v>114</v>
      </c>
      <c r="E13" s="77" t="s">
        <v>474</v>
      </c>
      <c r="F13" s="77" t="s">
        <v>708</v>
      </c>
      <c r="G13" s="77" t="str">
        <f t="shared" ref="G13:G21" si="35">IF(S13&gt;0, "1", "0")</f>
        <v>0</v>
      </c>
      <c r="H13" s="77" t="str">
        <f t="shared" ref="H13:H21" si="36">IF(AW13&gt;0, "1", "0")</f>
        <v>0</v>
      </c>
      <c r="I13" s="77" t="str">
        <f t="shared" ref="I13:I21" si="37">IF(CC13&gt;0, "1", "0")</f>
        <v>0</v>
      </c>
      <c r="J13" s="77" t="str">
        <f t="shared" ref="J13:J21" si="38">IF(DJ13&gt;0, "1", "0")</f>
        <v>0</v>
      </c>
      <c r="K13" s="77" t="str">
        <f t="shared" ref="K13:K21" si="39">CONCATENATE(G13,H13,I13,J13)</f>
        <v>0000</v>
      </c>
      <c r="L13" s="77" t="str">
        <f>IFERROR(VLOOKUP(K13,Sheet2!$A$20:$B$23,2,FALSE),"X")</f>
        <v>X</v>
      </c>
      <c r="M13" s="77" t="str">
        <f t="shared" si="20"/>
        <v>01238123AEC Pilot</v>
      </c>
      <c r="O13" s="76" t="s">
        <v>160</v>
      </c>
      <c r="P13" s="69" t="s">
        <v>168</v>
      </c>
      <c r="Q13" s="78"/>
      <c r="R13" s="78"/>
      <c r="AR13" s="79">
        <f t="shared" ref="AR13:AR21" si="40">SUMIF($T$2:$AQ$2,$AR$2,$T13:$AQ13)</f>
        <v>0</v>
      </c>
      <c r="AS13" s="79">
        <f t="shared" ref="AS13:AS21" si="41">SUMIF($T$2:$AQ$2,$AS$2,$T13:$AQ13)</f>
        <v>0</v>
      </c>
      <c r="AT13" s="79">
        <f t="shared" ref="AT13:AT21" si="42">S13+(AR13+AS13)</f>
        <v>0</v>
      </c>
      <c r="AV13" s="79"/>
      <c r="BV13" s="79">
        <f t="shared" ref="BV13:BV21" si="43">SUMIF($AX$2:$BU$2,$BV$2,$AX13:$BU13)</f>
        <v>0</v>
      </c>
      <c r="BW13" s="79">
        <f t="shared" ref="BW13:BW21" si="44">SUMIF($AX$2:$BU$2,$BW$2,$AX13:$BU13)</f>
        <v>0</v>
      </c>
      <c r="BX13" s="79">
        <f>AT13+AV13+AW13+(BV13+BW13)</f>
        <v>0</v>
      </c>
      <c r="BY13" s="158" t="s">
        <v>341</v>
      </c>
      <c r="CA13" s="79">
        <v>40000</v>
      </c>
      <c r="DB13" s="79">
        <f t="shared" ref="DB13:DB21" si="45">SUMIF($CD$2:$DA$2,$DB$2,$CD13:$DA13)</f>
        <v>0</v>
      </c>
      <c r="DC13" s="79">
        <f t="shared" ref="DC13:DC21" si="46">SUMIF($CD$2:$DA$2,$DC$2,$CD13:$DA13)</f>
        <v>0</v>
      </c>
      <c r="DD13" s="79">
        <f t="shared" ref="DD13:DD21" si="47">SUMIF($CD$2:$DA$2,$DD$2,$CD13:$DA13)</f>
        <v>0</v>
      </c>
      <c r="DE13" s="79">
        <f>BX13+CA13+BZ13+CC13+(DB13+DC13+DD13)</f>
        <v>40000</v>
      </c>
      <c r="DG13" s="79">
        <v>5083</v>
      </c>
      <c r="DP13" s="131"/>
      <c r="EH13" s="79">
        <v>-11435.96</v>
      </c>
      <c r="EJ13" s="79">
        <f t="shared" ref="EJ13:EJ21" si="48">SUMIF($DK$2:$EI$2,$EJ$2,$DK13:$EI13)</f>
        <v>0</v>
      </c>
      <c r="EK13" s="79">
        <f t="shared" ref="EK13:EK21" si="49">SUMIF($DK$2:$EI$2,$EK$2,$DK13:$EI13)</f>
        <v>-11435.96</v>
      </c>
      <c r="EL13" s="79">
        <f t="shared" ref="EL13:EL21" si="50">SUMIF($DK$2:$EI$2,$EL$2,$DK13:$EI13)</f>
        <v>0</v>
      </c>
      <c r="EM13" s="79">
        <f t="shared" ref="EM13:EM21" si="51">DE13+DH13+DG13+DJ13+(EJ13+EK13+EL13)</f>
        <v>33647.040000000001</v>
      </c>
      <c r="ES13" s="144">
        <v>-16194.39</v>
      </c>
      <c r="FI13" s="66">
        <f t="shared" ref="FI13:FI21" si="52">SUMIF($ES$2:$FH$2,$FI$2,$ES13:$FH13)</f>
        <v>0</v>
      </c>
      <c r="FJ13" s="66">
        <f t="shared" ref="FJ13:FJ21" si="53">SUMIF($ES$2:$FH$2,$FJ$2,$ES13:$FH13)</f>
        <v>0</v>
      </c>
      <c r="FK13" s="66">
        <f t="shared" ref="FK13:FK21" si="54">SUMIF($ES$2:$FH$2,$FK$2,$ES13:$FH13)</f>
        <v>-16194.39</v>
      </c>
      <c r="FL13" s="173">
        <f t="shared" ref="FL13:FL21" si="55">EM13+EO13+EP13+EQ13+(FK13+FI13+FJ13)</f>
        <v>17452.650000000001</v>
      </c>
    </row>
    <row r="14" spans="1:169" hidden="1" outlineLevel="1" x14ac:dyDescent="0.2">
      <c r="A14" s="77" t="s">
        <v>455</v>
      </c>
      <c r="B14" s="77" t="s">
        <v>459</v>
      </c>
      <c r="C14" s="76" t="s">
        <v>460</v>
      </c>
      <c r="D14" s="76" t="s">
        <v>461</v>
      </c>
      <c r="E14" s="77" t="s">
        <v>474</v>
      </c>
      <c r="F14" s="77" t="s">
        <v>708</v>
      </c>
      <c r="G14" s="77" t="str">
        <f t="shared" si="35"/>
        <v>0</v>
      </c>
      <c r="H14" s="77" t="str">
        <f t="shared" si="36"/>
        <v>1</v>
      </c>
      <c r="I14" s="77" t="str">
        <f t="shared" si="37"/>
        <v>0</v>
      </c>
      <c r="J14" s="77" t="str">
        <f t="shared" si="38"/>
        <v>0</v>
      </c>
      <c r="K14" s="77" t="str">
        <f t="shared" si="39"/>
        <v>0100</v>
      </c>
      <c r="L14" s="77" t="str">
        <f>IFERROR(VLOOKUP(K14,Sheet2!$A$20:$B$23,2,FALSE),"X")</f>
        <v>02</v>
      </c>
      <c r="M14" s="77" t="str">
        <f t="shared" si="20"/>
        <v>04800125AEC Pilot</v>
      </c>
      <c r="O14" s="76" t="s">
        <v>160</v>
      </c>
      <c r="P14" s="69" t="s">
        <v>168</v>
      </c>
      <c r="Q14" s="78"/>
      <c r="R14" s="78"/>
      <c r="AR14" s="79">
        <f t="shared" si="40"/>
        <v>0</v>
      </c>
      <c r="AS14" s="79">
        <f t="shared" si="41"/>
        <v>0</v>
      </c>
      <c r="AT14" s="79">
        <f t="shared" ref="AT14" si="56">S14+(AR14+AS14)</f>
        <v>0</v>
      </c>
      <c r="AU14" s="158" t="s">
        <v>336</v>
      </c>
      <c r="AV14" s="79"/>
      <c r="AW14" s="79">
        <v>4450</v>
      </c>
      <c r="BV14" s="79">
        <f t="shared" si="43"/>
        <v>0</v>
      </c>
      <c r="BW14" s="79">
        <f t="shared" si="44"/>
        <v>0</v>
      </c>
      <c r="BX14" s="79">
        <f t="shared" ref="BX14:BX21" si="57">AT14+AV14+AW14+(BV14+BW14)</f>
        <v>4450</v>
      </c>
      <c r="BY14" s="158" t="s">
        <v>341</v>
      </c>
      <c r="CA14" s="79">
        <v>39935</v>
      </c>
      <c r="CT14" s="79">
        <v>-4450</v>
      </c>
      <c r="CV14" s="79">
        <v>-4583.75</v>
      </c>
      <c r="CZ14" s="79">
        <v>-2033</v>
      </c>
      <c r="DB14" s="79">
        <f t="shared" si="45"/>
        <v>0</v>
      </c>
      <c r="DC14" s="79">
        <f t="shared" si="46"/>
        <v>-11066.75</v>
      </c>
      <c r="DD14" s="79">
        <f t="shared" si="47"/>
        <v>0</v>
      </c>
      <c r="DE14" s="79">
        <f t="shared" ref="DE14:DE21" si="58">BX14+CA14+BZ14+CC14+(DB14+DC14+DD14)</f>
        <v>33318.25</v>
      </c>
      <c r="DM14" s="79">
        <v>-5473</v>
      </c>
      <c r="DP14" s="131"/>
      <c r="DY14" s="79">
        <v>-3800</v>
      </c>
      <c r="EH14" s="79">
        <v>-9105.5</v>
      </c>
      <c r="EJ14" s="79">
        <f t="shared" si="48"/>
        <v>0</v>
      </c>
      <c r="EK14" s="79">
        <f t="shared" si="49"/>
        <v>-18378.5</v>
      </c>
      <c r="EL14" s="79">
        <f t="shared" si="50"/>
        <v>0</v>
      </c>
      <c r="EM14" s="79">
        <f t="shared" si="51"/>
        <v>14939.75</v>
      </c>
      <c r="EW14" s="144">
        <v>-14863.6</v>
      </c>
      <c r="FI14" s="66">
        <f t="shared" si="52"/>
        <v>0</v>
      </c>
      <c r="FJ14" s="66">
        <f t="shared" si="53"/>
        <v>0</v>
      </c>
      <c r="FK14" s="66">
        <f t="shared" si="54"/>
        <v>-14863.6</v>
      </c>
      <c r="FL14" s="173">
        <f t="shared" si="55"/>
        <v>76.149999999999636</v>
      </c>
    </row>
    <row r="15" spans="1:169" hidden="1" outlineLevel="1" x14ac:dyDescent="0.2">
      <c r="A15" s="77" t="s">
        <v>401</v>
      </c>
      <c r="B15" s="77" t="s">
        <v>464</v>
      </c>
      <c r="C15" s="76" t="s">
        <v>462</v>
      </c>
      <c r="D15" s="76" t="s">
        <v>463</v>
      </c>
      <c r="E15" s="77" t="s">
        <v>474</v>
      </c>
      <c r="F15" s="77" t="s">
        <v>708</v>
      </c>
      <c r="G15" s="77" t="str">
        <f t="shared" si="35"/>
        <v>0</v>
      </c>
      <c r="H15" s="77" t="str">
        <f t="shared" si="36"/>
        <v>1</v>
      </c>
      <c r="I15" s="77" t="str">
        <f t="shared" si="37"/>
        <v>0</v>
      </c>
      <c r="J15" s="77" t="str">
        <f t="shared" si="38"/>
        <v>0</v>
      </c>
      <c r="K15" s="77" t="str">
        <f t="shared" si="39"/>
        <v>0100</v>
      </c>
      <c r="L15" s="77" t="str">
        <f>IFERROR(VLOOKUP(K15,Sheet2!$A$20:$B$23,2,FALSE),"X")</f>
        <v>02</v>
      </c>
      <c r="M15" s="77" t="str">
        <f t="shared" si="20"/>
        <v>09100205AEC Pilot</v>
      </c>
      <c r="O15" s="76" t="s">
        <v>160</v>
      </c>
      <c r="P15" s="69" t="s">
        <v>168</v>
      </c>
      <c r="Q15" s="78"/>
      <c r="R15" s="78"/>
      <c r="AR15" s="79">
        <f t="shared" si="40"/>
        <v>0</v>
      </c>
      <c r="AS15" s="79">
        <f t="shared" si="41"/>
        <v>0</v>
      </c>
      <c r="AT15" s="79">
        <f t="shared" si="42"/>
        <v>0</v>
      </c>
      <c r="AU15" s="158" t="s">
        <v>336</v>
      </c>
      <c r="AV15" s="79"/>
      <c r="AW15" s="79">
        <v>8311</v>
      </c>
      <c r="BV15" s="79">
        <f t="shared" si="43"/>
        <v>0</v>
      </c>
      <c r="BW15" s="79">
        <f t="shared" si="44"/>
        <v>0</v>
      </c>
      <c r="BX15" s="79">
        <f t="shared" si="57"/>
        <v>8311</v>
      </c>
      <c r="BY15" s="158" t="s">
        <v>341</v>
      </c>
      <c r="CA15" s="79">
        <v>39629</v>
      </c>
      <c r="CN15" s="97">
        <v>-185.57</v>
      </c>
      <c r="CZ15" s="79">
        <v>-6692.35</v>
      </c>
      <c r="DB15" s="79">
        <f t="shared" si="45"/>
        <v>0</v>
      </c>
      <c r="DC15" s="79">
        <f t="shared" si="46"/>
        <v>-6877.92</v>
      </c>
      <c r="DD15" s="79">
        <f t="shared" si="47"/>
        <v>0</v>
      </c>
      <c r="DE15" s="79">
        <f t="shared" si="58"/>
        <v>41062.080000000002</v>
      </c>
      <c r="DG15" s="79">
        <v>15000</v>
      </c>
      <c r="DP15" s="131"/>
      <c r="EC15" s="79">
        <v>-38871.440000000002</v>
      </c>
      <c r="EI15" s="79">
        <v>-15757.56</v>
      </c>
      <c r="EJ15" s="79">
        <f t="shared" si="48"/>
        <v>0</v>
      </c>
      <c r="EK15" s="79">
        <f t="shared" si="49"/>
        <v>-38871.440000000002</v>
      </c>
      <c r="EL15" s="79">
        <f t="shared" si="50"/>
        <v>-15757.56</v>
      </c>
      <c r="EM15" s="79">
        <f t="shared" si="51"/>
        <v>1433.0800000000017</v>
      </c>
      <c r="FI15" s="66">
        <f t="shared" si="52"/>
        <v>0</v>
      </c>
      <c r="FJ15" s="66">
        <f t="shared" si="53"/>
        <v>0</v>
      </c>
      <c r="FK15" s="66">
        <f t="shared" si="54"/>
        <v>0</v>
      </c>
      <c r="FL15" s="173">
        <f t="shared" si="55"/>
        <v>1433.0800000000017</v>
      </c>
    </row>
    <row r="16" spans="1:169" hidden="1" outlineLevel="1" x14ac:dyDescent="0.2">
      <c r="A16" s="77" t="s">
        <v>25</v>
      </c>
      <c r="B16" s="77" t="s">
        <v>648</v>
      </c>
      <c r="C16" s="76" t="s">
        <v>103</v>
      </c>
      <c r="D16" s="76" t="s">
        <v>659</v>
      </c>
      <c r="E16" s="77" t="s">
        <v>474</v>
      </c>
      <c r="F16" s="77" t="s">
        <v>708</v>
      </c>
      <c r="G16" s="77" t="str">
        <f t="shared" si="35"/>
        <v>0</v>
      </c>
      <c r="H16" s="77" t="str">
        <f t="shared" si="36"/>
        <v>0</v>
      </c>
      <c r="I16" s="77" t="str">
        <f t="shared" si="37"/>
        <v>0</v>
      </c>
      <c r="J16" s="77" t="str">
        <f t="shared" si="38"/>
        <v>0</v>
      </c>
      <c r="K16" s="77" t="str">
        <f t="shared" si="39"/>
        <v>0000</v>
      </c>
      <c r="L16" s="77" t="str">
        <f>IFERROR(VLOOKUP(K16,Sheet2!$A$20:$B$23,2,FALSE),"X")</f>
        <v>X</v>
      </c>
      <c r="M16" s="77" t="str">
        <f t="shared" ref="M16" si="59">A16&amp;B16&amp;E16</f>
        <v>14200965AEC Pilot</v>
      </c>
      <c r="O16" s="76" t="s">
        <v>160</v>
      </c>
      <c r="P16" s="69" t="s">
        <v>168</v>
      </c>
      <c r="Q16" s="78"/>
      <c r="R16" s="78"/>
      <c r="AR16" s="79">
        <f t="shared" si="40"/>
        <v>0</v>
      </c>
      <c r="AS16" s="79">
        <f t="shared" si="41"/>
        <v>0</v>
      </c>
      <c r="AT16" s="79">
        <f t="shared" ref="AT16" si="60">S16+(AR16+AS16)</f>
        <v>0</v>
      </c>
      <c r="AU16" s="158" t="s">
        <v>336</v>
      </c>
      <c r="AV16" s="79"/>
      <c r="BV16" s="79">
        <f t="shared" si="43"/>
        <v>0</v>
      </c>
      <c r="BW16" s="79">
        <f t="shared" si="44"/>
        <v>0</v>
      </c>
      <c r="BX16" s="79">
        <f t="shared" ref="BX16" si="61">AT16+AV16+AW16+(BV16+BW16)</f>
        <v>0</v>
      </c>
      <c r="CA16" s="79">
        <v>0</v>
      </c>
      <c r="DB16" s="79">
        <f t="shared" si="45"/>
        <v>0</v>
      </c>
      <c r="DC16" s="79">
        <f t="shared" si="46"/>
        <v>0</v>
      </c>
      <c r="DD16" s="79">
        <f t="shared" si="47"/>
        <v>0</v>
      </c>
      <c r="DE16" s="79">
        <f t="shared" ref="DE16" si="62">BX16+CA16+BZ16+CC16+(DB16+DC16+DD16)</f>
        <v>0</v>
      </c>
      <c r="DG16" s="79">
        <v>11000</v>
      </c>
      <c r="DP16" s="131"/>
      <c r="EJ16" s="79">
        <f t="shared" si="48"/>
        <v>0</v>
      </c>
      <c r="EK16" s="79">
        <f t="shared" si="49"/>
        <v>0</v>
      </c>
      <c r="EL16" s="79">
        <f t="shared" si="50"/>
        <v>0</v>
      </c>
      <c r="EM16" s="79">
        <f t="shared" ref="EM16" si="63">DE16+DH16+DG16+DJ16+(EJ16+EK16+EL16)</f>
        <v>11000</v>
      </c>
      <c r="FI16" s="66">
        <f t="shared" si="52"/>
        <v>0</v>
      </c>
      <c r="FJ16" s="66">
        <f t="shared" si="53"/>
        <v>0</v>
      </c>
      <c r="FK16" s="66">
        <f t="shared" si="54"/>
        <v>0</v>
      </c>
      <c r="FL16" s="173">
        <f t="shared" si="55"/>
        <v>11000</v>
      </c>
    </row>
    <row r="17" spans="1:170" hidden="1" outlineLevel="1" x14ac:dyDescent="0.2">
      <c r="A17" s="77" t="s">
        <v>222</v>
      </c>
      <c r="B17" s="77" t="s">
        <v>650</v>
      </c>
      <c r="C17" s="76" t="s">
        <v>223</v>
      </c>
      <c r="D17" s="76" t="s">
        <v>661</v>
      </c>
      <c r="E17" s="77" t="s">
        <v>474</v>
      </c>
      <c r="F17" s="77" t="s">
        <v>708</v>
      </c>
      <c r="G17" s="77" t="str">
        <f t="shared" si="35"/>
        <v>0</v>
      </c>
      <c r="H17" s="77" t="str">
        <f t="shared" si="36"/>
        <v>0</v>
      </c>
      <c r="I17" s="77" t="str">
        <f t="shared" si="37"/>
        <v>0</v>
      </c>
      <c r="J17" s="77" t="str">
        <f t="shared" si="38"/>
        <v>0</v>
      </c>
      <c r="K17" s="77" t="str">
        <f t="shared" si="39"/>
        <v>0000</v>
      </c>
      <c r="L17" s="77" t="str">
        <f>IFERROR(VLOOKUP(K17,Sheet2!$A$20:$B$23,2,FALSE),"X")</f>
        <v>X</v>
      </c>
      <c r="M17" s="77" t="str">
        <f t="shared" ref="M17" si="64">A17&amp;B17&amp;E17</f>
        <v>15609260AEC Pilot</v>
      </c>
      <c r="O17" s="76" t="s">
        <v>160</v>
      </c>
      <c r="P17" s="69" t="s">
        <v>168</v>
      </c>
      <c r="Q17" s="78"/>
      <c r="R17" s="78"/>
      <c r="AR17" s="79">
        <f t="shared" si="40"/>
        <v>0</v>
      </c>
      <c r="AS17" s="79">
        <f t="shared" si="41"/>
        <v>0</v>
      </c>
      <c r="AT17" s="79">
        <f t="shared" ref="AT17" si="65">S17+(AR17+AS17)</f>
        <v>0</v>
      </c>
      <c r="AU17" s="158" t="s">
        <v>336</v>
      </c>
      <c r="AV17" s="79"/>
      <c r="BV17" s="79">
        <f t="shared" si="43"/>
        <v>0</v>
      </c>
      <c r="BW17" s="79">
        <f t="shared" si="44"/>
        <v>0</v>
      </c>
      <c r="BX17" s="79">
        <f t="shared" ref="BX17" si="66">AT17+AV17+AW17+(BV17+BW17)</f>
        <v>0</v>
      </c>
      <c r="CA17" s="79">
        <v>0</v>
      </c>
      <c r="DB17" s="79">
        <f t="shared" si="45"/>
        <v>0</v>
      </c>
      <c r="DC17" s="79">
        <f t="shared" si="46"/>
        <v>0</v>
      </c>
      <c r="DD17" s="79">
        <f t="shared" si="47"/>
        <v>0</v>
      </c>
      <c r="DE17" s="79">
        <f t="shared" ref="DE17" si="67">BX17+CA17+BZ17+CC17+(DB17+DC17+DD17)</f>
        <v>0</v>
      </c>
      <c r="DG17" s="79">
        <v>19961</v>
      </c>
      <c r="DP17" s="131"/>
      <c r="EJ17" s="79">
        <f t="shared" si="48"/>
        <v>0</v>
      </c>
      <c r="EK17" s="79">
        <f t="shared" si="49"/>
        <v>0</v>
      </c>
      <c r="EL17" s="79">
        <f t="shared" si="50"/>
        <v>0</v>
      </c>
      <c r="EM17" s="79">
        <f t="shared" ref="EM17" si="68">DE17+DH17+DG17+DJ17+(EJ17+EK17+EL17)</f>
        <v>19961</v>
      </c>
      <c r="FI17" s="66">
        <f t="shared" si="52"/>
        <v>0</v>
      </c>
      <c r="FJ17" s="66">
        <f t="shared" si="53"/>
        <v>0</v>
      </c>
      <c r="FK17" s="66">
        <f t="shared" si="54"/>
        <v>0</v>
      </c>
      <c r="FL17" s="173">
        <f t="shared" si="55"/>
        <v>19961</v>
      </c>
    </row>
    <row r="18" spans="1:170" hidden="1" outlineLevel="1" x14ac:dyDescent="0.2">
      <c r="A18" s="77" t="s">
        <v>381</v>
      </c>
      <c r="B18" s="77" t="s">
        <v>467</v>
      </c>
      <c r="C18" s="76" t="s">
        <v>465</v>
      </c>
      <c r="D18" s="76" t="s">
        <v>466</v>
      </c>
      <c r="E18" s="77" t="s">
        <v>474</v>
      </c>
      <c r="F18" s="77" t="s">
        <v>708</v>
      </c>
      <c r="G18" s="77" t="str">
        <f t="shared" si="35"/>
        <v>0</v>
      </c>
      <c r="H18" s="77" t="str">
        <f t="shared" si="36"/>
        <v>1</v>
      </c>
      <c r="I18" s="77" t="str">
        <f t="shared" si="37"/>
        <v>0</v>
      </c>
      <c r="J18" s="77" t="str">
        <f t="shared" si="38"/>
        <v>0</v>
      </c>
      <c r="K18" s="77" t="str">
        <f t="shared" si="39"/>
        <v>0100</v>
      </c>
      <c r="L18" s="77" t="str">
        <f>IFERROR(VLOOKUP(K18,Sheet2!$A$20:$B$23,2,FALSE),"X")</f>
        <v>02</v>
      </c>
      <c r="M18" s="77" t="str">
        <f t="shared" si="20"/>
        <v>20003604AEC Pilot</v>
      </c>
      <c r="O18" s="76" t="s">
        <v>160</v>
      </c>
      <c r="P18" s="69" t="s">
        <v>168</v>
      </c>
      <c r="Q18" s="78"/>
      <c r="R18" s="78"/>
      <c r="AR18" s="79">
        <f t="shared" si="40"/>
        <v>0</v>
      </c>
      <c r="AS18" s="79">
        <f t="shared" si="41"/>
        <v>0</v>
      </c>
      <c r="AT18" s="79">
        <f t="shared" si="42"/>
        <v>0</v>
      </c>
      <c r="AU18" s="158" t="s">
        <v>336</v>
      </c>
      <c r="AV18" s="79"/>
      <c r="AW18" s="79">
        <v>7431</v>
      </c>
      <c r="BV18" s="79">
        <f t="shared" si="43"/>
        <v>0</v>
      </c>
      <c r="BW18" s="79">
        <f t="shared" si="44"/>
        <v>0</v>
      </c>
      <c r="BX18" s="79">
        <f t="shared" si="57"/>
        <v>7431</v>
      </c>
      <c r="CA18" s="79">
        <v>0</v>
      </c>
      <c r="CH18" s="79">
        <v>-2526.89</v>
      </c>
      <c r="CJ18" s="79">
        <v>-314.57</v>
      </c>
      <c r="DB18" s="79">
        <f t="shared" si="45"/>
        <v>0</v>
      </c>
      <c r="DC18" s="79">
        <f t="shared" si="46"/>
        <v>-2841.46</v>
      </c>
      <c r="DD18" s="79">
        <f t="shared" si="47"/>
        <v>0</v>
      </c>
      <c r="DE18" s="79">
        <f t="shared" si="58"/>
        <v>4589.54</v>
      </c>
      <c r="DP18" s="131"/>
      <c r="EJ18" s="79">
        <f t="shared" si="48"/>
        <v>0</v>
      </c>
      <c r="EK18" s="79">
        <f t="shared" si="49"/>
        <v>0</v>
      </c>
      <c r="EL18" s="79">
        <f t="shared" si="50"/>
        <v>0</v>
      </c>
      <c r="EM18" s="79">
        <f t="shared" si="51"/>
        <v>4589.54</v>
      </c>
      <c r="FI18" s="66">
        <f t="shared" si="52"/>
        <v>0</v>
      </c>
      <c r="FJ18" s="66">
        <f t="shared" si="53"/>
        <v>0</v>
      </c>
      <c r="FK18" s="66">
        <f t="shared" si="54"/>
        <v>0</v>
      </c>
      <c r="FL18" s="173">
        <f t="shared" si="55"/>
        <v>4589.54</v>
      </c>
    </row>
    <row r="19" spans="1:170" hidden="1" outlineLevel="1" x14ac:dyDescent="0.2">
      <c r="A19" s="77" t="s">
        <v>470</v>
      </c>
      <c r="B19" s="77" t="s">
        <v>471</v>
      </c>
      <c r="C19" s="76" t="s">
        <v>468</v>
      </c>
      <c r="D19" s="76" t="s">
        <v>469</v>
      </c>
      <c r="E19" s="77" t="s">
        <v>474</v>
      </c>
      <c r="F19" s="77" t="s">
        <v>708</v>
      </c>
      <c r="G19" s="77" t="str">
        <f t="shared" si="35"/>
        <v>0</v>
      </c>
      <c r="H19" s="77" t="str">
        <f t="shared" si="36"/>
        <v>1</v>
      </c>
      <c r="I19" s="77" t="str">
        <f t="shared" si="37"/>
        <v>0</v>
      </c>
      <c r="J19" s="77" t="str">
        <f t="shared" si="38"/>
        <v>0</v>
      </c>
      <c r="K19" s="77" t="str">
        <f t="shared" si="39"/>
        <v>0100</v>
      </c>
      <c r="L19" s="77" t="str">
        <f>IFERROR(VLOOKUP(K19,Sheet2!$A$20:$B$23,2,FALSE),"X")</f>
        <v>02</v>
      </c>
      <c r="M19" s="77" t="str">
        <f t="shared" si="20"/>
        <v>24055180AEC Pilot</v>
      </c>
      <c r="O19" s="76" t="s">
        <v>160</v>
      </c>
      <c r="P19" s="69" t="s">
        <v>168</v>
      </c>
      <c r="Q19" s="78"/>
      <c r="R19" s="78"/>
      <c r="AR19" s="79">
        <f t="shared" si="40"/>
        <v>0</v>
      </c>
      <c r="AS19" s="79">
        <f t="shared" si="41"/>
        <v>0</v>
      </c>
      <c r="AT19" s="79">
        <f t="shared" si="42"/>
        <v>0</v>
      </c>
      <c r="AU19" s="158" t="s">
        <v>336</v>
      </c>
      <c r="AV19" s="79"/>
      <c r="AW19" s="79">
        <v>9006</v>
      </c>
      <c r="BV19" s="79">
        <f t="shared" si="43"/>
        <v>0</v>
      </c>
      <c r="BW19" s="79">
        <f t="shared" si="44"/>
        <v>0</v>
      </c>
      <c r="BX19" s="79">
        <f t="shared" si="57"/>
        <v>9006</v>
      </c>
      <c r="BY19" s="158" t="s">
        <v>341</v>
      </c>
      <c r="CA19" s="79">
        <v>38607</v>
      </c>
      <c r="CR19" s="79">
        <v>-7111.53</v>
      </c>
      <c r="CZ19" s="79">
        <f>-1894.47-9322.33</f>
        <v>-11216.8</v>
      </c>
      <c r="DB19" s="79">
        <f t="shared" si="45"/>
        <v>0</v>
      </c>
      <c r="DC19" s="79">
        <f t="shared" si="46"/>
        <v>-18328.329999999998</v>
      </c>
      <c r="DD19" s="79">
        <f t="shared" si="47"/>
        <v>0</v>
      </c>
      <c r="DE19" s="79">
        <f t="shared" si="58"/>
        <v>29284.670000000002</v>
      </c>
      <c r="DG19" s="79">
        <v>11775</v>
      </c>
      <c r="DP19" s="131">
        <v>-9131.06</v>
      </c>
      <c r="DQ19" s="79">
        <v>-3439.17</v>
      </c>
      <c r="DS19" s="79">
        <v>-385</v>
      </c>
      <c r="DU19" s="79">
        <v>-5272.3</v>
      </c>
      <c r="EC19" s="79">
        <v>-29.58</v>
      </c>
      <c r="EE19" s="79">
        <v>-371.78</v>
      </c>
      <c r="EJ19" s="79">
        <f t="shared" si="48"/>
        <v>-9131.06</v>
      </c>
      <c r="EK19" s="79">
        <f t="shared" si="49"/>
        <v>-9497.8300000000017</v>
      </c>
      <c r="EL19" s="79">
        <f t="shared" si="50"/>
        <v>0</v>
      </c>
      <c r="EM19" s="79">
        <f t="shared" si="51"/>
        <v>22430.78</v>
      </c>
      <c r="ES19" s="66">
        <v>-4522.83</v>
      </c>
      <c r="ET19" s="66">
        <v>-3699.55</v>
      </c>
      <c r="FI19" s="66">
        <f t="shared" si="52"/>
        <v>0</v>
      </c>
      <c r="FJ19" s="66">
        <f t="shared" si="53"/>
        <v>0</v>
      </c>
      <c r="FK19" s="66">
        <f t="shared" si="54"/>
        <v>-8222.380000000001</v>
      </c>
      <c r="FL19" s="173">
        <f t="shared" si="55"/>
        <v>14208.399999999998</v>
      </c>
    </row>
    <row r="20" spans="1:170" hidden="1" outlineLevel="1" x14ac:dyDescent="0.2">
      <c r="A20" s="77" t="s">
        <v>702</v>
      </c>
      <c r="B20" s="77" t="s">
        <v>703</v>
      </c>
      <c r="C20" s="76" t="s">
        <v>704</v>
      </c>
      <c r="D20" s="76" t="s">
        <v>705</v>
      </c>
      <c r="E20" s="77" t="s">
        <v>474</v>
      </c>
      <c r="F20" s="77" t="s">
        <v>708</v>
      </c>
      <c r="G20" s="77" t="str">
        <f t="shared" si="35"/>
        <v>0</v>
      </c>
      <c r="H20" s="77" t="str">
        <f t="shared" si="36"/>
        <v>0</v>
      </c>
      <c r="I20" s="77" t="str">
        <f t="shared" si="37"/>
        <v>0</v>
      </c>
      <c r="J20" s="77" t="str">
        <f t="shared" si="38"/>
        <v>0</v>
      </c>
      <c r="K20" s="77" t="str">
        <f t="shared" si="39"/>
        <v>0000</v>
      </c>
      <c r="L20" s="77" t="str">
        <f>IFERROR(VLOOKUP(K20,Sheet2!$A$20:$B$23,2,FALSE),"X")</f>
        <v>X</v>
      </c>
      <c r="M20" s="77" t="str">
        <f t="shared" si="20"/>
        <v>27709757AEC Pilot</v>
      </c>
      <c r="O20" s="76" t="s">
        <v>160</v>
      </c>
      <c r="P20" s="69" t="s">
        <v>168</v>
      </c>
      <c r="Q20" s="78"/>
      <c r="R20" s="78"/>
      <c r="AR20" s="79">
        <f t="shared" si="40"/>
        <v>0</v>
      </c>
      <c r="AS20" s="79">
        <f t="shared" si="41"/>
        <v>0</v>
      </c>
      <c r="AT20" s="79">
        <f t="shared" si="42"/>
        <v>0</v>
      </c>
      <c r="AU20" s="158" t="s">
        <v>336</v>
      </c>
      <c r="AV20" s="79"/>
      <c r="BV20" s="79">
        <f t="shared" si="43"/>
        <v>0</v>
      </c>
      <c r="BW20" s="79">
        <f t="shared" si="44"/>
        <v>0</v>
      </c>
      <c r="BX20" s="79">
        <f t="shared" si="57"/>
        <v>0</v>
      </c>
      <c r="CA20" s="79">
        <v>0</v>
      </c>
      <c r="DB20" s="79">
        <f t="shared" si="45"/>
        <v>0</v>
      </c>
      <c r="DC20" s="79">
        <f t="shared" si="46"/>
        <v>0</v>
      </c>
      <c r="DD20" s="79">
        <f t="shared" si="47"/>
        <v>0</v>
      </c>
      <c r="DE20" s="79">
        <f t="shared" si="58"/>
        <v>0</v>
      </c>
      <c r="DG20" s="79">
        <v>20000</v>
      </c>
      <c r="DP20" s="131"/>
      <c r="EI20" s="79">
        <v>-20000</v>
      </c>
      <c r="EJ20" s="79">
        <f t="shared" si="48"/>
        <v>0</v>
      </c>
      <c r="EK20" s="79">
        <f t="shared" si="49"/>
        <v>0</v>
      </c>
      <c r="EL20" s="79">
        <f t="shared" si="50"/>
        <v>-20000</v>
      </c>
      <c r="EM20" s="79">
        <f t="shared" si="51"/>
        <v>0</v>
      </c>
      <c r="FI20" s="66">
        <f t="shared" si="52"/>
        <v>0</v>
      </c>
      <c r="FJ20" s="66">
        <f t="shared" si="53"/>
        <v>0</v>
      </c>
      <c r="FK20" s="66">
        <f t="shared" si="54"/>
        <v>0</v>
      </c>
      <c r="FL20" s="173">
        <f t="shared" si="55"/>
        <v>0</v>
      </c>
    </row>
    <row r="21" spans="1:170" hidden="1" outlineLevel="1" x14ac:dyDescent="0.2">
      <c r="A21" s="77" t="s">
        <v>33</v>
      </c>
      <c r="B21" s="77" t="s">
        <v>473</v>
      </c>
      <c r="C21" s="76" t="s">
        <v>813</v>
      </c>
      <c r="D21" s="76" t="s">
        <v>472</v>
      </c>
      <c r="E21" s="77" t="s">
        <v>474</v>
      </c>
      <c r="F21" s="77" t="s">
        <v>708</v>
      </c>
      <c r="G21" s="77" t="str">
        <f t="shared" si="35"/>
        <v>0</v>
      </c>
      <c r="H21" s="77" t="str">
        <f t="shared" si="36"/>
        <v>1</v>
      </c>
      <c r="I21" s="77" t="str">
        <f t="shared" si="37"/>
        <v>0</v>
      </c>
      <c r="J21" s="77" t="str">
        <f t="shared" si="38"/>
        <v>0</v>
      </c>
      <c r="K21" s="77" t="str">
        <f t="shared" si="39"/>
        <v>0100</v>
      </c>
      <c r="L21" s="77" t="str">
        <f>IFERROR(VLOOKUP(K21,Sheet2!$A$20:$B$23,2,FALSE),"X")</f>
        <v>02</v>
      </c>
      <c r="M21" s="77" t="str">
        <f t="shared" si="20"/>
        <v>91706971AEC Pilot</v>
      </c>
      <c r="O21" s="76" t="s">
        <v>160</v>
      </c>
      <c r="P21" s="69" t="s">
        <v>168</v>
      </c>
      <c r="Q21" s="78"/>
      <c r="R21" s="78"/>
      <c r="AR21" s="79">
        <f t="shared" si="40"/>
        <v>0</v>
      </c>
      <c r="AS21" s="79">
        <f t="shared" si="41"/>
        <v>0</v>
      </c>
      <c r="AT21" s="79">
        <f t="shared" si="42"/>
        <v>0</v>
      </c>
      <c r="AU21" s="158" t="s">
        <v>336</v>
      </c>
      <c r="AV21" s="79"/>
      <c r="AW21" s="79">
        <v>10000</v>
      </c>
      <c r="BV21" s="79">
        <f t="shared" si="43"/>
        <v>0</v>
      </c>
      <c r="BW21" s="79">
        <f t="shared" si="44"/>
        <v>0</v>
      </c>
      <c r="BX21" s="79">
        <f t="shared" si="57"/>
        <v>10000</v>
      </c>
      <c r="BY21" s="158" t="s">
        <v>341</v>
      </c>
      <c r="CA21" s="79">
        <v>25981</v>
      </c>
      <c r="CH21" s="79">
        <v>-7375</v>
      </c>
      <c r="DB21" s="79">
        <f t="shared" si="45"/>
        <v>0</v>
      </c>
      <c r="DC21" s="79">
        <f t="shared" si="46"/>
        <v>-7375</v>
      </c>
      <c r="DD21" s="79">
        <f t="shared" si="47"/>
        <v>0</v>
      </c>
      <c r="DE21" s="79">
        <f t="shared" si="58"/>
        <v>28606</v>
      </c>
      <c r="DG21" s="79">
        <v>12600</v>
      </c>
      <c r="DP21" s="131"/>
      <c r="EJ21" s="79">
        <f t="shared" si="48"/>
        <v>0</v>
      </c>
      <c r="EK21" s="79">
        <f t="shared" si="49"/>
        <v>0</v>
      </c>
      <c r="EL21" s="79">
        <f t="shared" si="50"/>
        <v>0</v>
      </c>
      <c r="EM21" s="79">
        <f t="shared" si="51"/>
        <v>41206</v>
      </c>
      <c r="EX21" s="144">
        <v>-15697</v>
      </c>
      <c r="FI21" s="66">
        <f t="shared" si="52"/>
        <v>0</v>
      </c>
      <c r="FJ21" s="66">
        <f t="shared" si="53"/>
        <v>0</v>
      </c>
      <c r="FK21" s="66">
        <f t="shared" si="54"/>
        <v>-15697</v>
      </c>
      <c r="FL21" s="173">
        <f t="shared" si="55"/>
        <v>25509</v>
      </c>
    </row>
    <row r="22" spans="1:170" hidden="1" collapsed="1" x14ac:dyDescent="0.2">
      <c r="G22" s="77"/>
      <c r="H22" s="77"/>
      <c r="I22" s="77"/>
      <c r="J22" s="77"/>
      <c r="K22" s="77"/>
      <c r="L22" s="77" t="s">
        <v>701</v>
      </c>
      <c r="M22" s="77" t="str">
        <f t="shared" si="20"/>
        <v/>
      </c>
      <c r="P22" s="18" t="s">
        <v>475</v>
      </c>
      <c r="Q22" s="78"/>
      <c r="R22" s="78"/>
      <c r="S22" s="14">
        <f t="shared" ref="S22:AT22" si="69">SUM(S13:S21)</f>
        <v>0</v>
      </c>
      <c r="T22" s="14">
        <f t="shared" si="69"/>
        <v>0</v>
      </c>
      <c r="U22" s="14">
        <f t="shared" si="69"/>
        <v>0</v>
      </c>
      <c r="V22" s="14">
        <f t="shared" si="69"/>
        <v>0</v>
      </c>
      <c r="W22" s="14">
        <f t="shared" si="69"/>
        <v>0</v>
      </c>
      <c r="X22" s="14">
        <f t="shared" si="69"/>
        <v>0</v>
      </c>
      <c r="Y22" s="14">
        <f t="shared" si="69"/>
        <v>0</v>
      </c>
      <c r="Z22" s="14">
        <f t="shared" si="69"/>
        <v>0</v>
      </c>
      <c r="AA22" s="14">
        <f t="shared" si="69"/>
        <v>0</v>
      </c>
      <c r="AB22" s="14">
        <f t="shared" si="69"/>
        <v>0</v>
      </c>
      <c r="AC22" s="14">
        <f t="shared" si="69"/>
        <v>0</v>
      </c>
      <c r="AD22" s="14">
        <f t="shared" si="69"/>
        <v>0</v>
      </c>
      <c r="AE22" s="14">
        <f t="shared" si="69"/>
        <v>0</v>
      </c>
      <c r="AF22" s="14">
        <f t="shared" si="69"/>
        <v>0</v>
      </c>
      <c r="AG22" s="14">
        <f t="shared" si="69"/>
        <v>0</v>
      </c>
      <c r="AH22" s="14">
        <f t="shared" si="69"/>
        <v>0</v>
      </c>
      <c r="AI22" s="14">
        <f t="shared" si="69"/>
        <v>0</v>
      </c>
      <c r="AJ22" s="14">
        <f t="shared" si="69"/>
        <v>0</v>
      </c>
      <c r="AK22" s="14">
        <f t="shared" si="69"/>
        <v>0</v>
      </c>
      <c r="AL22" s="14">
        <f t="shared" si="69"/>
        <v>0</v>
      </c>
      <c r="AM22" s="14">
        <f t="shared" si="69"/>
        <v>0</v>
      </c>
      <c r="AN22" s="14">
        <f t="shared" si="69"/>
        <v>0</v>
      </c>
      <c r="AO22" s="14">
        <f t="shared" si="69"/>
        <v>0</v>
      </c>
      <c r="AP22" s="14">
        <f t="shared" si="69"/>
        <v>0</v>
      </c>
      <c r="AQ22" s="14">
        <f t="shared" si="69"/>
        <v>0</v>
      </c>
      <c r="AR22" s="14">
        <f t="shared" si="69"/>
        <v>0</v>
      </c>
      <c r="AS22" s="14">
        <f t="shared" si="69"/>
        <v>0</v>
      </c>
      <c r="AT22" s="14">
        <f t="shared" si="69"/>
        <v>0</v>
      </c>
      <c r="AU22" s="159"/>
      <c r="AV22" s="14">
        <f t="shared" ref="AV22:BX22" si="70">SUM(AV13:AV21)</f>
        <v>0</v>
      </c>
      <c r="AW22" s="14">
        <f t="shared" si="70"/>
        <v>39198</v>
      </c>
      <c r="AX22" s="14">
        <f t="shared" si="70"/>
        <v>0</v>
      </c>
      <c r="AY22" s="14">
        <f t="shared" si="70"/>
        <v>0</v>
      </c>
      <c r="AZ22" s="14">
        <f t="shared" si="70"/>
        <v>0</v>
      </c>
      <c r="BA22" s="14">
        <f t="shared" si="70"/>
        <v>0</v>
      </c>
      <c r="BB22" s="14">
        <f t="shared" si="70"/>
        <v>0</v>
      </c>
      <c r="BC22" s="14">
        <f t="shared" si="70"/>
        <v>0</v>
      </c>
      <c r="BD22" s="14">
        <f t="shared" si="70"/>
        <v>0</v>
      </c>
      <c r="BE22" s="14">
        <f t="shared" si="70"/>
        <v>0</v>
      </c>
      <c r="BF22" s="14">
        <f t="shared" si="70"/>
        <v>0</v>
      </c>
      <c r="BG22" s="14">
        <f t="shared" si="70"/>
        <v>0</v>
      </c>
      <c r="BH22" s="14">
        <f t="shared" si="70"/>
        <v>0</v>
      </c>
      <c r="BI22" s="14">
        <f t="shared" si="70"/>
        <v>0</v>
      </c>
      <c r="BJ22" s="14">
        <f t="shared" si="70"/>
        <v>0</v>
      </c>
      <c r="BK22" s="14">
        <f t="shared" si="70"/>
        <v>0</v>
      </c>
      <c r="BL22" s="14">
        <f t="shared" si="70"/>
        <v>0</v>
      </c>
      <c r="BM22" s="14">
        <f t="shared" si="70"/>
        <v>0</v>
      </c>
      <c r="BN22" s="14">
        <f t="shared" si="70"/>
        <v>0</v>
      </c>
      <c r="BO22" s="14">
        <f t="shared" si="70"/>
        <v>0</v>
      </c>
      <c r="BP22" s="14">
        <f t="shared" si="70"/>
        <v>0</v>
      </c>
      <c r="BQ22" s="14">
        <f t="shared" si="70"/>
        <v>0</v>
      </c>
      <c r="BR22" s="14">
        <f t="shared" si="70"/>
        <v>0</v>
      </c>
      <c r="BS22" s="14">
        <f t="shared" si="70"/>
        <v>0</v>
      </c>
      <c r="BT22" s="14">
        <f t="shared" si="70"/>
        <v>0</v>
      </c>
      <c r="BU22" s="14">
        <f t="shared" si="70"/>
        <v>0</v>
      </c>
      <c r="BV22" s="14">
        <f t="shared" si="70"/>
        <v>0</v>
      </c>
      <c r="BW22" s="14">
        <f t="shared" si="70"/>
        <v>0</v>
      </c>
      <c r="BX22" s="14">
        <f t="shared" si="70"/>
        <v>39198</v>
      </c>
      <c r="BY22" s="159"/>
      <c r="BZ22" s="14">
        <f>SUM(BZ13:BZ21)</f>
        <v>0</v>
      </c>
      <c r="CA22" s="14">
        <f>SUM(CA13:CA21)</f>
        <v>184152</v>
      </c>
      <c r="CB22" s="14"/>
      <c r="CC22" s="14">
        <f t="shared" ref="CC22:DE22" si="71">SUM(CC13:CC21)</f>
        <v>0</v>
      </c>
      <c r="CD22" s="14">
        <f t="shared" si="71"/>
        <v>0</v>
      </c>
      <c r="CE22" s="14">
        <f t="shared" si="71"/>
        <v>0</v>
      </c>
      <c r="CF22" s="14">
        <f t="shared" si="71"/>
        <v>0</v>
      </c>
      <c r="CG22" s="14">
        <f t="shared" si="71"/>
        <v>0</v>
      </c>
      <c r="CH22" s="14">
        <f t="shared" si="71"/>
        <v>-9901.89</v>
      </c>
      <c r="CI22" s="14">
        <f t="shared" si="71"/>
        <v>0</v>
      </c>
      <c r="CJ22" s="14">
        <f t="shared" si="71"/>
        <v>-314.57</v>
      </c>
      <c r="CK22" s="14">
        <f t="shared" si="71"/>
        <v>0</v>
      </c>
      <c r="CL22" s="14">
        <f t="shared" si="71"/>
        <v>0</v>
      </c>
      <c r="CM22" s="14">
        <f t="shared" si="71"/>
        <v>0</v>
      </c>
      <c r="CN22" s="14">
        <f t="shared" si="71"/>
        <v>-185.57</v>
      </c>
      <c r="CO22" s="14">
        <f t="shared" si="71"/>
        <v>0</v>
      </c>
      <c r="CP22" s="14">
        <f t="shared" si="71"/>
        <v>0</v>
      </c>
      <c r="CQ22" s="14">
        <f t="shared" si="71"/>
        <v>0</v>
      </c>
      <c r="CR22" s="14">
        <f t="shared" si="71"/>
        <v>-7111.53</v>
      </c>
      <c r="CS22" s="14">
        <f t="shared" si="71"/>
        <v>0</v>
      </c>
      <c r="CT22" s="14">
        <f t="shared" si="71"/>
        <v>-4450</v>
      </c>
      <c r="CU22" s="14">
        <f t="shared" si="71"/>
        <v>0</v>
      </c>
      <c r="CV22" s="14">
        <f t="shared" si="71"/>
        <v>-4583.75</v>
      </c>
      <c r="CW22" s="14">
        <f t="shared" si="71"/>
        <v>0</v>
      </c>
      <c r="CX22" s="14">
        <f t="shared" si="71"/>
        <v>0</v>
      </c>
      <c r="CY22" s="14">
        <f t="shared" si="71"/>
        <v>0</v>
      </c>
      <c r="CZ22" s="14">
        <f t="shared" si="71"/>
        <v>-19942.150000000001</v>
      </c>
      <c r="DA22" s="14">
        <f t="shared" si="71"/>
        <v>0</v>
      </c>
      <c r="DB22" s="14">
        <f t="shared" si="71"/>
        <v>0</v>
      </c>
      <c r="DC22" s="14">
        <f t="shared" si="71"/>
        <v>-46489.459999999992</v>
      </c>
      <c r="DD22" s="14">
        <f t="shared" si="71"/>
        <v>0</v>
      </c>
      <c r="DE22" s="14">
        <f t="shared" si="71"/>
        <v>176860.54</v>
      </c>
      <c r="DF22" s="159"/>
      <c r="DG22" s="14">
        <f>SUM(DG13:DG21)</f>
        <v>95419</v>
      </c>
      <c r="DH22" s="14">
        <f>SUM(DH13:DH21)</f>
        <v>0</v>
      </c>
      <c r="DI22" s="14"/>
      <c r="DJ22" s="14">
        <f t="shared" ref="DJ22:FH22" si="72">SUM(DJ13:DJ21)</f>
        <v>0</v>
      </c>
      <c r="DK22" s="14">
        <f t="shared" si="72"/>
        <v>0</v>
      </c>
      <c r="DL22" s="14">
        <f t="shared" si="72"/>
        <v>0</v>
      </c>
      <c r="DM22" s="14">
        <f t="shared" si="72"/>
        <v>-5473</v>
      </c>
      <c r="DN22" s="14">
        <f t="shared" si="72"/>
        <v>0</v>
      </c>
      <c r="DO22" s="14">
        <f t="shared" si="72"/>
        <v>0</v>
      </c>
      <c r="DP22" s="132">
        <f t="shared" si="72"/>
        <v>-9131.06</v>
      </c>
      <c r="DQ22" s="14">
        <f t="shared" si="72"/>
        <v>-3439.17</v>
      </c>
      <c r="DR22" s="14">
        <f t="shared" si="72"/>
        <v>0</v>
      </c>
      <c r="DS22" s="14">
        <f t="shared" si="72"/>
        <v>-385</v>
      </c>
      <c r="DT22" s="14">
        <f t="shared" si="72"/>
        <v>0</v>
      </c>
      <c r="DU22" s="14">
        <f t="shared" si="72"/>
        <v>-5272.3</v>
      </c>
      <c r="DV22" s="14">
        <f t="shared" si="72"/>
        <v>0</v>
      </c>
      <c r="DW22" s="14">
        <f t="shared" si="72"/>
        <v>0</v>
      </c>
      <c r="DX22" s="14">
        <f t="shared" si="72"/>
        <v>0</v>
      </c>
      <c r="DY22" s="14">
        <f t="shared" si="72"/>
        <v>-3800</v>
      </c>
      <c r="DZ22" s="14">
        <f t="shared" si="72"/>
        <v>0</v>
      </c>
      <c r="EA22" s="14">
        <f t="shared" si="72"/>
        <v>0</v>
      </c>
      <c r="EB22" s="14">
        <f t="shared" si="72"/>
        <v>0</v>
      </c>
      <c r="EC22" s="14">
        <f t="shared" si="72"/>
        <v>-38901.020000000004</v>
      </c>
      <c r="ED22" s="14">
        <f t="shared" si="72"/>
        <v>0</v>
      </c>
      <c r="EE22" s="14">
        <f t="shared" si="72"/>
        <v>-371.78</v>
      </c>
      <c r="EF22" s="14">
        <f t="shared" si="72"/>
        <v>0</v>
      </c>
      <c r="EG22" s="132">
        <f t="shared" si="72"/>
        <v>0</v>
      </c>
      <c r="EH22" s="14">
        <f t="shared" si="72"/>
        <v>-20541.46</v>
      </c>
      <c r="EI22" s="14">
        <f t="shared" si="72"/>
        <v>-35757.56</v>
      </c>
      <c r="EJ22" s="14">
        <f t="shared" si="72"/>
        <v>-9131.06</v>
      </c>
      <c r="EK22" s="14">
        <f t="shared" si="72"/>
        <v>-78183.73</v>
      </c>
      <c r="EL22" s="14">
        <f t="shared" si="72"/>
        <v>-35757.56</v>
      </c>
      <c r="EM22" s="14">
        <f t="shared" si="72"/>
        <v>149207.19</v>
      </c>
      <c r="EN22" s="14">
        <f t="shared" si="72"/>
        <v>0</v>
      </c>
      <c r="EO22" s="14">
        <f t="shared" si="72"/>
        <v>0</v>
      </c>
      <c r="EP22" s="14">
        <f t="shared" si="72"/>
        <v>0</v>
      </c>
      <c r="EQ22" s="14">
        <f t="shared" si="72"/>
        <v>0</v>
      </c>
      <c r="ER22" s="14">
        <f t="shared" si="72"/>
        <v>0</v>
      </c>
      <c r="ES22" s="68">
        <f t="shared" si="72"/>
        <v>-20717.22</v>
      </c>
      <c r="ET22" s="68">
        <f t="shared" si="72"/>
        <v>-3699.55</v>
      </c>
      <c r="EU22" s="68">
        <f t="shared" si="72"/>
        <v>0</v>
      </c>
      <c r="EV22" s="68">
        <f t="shared" ref="EV22" si="73">SUM(EV13:EV21)</f>
        <v>0</v>
      </c>
      <c r="EW22" s="68">
        <f t="shared" si="72"/>
        <v>-14863.6</v>
      </c>
      <c r="EX22" s="68">
        <f t="shared" si="72"/>
        <v>-15697</v>
      </c>
      <c r="EY22" s="68">
        <f t="shared" si="72"/>
        <v>0</v>
      </c>
      <c r="EZ22" s="68">
        <f t="shared" ref="EZ22:FB22" si="74">SUM(EZ13:EZ21)</f>
        <v>0</v>
      </c>
      <c r="FA22" s="68">
        <f t="shared" si="74"/>
        <v>0</v>
      </c>
      <c r="FB22" s="68">
        <f t="shared" si="74"/>
        <v>0</v>
      </c>
      <c r="FC22" s="68">
        <f t="shared" si="72"/>
        <v>0</v>
      </c>
      <c r="FD22" s="68">
        <f t="shared" si="72"/>
        <v>0</v>
      </c>
      <c r="FE22" s="68">
        <f t="shared" si="72"/>
        <v>0</v>
      </c>
      <c r="FF22" s="68">
        <f t="shared" si="72"/>
        <v>0</v>
      </c>
      <c r="FG22" s="68">
        <f t="shared" si="72"/>
        <v>0</v>
      </c>
      <c r="FH22" s="68">
        <f t="shared" si="72"/>
        <v>0</v>
      </c>
      <c r="FI22" s="68">
        <f t="shared" ref="FI22:FK22" si="75">SUM(FI13:FI21)</f>
        <v>0</v>
      </c>
      <c r="FJ22" s="68">
        <f t="shared" ref="FJ22" si="76">SUM(FJ13:FJ21)</f>
        <v>0</v>
      </c>
      <c r="FK22" s="68">
        <f t="shared" si="75"/>
        <v>-54977.369999999995</v>
      </c>
      <c r="FL22" s="14">
        <f>EM22+EO22+EP22+EQ22+FK22</f>
        <v>94229.82</v>
      </c>
    </row>
    <row r="23" spans="1:170" hidden="1" x14ac:dyDescent="0.2">
      <c r="E23" s="77"/>
      <c r="F23" s="77"/>
      <c r="G23" s="77"/>
      <c r="H23" s="77"/>
      <c r="I23" s="77"/>
      <c r="J23" s="77"/>
      <c r="K23" s="77"/>
      <c r="L23" s="77" t="s">
        <v>701</v>
      </c>
      <c r="M23" s="77" t="str">
        <f t="shared" si="20"/>
        <v/>
      </c>
      <c r="Q23" s="78"/>
      <c r="R23" s="78"/>
      <c r="AV23" s="79"/>
      <c r="DP23" s="131"/>
    </row>
    <row r="24" spans="1:170" hidden="1" outlineLevel="1" x14ac:dyDescent="0.2">
      <c r="A24" s="77" t="s">
        <v>8</v>
      </c>
      <c r="B24" s="76" t="s">
        <v>478</v>
      </c>
      <c r="C24" s="76" t="s">
        <v>89</v>
      </c>
      <c r="D24" s="76" t="s">
        <v>479</v>
      </c>
      <c r="E24" s="77" t="s">
        <v>212</v>
      </c>
      <c r="F24" s="77" t="s">
        <v>709</v>
      </c>
      <c r="G24" s="77" t="str">
        <f>IF(S24&gt;0, "1", "0")</f>
        <v>1</v>
      </c>
      <c r="H24" s="77" t="str">
        <f>IF(AW24&gt;0, "1", "0")</f>
        <v>0</v>
      </c>
      <c r="I24" s="77" t="str">
        <f>IF(CC24&gt;0, "1", "0")</f>
        <v>0</v>
      </c>
      <c r="J24" s="77" t="str">
        <f>IF(DJ24&gt;0, "1", "0")</f>
        <v>0</v>
      </c>
      <c r="K24" s="77" t="str">
        <f>CONCATENATE(G24,H24,I24,J24)</f>
        <v>1000</v>
      </c>
      <c r="L24" s="77" t="str">
        <f>IFERROR(VLOOKUP(K24,Sheet2!$A$20:$B$23,2,FALSE),"X")</f>
        <v>01</v>
      </c>
      <c r="M24" s="77" t="str">
        <f t="shared" ref="M24:M66" si="77">A24&amp;B24&amp;E24</f>
        <v>00109036Connect For Success 17-20</v>
      </c>
      <c r="N24" s="76" t="s">
        <v>161</v>
      </c>
      <c r="O24" s="76" t="s">
        <v>160</v>
      </c>
      <c r="P24" s="69" t="s">
        <v>168</v>
      </c>
      <c r="Q24" s="78">
        <v>43168</v>
      </c>
      <c r="R24" s="78">
        <v>43168</v>
      </c>
      <c r="S24" s="79">
        <v>20000</v>
      </c>
      <c r="AN24" s="79">
        <v>-474</v>
      </c>
      <c r="AR24" s="79">
        <f>SUMIF($T$2:$AQ$2,$AR$2,$T24:$AQ24)</f>
        <v>-474</v>
      </c>
      <c r="AS24" s="79">
        <f>SUMIF($T$2:$AQ$2,$AS$2,$T24:$AQ24)</f>
        <v>0</v>
      </c>
      <c r="AT24" s="79">
        <f>S24+(AR24+AS24)</f>
        <v>19526</v>
      </c>
      <c r="AU24" s="158" t="s">
        <v>161</v>
      </c>
      <c r="AV24" s="79">
        <v>80000</v>
      </c>
      <c r="BB24" s="79">
        <v>-2828</v>
      </c>
      <c r="BH24" s="79">
        <v>-7233</v>
      </c>
      <c r="BL24" s="79">
        <v>-8456</v>
      </c>
      <c r="BN24" s="79">
        <v>-2220</v>
      </c>
      <c r="BP24" s="79">
        <f>-8649-7706</f>
        <v>-16355</v>
      </c>
      <c r="BR24" s="79">
        <v>-7426</v>
      </c>
      <c r="BV24" s="79">
        <f>SUMIF($AX$2:$BU$2,$BV$2,$AX24:$BU24)</f>
        <v>-44518</v>
      </c>
      <c r="BW24" s="79">
        <f>SUMIF($AX$2:$BU$2,$BW$2,$AX24:$BU24)</f>
        <v>0</v>
      </c>
      <c r="BX24" s="79">
        <f>AT24+AV24+AW24+(BV24+BW24)</f>
        <v>55008</v>
      </c>
      <c r="BY24" s="158" t="s">
        <v>341</v>
      </c>
      <c r="BZ24" s="79">
        <v>80000</v>
      </c>
      <c r="CD24" s="79">
        <f>-11550-343</f>
        <v>-11893</v>
      </c>
      <c r="CF24" s="79">
        <v>-20199.66</v>
      </c>
      <c r="CH24" s="79">
        <v>-5815.17</v>
      </c>
      <c r="CJ24" s="79">
        <v>-10750.22</v>
      </c>
      <c r="CL24" s="79">
        <f>-6349.95-620.01</f>
        <v>-6969.96</v>
      </c>
      <c r="CN24" s="79">
        <v>-6228.78</v>
      </c>
      <c r="CR24" s="79">
        <f>-9559.08-5930.08</f>
        <v>-15489.16</v>
      </c>
      <c r="CV24" s="79">
        <f>-5929.84-5929.84</f>
        <v>-11859.68</v>
      </c>
      <c r="CX24" s="79">
        <v>-5929.84</v>
      </c>
      <c r="DB24" s="79">
        <f>SUMIF($CD$2:$DA$2,$DB$2,$CD24:$DA24)</f>
        <v>-32092.66</v>
      </c>
      <c r="DC24" s="79">
        <f>SUMIF($CD$2:$DA$2,$DC$2,$CD24:$DA24)</f>
        <v>-63042.81</v>
      </c>
      <c r="DD24" s="79">
        <f>SUMIF($CD$2:$DA$2,$DD$2,$CD24:$DA24)</f>
        <v>0</v>
      </c>
      <c r="DE24" s="79">
        <f>BX24+CA24+BZ24+CC24+(DB24+DC24+DD24)</f>
        <v>39872.53</v>
      </c>
      <c r="DK24" s="79">
        <f>-6100.43-5929.95</f>
        <v>-12030.380000000001</v>
      </c>
      <c r="DP24" s="131">
        <v>-8906.9699999999993</v>
      </c>
      <c r="EJ24" s="79">
        <f>SUMIF($DK$2:$EI$2,$EJ$2,$DK24:$EI24)</f>
        <v>-8906.9699999999993</v>
      </c>
      <c r="EK24" s="79">
        <f>SUMIF($DK$2:$EI$2,$EK$2,$DK24:$EI24)</f>
        <v>-12030.380000000001</v>
      </c>
      <c r="EL24" s="79">
        <f>SUMIF($DK$2:$EI$2,$EL$2,$DK24:$EI24)</f>
        <v>0</v>
      </c>
      <c r="EM24" s="79">
        <f t="shared" ref="EM24:EM66" si="78">DE24+DH24+DG24+DJ24+(EJ24+EK24+EL24)</f>
        <v>18935.18</v>
      </c>
      <c r="FI24" s="66">
        <f t="shared" ref="FI24:FI66" si="79">SUMIF($ES$2:$FH$2,$FI$2,$ES24:$FH24)</f>
        <v>0</v>
      </c>
      <c r="FJ24" s="66">
        <f t="shared" ref="FJ24:FJ66" si="80">SUMIF($ES$2:$FH$2,$FJ$2,$ES24:$FH24)</f>
        <v>0</v>
      </c>
      <c r="FK24" s="66">
        <f t="shared" ref="FK24:FK66" si="81">SUMIF($ES$2:$FH$2,$FK$2,$ES24:$FH24)</f>
        <v>0</v>
      </c>
      <c r="FL24" s="173">
        <f t="shared" ref="FL24:FL66" si="82">EM24+EO24+EP24+EQ24+(FK24+FI24+FJ24)</f>
        <v>18935.18</v>
      </c>
    </row>
    <row r="25" spans="1:170" hidden="1" outlineLevel="1" x14ac:dyDescent="0.2">
      <c r="A25" s="77" t="s">
        <v>13</v>
      </c>
      <c r="B25" s="76" t="s">
        <v>480</v>
      </c>
      <c r="C25" s="76" t="s">
        <v>94</v>
      </c>
      <c r="D25" s="76" t="s">
        <v>616</v>
      </c>
      <c r="E25" s="77" t="s">
        <v>215</v>
      </c>
      <c r="F25" s="77" t="s">
        <v>709</v>
      </c>
      <c r="G25" s="77" t="str">
        <f>IF(S25&gt;0, "1", "0")</f>
        <v>0</v>
      </c>
      <c r="H25" s="77" t="str">
        <f>IF(AW25&gt;0, "1", "0")</f>
        <v>1</v>
      </c>
      <c r="I25" s="77" t="str">
        <f>IF(CC25&gt;0, "1", "0")</f>
        <v>0</v>
      </c>
      <c r="J25" s="77" t="str">
        <f>IF(DJ25&gt;0, "1", "0")</f>
        <v>0</v>
      </c>
      <c r="K25" s="77" t="str">
        <f>CONCATENATE(G25,H25,I25,J25)</f>
        <v>0100</v>
      </c>
      <c r="L25" s="77" t="str">
        <f>IFERROR(VLOOKUP(K25,Sheet2!$A$20:$B$23,2,FALSE),"X")</f>
        <v>02</v>
      </c>
      <c r="M25" s="77" t="str">
        <f t="shared" si="77"/>
        <v>01200206Connect For Success 18-21</v>
      </c>
      <c r="O25" s="76" t="s">
        <v>160</v>
      </c>
      <c r="P25" s="69" t="s">
        <v>168</v>
      </c>
      <c r="Q25" s="78"/>
      <c r="R25" s="78"/>
      <c r="AU25" s="158" t="s">
        <v>336</v>
      </c>
      <c r="AV25" s="79"/>
      <c r="AW25" s="79">
        <v>5083</v>
      </c>
      <c r="BV25" s="79">
        <f>SUMIF($AX$2:$BU$2,$BV$2,$AX25:$BU25)</f>
        <v>0</v>
      </c>
      <c r="BW25" s="79">
        <f>SUMIF($AX$2:$BU$2,$BW$2,$AX25:$BU25)</f>
        <v>0</v>
      </c>
      <c r="BX25" s="79">
        <f>AT25+AV25+AW25+(BV25+BW25)</f>
        <v>5083</v>
      </c>
      <c r="BY25" s="158" t="s">
        <v>341</v>
      </c>
      <c r="CA25" s="79">
        <v>80000</v>
      </c>
      <c r="CD25" s="79">
        <v>-5009</v>
      </c>
      <c r="CT25" s="79">
        <f>-74-33671</f>
        <v>-33745</v>
      </c>
      <c r="CV25" s="79">
        <v>-7572</v>
      </c>
      <c r="CX25" s="79">
        <v>-15344</v>
      </c>
      <c r="CZ25" s="79">
        <v>-4457</v>
      </c>
      <c r="DB25" s="79">
        <f>SUMIF($CD$2:$DA$2,$DB$2,$CD25:$DA25)</f>
        <v>-5009</v>
      </c>
      <c r="DC25" s="79">
        <f>SUMIF($CD$2:$DA$2,$DC$2,$CD25:$DA25)</f>
        <v>-61118</v>
      </c>
      <c r="DD25" s="79">
        <f>SUMIF($CD$2:$DA$2,$DD$2,$CD25:$DA25)</f>
        <v>0</v>
      </c>
      <c r="DE25" s="79">
        <f>BX25+CA25+BZ25+CC25+(DB25+DC25+DD25)</f>
        <v>18956</v>
      </c>
      <c r="DG25" s="79">
        <v>84000</v>
      </c>
      <c r="DK25" s="79">
        <v>-4756</v>
      </c>
      <c r="DM25" s="79">
        <v>-8178</v>
      </c>
      <c r="DP25" s="131"/>
      <c r="DQ25" s="79">
        <f>-6022-3729</f>
        <v>-9751</v>
      </c>
      <c r="DS25" s="79">
        <v>-4756</v>
      </c>
      <c r="DU25" s="79">
        <v>-4689</v>
      </c>
      <c r="DW25" s="79">
        <v>-4690</v>
      </c>
      <c r="DY25" s="79">
        <v>-5225</v>
      </c>
      <c r="EA25" s="79">
        <v>-5927</v>
      </c>
      <c r="EC25" s="79">
        <v>-11338</v>
      </c>
      <c r="EE25" s="79">
        <v>-5596</v>
      </c>
      <c r="EJ25" s="79">
        <f>SUMIF($DK$2:$EI$2,$EJ$2,$DK25:$EI25)</f>
        <v>0</v>
      </c>
      <c r="EK25" s="79">
        <f>SUMIF($DK$2:$EI$2,$EK$2,$DK25:$EI25)</f>
        <v>-64906</v>
      </c>
      <c r="EL25" s="79">
        <f>SUMIF($DK$2:$EI$2,$EL$2,$DK25:$EI25)</f>
        <v>0</v>
      </c>
      <c r="EM25" s="79">
        <f t="shared" si="78"/>
        <v>38050</v>
      </c>
      <c r="ES25" s="144">
        <v>-15491</v>
      </c>
      <c r="ET25" s="144">
        <v>-10471</v>
      </c>
      <c r="EY25" s="144">
        <v>-1706.71</v>
      </c>
      <c r="FE25" s="312">
        <v>-700</v>
      </c>
      <c r="FI25" s="66">
        <f t="shared" si="79"/>
        <v>0</v>
      </c>
      <c r="FJ25" s="66">
        <f t="shared" si="80"/>
        <v>0</v>
      </c>
      <c r="FK25" s="66">
        <f t="shared" si="81"/>
        <v>-28368.71</v>
      </c>
      <c r="FL25" s="173">
        <f t="shared" si="82"/>
        <v>9681.2900000000009</v>
      </c>
    </row>
    <row r="26" spans="1:170" hidden="1" outlineLevel="1" x14ac:dyDescent="0.2">
      <c r="A26" s="76" t="s">
        <v>481</v>
      </c>
      <c r="B26" s="76" t="s">
        <v>482</v>
      </c>
      <c r="C26" s="76" t="s">
        <v>483</v>
      </c>
      <c r="D26" s="76" t="s">
        <v>484</v>
      </c>
      <c r="E26" s="77" t="s">
        <v>212</v>
      </c>
      <c r="F26" s="77" t="s">
        <v>709</v>
      </c>
      <c r="G26" s="77" t="str">
        <f>IF(S26&gt;0, "1", "0")</f>
        <v>1</v>
      </c>
      <c r="H26" s="77" t="str">
        <f>IF(AW26&gt;0, "1", "0")</f>
        <v>0</v>
      </c>
      <c r="I26" s="77" t="str">
        <f>IF(CC26&gt;0, "1", "0")</f>
        <v>0</v>
      </c>
      <c r="J26" s="77" t="str">
        <f>IF(DJ26&gt;0, "1", "0")</f>
        <v>0</v>
      </c>
      <c r="K26" s="77" t="str">
        <f>CONCATENATE(G26,H26,I26,J26)</f>
        <v>1000</v>
      </c>
      <c r="L26" s="77" t="str">
        <f>IFERROR(VLOOKUP(K26,Sheet2!$A$20:$B$23,2,FALSE),"X")</f>
        <v>01</v>
      </c>
      <c r="M26" s="77" t="str">
        <f t="shared" si="77"/>
        <v>01300242Connect For Success 17-20</v>
      </c>
      <c r="N26" s="76" t="s">
        <v>161</v>
      </c>
      <c r="O26" s="76" t="s">
        <v>160</v>
      </c>
      <c r="P26" s="69" t="s">
        <v>168</v>
      </c>
      <c r="Q26" s="78">
        <v>43173</v>
      </c>
      <c r="R26" s="78">
        <v>43173</v>
      </c>
      <c r="S26" s="79">
        <v>7000</v>
      </c>
      <c r="AR26" s="79">
        <f>SUMIF($T$2:$AQ$2,$AR$2,$T26:$AQ26)</f>
        <v>0</v>
      </c>
      <c r="AS26" s="79">
        <f>SUMIF($T$2:$AQ$2,$AS$2,$T26:$AQ26)</f>
        <v>0</v>
      </c>
      <c r="AT26" s="79">
        <f>S26+(AR26+AS26)</f>
        <v>7000</v>
      </c>
      <c r="AU26" s="158" t="s">
        <v>161</v>
      </c>
      <c r="AV26" s="79">
        <v>34000</v>
      </c>
      <c r="BH26" s="79">
        <v>-8405</v>
      </c>
      <c r="BL26" s="79">
        <v>-4141</v>
      </c>
      <c r="BP26" s="79">
        <v>-25692</v>
      </c>
      <c r="BV26" s="79">
        <f>SUMIF($AX$2:$BU$2,$BV$2,$AX26:$BU26)</f>
        <v>-38238</v>
      </c>
      <c r="BW26" s="79">
        <f>SUMIF($AX$2:$BU$2,$BW$2,$AX26:$BU26)</f>
        <v>0</v>
      </c>
      <c r="BX26" s="79">
        <f>AT26+AV26+AW26+(BV26+BW26)</f>
        <v>2762</v>
      </c>
      <c r="BY26" s="158" t="s">
        <v>336</v>
      </c>
      <c r="BZ26" s="79">
        <v>80000</v>
      </c>
      <c r="CF26" s="79">
        <v>-2762</v>
      </c>
      <c r="CL26" s="79">
        <v>-28543.360000000001</v>
      </c>
      <c r="CP26" s="79">
        <v>-12672.4</v>
      </c>
      <c r="CR26" s="79">
        <v>-6579.9</v>
      </c>
      <c r="CT26" s="79">
        <f>-9016.91-19633.7</f>
        <v>-28650.61</v>
      </c>
      <c r="DB26" s="79">
        <f>SUMIF($CD$2:$DA$2,$DB$2,$CD26:$DA26)</f>
        <v>-2762</v>
      </c>
      <c r="DC26" s="79">
        <f>SUMIF($CD$2:$DA$2,$DC$2,$CD26:$DA26)</f>
        <v>-76446.27</v>
      </c>
      <c r="DD26" s="79">
        <f>SUMIF($CD$2:$DA$2,$DD$2,$CD26:$DA26)</f>
        <v>0</v>
      </c>
      <c r="DE26" s="79">
        <f>BX26+CA26+BZ26+CC26+(DB26+DC26+DD26)</f>
        <v>3553.7299999999959</v>
      </c>
      <c r="DK26" s="79">
        <v>-1437.73</v>
      </c>
      <c r="DP26" s="131"/>
      <c r="DQ26" s="79">
        <v>-2116</v>
      </c>
      <c r="EJ26" s="79">
        <f>SUMIF($DK$2:$EI$2,$EJ$2,$DK26:$EI26)</f>
        <v>0</v>
      </c>
      <c r="EK26" s="79">
        <f>SUMIF($DK$2:$EI$2,$EK$2,$DK26:$EI26)</f>
        <v>-3553.73</v>
      </c>
      <c r="EL26" s="79">
        <f>SUMIF($DK$2:$EI$2,$EL$2,$DK26:$EI26)</f>
        <v>0</v>
      </c>
      <c r="EM26" s="79">
        <f t="shared" si="78"/>
        <v>-4.0927261579781771E-12</v>
      </c>
      <c r="FI26" s="66">
        <f t="shared" si="79"/>
        <v>0</v>
      </c>
      <c r="FJ26" s="66">
        <f t="shared" si="80"/>
        <v>0</v>
      </c>
      <c r="FK26" s="66">
        <f t="shared" si="81"/>
        <v>0</v>
      </c>
      <c r="FL26" s="173">
        <f t="shared" si="82"/>
        <v>-4.0927261579781771E-12</v>
      </c>
      <c r="FM26" s="93">
        <v>0</v>
      </c>
      <c r="FN26" s="93">
        <f>FM26-EM26</f>
        <v>4.0927261579781771E-12</v>
      </c>
    </row>
    <row r="27" spans="1:170" s="118" customFormat="1" hidden="1" outlineLevel="1" x14ac:dyDescent="0.2">
      <c r="A27" s="118" t="s">
        <v>481</v>
      </c>
      <c r="B27" s="118" t="s">
        <v>743</v>
      </c>
      <c r="C27" s="118" t="s">
        <v>483</v>
      </c>
      <c r="D27" s="118" t="s">
        <v>744</v>
      </c>
      <c r="E27" s="119" t="s">
        <v>500</v>
      </c>
      <c r="F27" s="119"/>
      <c r="G27" s="119"/>
      <c r="H27" s="119"/>
      <c r="I27" s="119"/>
      <c r="J27" s="119"/>
      <c r="K27" s="119"/>
      <c r="L27" s="119"/>
      <c r="M27" s="119" t="str">
        <f t="shared" si="77"/>
        <v>01301572Connect For Success 20-23</v>
      </c>
      <c r="O27" s="118" t="s">
        <v>160</v>
      </c>
      <c r="P27" s="120"/>
      <c r="Q27" s="121"/>
      <c r="R27" s="121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60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60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60"/>
      <c r="DG27" s="122"/>
      <c r="DH27" s="122"/>
      <c r="DI27" s="122"/>
      <c r="DJ27" s="122">
        <v>20000</v>
      </c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31"/>
      <c r="EH27" s="122"/>
      <c r="EI27" s="122"/>
      <c r="EJ27" s="122"/>
      <c r="EK27" s="122"/>
      <c r="EL27" s="122"/>
      <c r="EM27" s="122">
        <f t="shared" si="78"/>
        <v>20000</v>
      </c>
      <c r="EN27" s="122"/>
      <c r="EO27" s="122"/>
      <c r="EP27" s="122"/>
      <c r="EQ27" s="122">
        <v>80000</v>
      </c>
      <c r="ER27" s="122"/>
      <c r="ES27" s="126"/>
      <c r="ET27" s="126"/>
      <c r="EU27" s="126"/>
      <c r="EV27" s="6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66">
        <f t="shared" si="79"/>
        <v>0</v>
      </c>
      <c r="FJ27" s="66">
        <f t="shared" si="80"/>
        <v>0</v>
      </c>
      <c r="FK27" s="66">
        <f t="shared" si="81"/>
        <v>0</v>
      </c>
      <c r="FL27" s="173">
        <f t="shared" si="82"/>
        <v>100000</v>
      </c>
      <c r="FM27" s="123"/>
      <c r="FN27" s="123"/>
    </row>
    <row r="28" spans="1:170" hidden="1" outlineLevel="1" x14ac:dyDescent="0.2">
      <c r="A28" s="88" t="s">
        <v>481</v>
      </c>
      <c r="B28" s="88" t="s">
        <v>628</v>
      </c>
      <c r="C28" s="88" t="s">
        <v>483</v>
      </c>
      <c r="D28" s="88" t="s">
        <v>634</v>
      </c>
      <c r="E28" s="89" t="s">
        <v>216</v>
      </c>
      <c r="F28" s="89" t="s">
        <v>709</v>
      </c>
      <c r="G28" s="77" t="str">
        <f>IF(S28&gt;0, "1", "0")</f>
        <v>0</v>
      </c>
      <c r="H28" s="77" t="str">
        <f>IF(AW28&gt;0, "1", "0")</f>
        <v>0</v>
      </c>
      <c r="I28" s="77" t="str">
        <f>IF(CC28&gt;0, "1", "0")</f>
        <v>1</v>
      </c>
      <c r="J28" s="77" t="str">
        <f>IF(DJ28&gt;0, "1", "0")</f>
        <v>0</v>
      </c>
      <c r="K28" s="77" t="str">
        <f>CONCATENATE(G28,H28,I28,J28)</f>
        <v>0010</v>
      </c>
      <c r="L28" s="77" t="str">
        <f>IFERROR(VLOOKUP(K28,Sheet2!$A$20:$B$23,2,FALSE),"X")</f>
        <v>03</v>
      </c>
      <c r="M28" s="77" t="str">
        <f t="shared" si="77"/>
        <v>01302428Connect For Success 19-22</v>
      </c>
      <c r="N28" s="88"/>
      <c r="O28" s="88" t="s">
        <v>160</v>
      </c>
      <c r="P28" s="90" t="s">
        <v>168</v>
      </c>
      <c r="Q28" s="91"/>
      <c r="R28" s="91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>
        <f>SUMIF($T$2:$AQ$2,$AR$2,$T28:$AQ28)</f>
        <v>0</v>
      </c>
      <c r="AS28" s="92">
        <f>SUMIF($T$2:$AQ$2,$AS$2,$T28:$AQ28)</f>
        <v>0</v>
      </c>
      <c r="AT28" s="92">
        <f>S28+(AR28+AS28)</f>
        <v>0</v>
      </c>
      <c r="AU28" s="161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>
        <f>SUMIF($AX$2:$BU$2,$BV$2,$AX28:$BU28)</f>
        <v>0</v>
      </c>
      <c r="BW28" s="92">
        <f>SUMIF($AX$2:$BU$2,$BW$2,$AX28:$BU28)</f>
        <v>0</v>
      </c>
      <c r="BX28" s="92">
        <f>AT28+AV28+AW28+(BV28+BW28)</f>
        <v>0</v>
      </c>
      <c r="BY28" s="161"/>
      <c r="BZ28" s="92"/>
      <c r="CA28" s="92"/>
      <c r="CB28" s="92"/>
      <c r="CC28" s="92">
        <v>20542</v>
      </c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>
        <f>SUMIF($CD$2:$DA$2,$DB$2,$CD28:$DA28)</f>
        <v>0</v>
      </c>
      <c r="DC28" s="92">
        <f>SUMIF($CD$2:$DA$2,$DC$2,$CD28:$DA28)</f>
        <v>0</v>
      </c>
      <c r="DD28" s="92">
        <f>SUMIF($CD$2:$DA$2,$DD$2,$CD28:$DA28)</f>
        <v>0</v>
      </c>
      <c r="DE28" s="92">
        <f>BX28+CA28+BZ28+CC28+(DB28+DC28+DD28)</f>
        <v>20542</v>
      </c>
      <c r="DH28" s="103">
        <v>82208</v>
      </c>
      <c r="DP28" s="131"/>
      <c r="DS28" s="79">
        <v>-8745</v>
      </c>
      <c r="DY28" s="79">
        <v>-49.5</v>
      </c>
      <c r="EA28" s="79">
        <v>-2554.06</v>
      </c>
      <c r="EC28" s="79">
        <v>-7065.72</v>
      </c>
      <c r="EJ28" s="79">
        <f>SUMIF($DK$2:$EI$2,$EJ$2,$DK28:$EI28)</f>
        <v>0</v>
      </c>
      <c r="EK28" s="79">
        <f>SUMIF($DK$2:$EI$2,$EK$2,$DK28:$EI28)</f>
        <v>-18414.28</v>
      </c>
      <c r="EL28" s="79">
        <f>SUMIF($DK$2:$EI$2,$EL$2,$DK28:$EI28)</f>
        <v>0</v>
      </c>
      <c r="EM28" s="79">
        <f t="shared" si="78"/>
        <v>84335.72</v>
      </c>
      <c r="EP28" s="79">
        <v>82440</v>
      </c>
      <c r="ES28" s="144">
        <v>-8221.1</v>
      </c>
      <c r="EU28" s="66">
        <v>-10450.549999999999</v>
      </c>
      <c r="FI28" s="66">
        <f t="shared" si="79"/>
        <v>0</v>
      </c>
      <c r="FJ28" s="66">
        <f t="shared" si="80"/>
        <v>0</v>
      </c>
      <c r="FK28" s="66">
        <f t="shared" si="81"/>
        <v>-18671.650000000001</v>
      </c>
      <c r="FL28" s="173">
        <f t="shared" si="82"/>
        <v>148104.07</v>
      </c>
    </row>
    <row r="29" spans="1:170" hidden="1" outlineLevel="1" x14ac:dyDescent="0.2">
      <c r="A29" s="88" t="s">
        <v>481</v>
      </c>
      <c r="B29" s="88" t="s">
        <v>629</v>
      </c>
      <c r="C29" s="88" t="s">
        <v>483</v>
      </c>
      <c r="D29" s="88" t="s">
        <v>635</v>
      </c>
      <c r="E29" s="89" t="s">
        <v>216</v>
      </c>
      <c r="F29" s="89" t="s">
        <v>709</v>
      </c>
      <c r="G29" s="77" t="str">
        <f>IF(S29&gt;0, "1", "0")</f>
        <v>0</v>
      </c>
      <c r="H29" s="77" t="str">
        <f>IF(AW29&gt;0, "1", "0")</f>
        <v>0</v>
      </c>
      <c r="I29" s="77" t="str">
        <f>IF(CC29&gt;0, "1", "0")</f>
        <v>1</v>
      </c>
      <c r="J29" s="77" t="str">
        <f>IF(DJ29&gt;0, "1", "0")</f>
        <v>0</v>
      </c>
      <c r="K29" s="77" t="str">
        <f>CONCATENATE(G29,H29,I29,J29)</f>
        <v>0010</v>
      </c>
      <c r="L29" s="77" t="str">
        <f>IFERROR(VLOOKUP(K29,Sheet2!$A$20:$B$23,2,FALSE),"X")</f>
        <v>03</v>
      </c>
      <c r="M29" s="77" t="str">
        <f t="shared" si="77"/>
        <v>01302653Connect For Success 19-22</v>
      </c>
      <c r="N29" s="88"/>
      <c r="O29" s="88" t="s">
        <v>160</v>
      </c>
      <c r="P29" s="90" t="s">
        <v>168</v>
      </c>
      <c r="Q29" s="91"/>
      <c r="R29" s="91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>
        <f>SUMIF($T$2:$AQ$2,$AR$2,$T29:$AQ29)</f>
        <v>0</v>
      </c>
      <c r="AS29" s="92">
        <f>SUMIF($T$2:$AQ$2,$AS$2,$T29:$AQ29)</f>
        <v>0</v>
      </c>
      <c r="AT29" s="92">
        <f>S29+(AR29+AS29)</f>
        <v>0</v>
      </c>
      <c r="AU29" s="161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>
        <f>SUMIF($AX$2:$BU$2,$BV$2,$AX29:$BU29)</f>
        <v>0</v>
      </c>
      <c r="BW29" s="92">
        <f>SUMIF($AX$2:$BU$2,$BW$2,$AX29:$BU29)</f>
        <v>0</v>
      </c>
      <c r="BX29" s="92">
        <f>AT29+AV29+AW29+(BV29+BW29)</f>
        <v>0</v>
      </c>
      <c r="BY29" s="161"/>
      <c r="BZ29" s="92"/>
      <c r="CA29" s="92"/>
      <c r="CB29" s="92"/>
      <c r="CC29" s="92">
        <v>20542</v>
      </c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>
        <f>SUMIF($CD$2:$DA$2,$DB$2,$CD29:$DA29)</f>
        <v>0</v>
      </c>
      <c r="DC29" s="92">
        <f>SUMIF($CD$2:$DA$2,$DC$2,$CD29:$DA29)</f>
        <v>0</v>
      </c>
      <c r="DD29" s="92">
        <f>SUMIF($CD$2:$DA$2,$DD$2,$CD29:$DA29)</f>
        <v>0</v>
      </c>
      <c r="DE29" s="92">
        <f>BX29+CA29+BZ29+CC29+(DB29+DC29+DD29)</f>
        <v>20542</v>
      </c>
      <c r="DH29" s="103">
        <v>82208</v>
      </c>
      <c r="DP29" s="131"/>
      <c r="DS29" s="79">
        <f>-(20542+348.42)</f>
        <v>-20890.419999999998</v>
      </c>
      <c r="DU29" s="79">
        <v>-11723.98</v>
      </c>
      <c r="DY29" s="79">
        <v>-7029.21</v>
      </c>
      <c r="EA29" s="79">
        <v>-15224.25</v>
      </c>
      <c r="EC29" s="79">
        <v>-6825.72</v>
      </c>
      <c r="EE29" s="79">
        <v>-5746.33</v>
      </c>
      <c r="EJ29" s="79">
        <f>SUMIF($DK$2:$EI$2,$EJ$2,$DK29:$EI29)</f>
        <v>0</v>
      </c>
      <c r="EK29" s="79">
        <f>SUMIF($DK$2:$EI$2,$EK$2,$DK29:$EI29)</f>
        <v>-67439.91</v>
      </c>
      <c r="EL29" s="79">
        <f>SUMIF($DK$2:$EI$2,$EL$2,$DK29:$EI29)</f>
        <v>0</v>
      </c>
      <c r="EM29" s="79">
        <f t="shared" si="78"/>
        <v>35310.089999999997</v>
      </c>
      <c r="EP29" s="79">
        <v>82440</v>
      </c>
      <c r="ES29" s="144">
        <v>-7765.12</v>
      </c>
      <c r="EU29" s="66">
        <v>-13574.12</v>
      </c>
      <c r="FI29" s="66">
        <f t="shared" si="79"/>
        <v>0</v>
      </c>
      <c r="FJ29" s="66">
        <f t="shared" si="80"/>
        <v>0</v>
      </c>
      <c r="FK29" s="66">
        <f t="shared" si="81"/>
        <v>-21339.24</v>
      </c>
      <c r="FL29" s="173">
        <f t="shared" si="82"/>
        <v>96410.849999999991</v>
      </c>
    </row>
    <row r="30" spans="1:170" hidden="1" outlineLevel="1" x14ac:dyDescent="0.2">
      <c r="A30" s="76" t="s">
        <v>481</v>
      </c>
      <c r="B30" s="76" t="s">
        <v>485</v>
      </c>
      <c r="C30" s="76" t="s">
        <v>483</v>
      </c>
      <c r="D30" s="76" t="s">
        <v>684</v>
      </c>
      <c r="E30" s="77" t="s">
        <v>212</v>
      </c>
      <c r="F30" s="77" t="s">
        <v>709</v>
      </c>
      <c r="G30" s="77" t="str">
        <f>IF(S30&gt;0, "1", "0")</f>
        <v>1</v>
      </c>
      <c r="H30" s="77" t="str">
        <f>IF(AW30&gt;0, "1", "0")</f>
        <v>0</v>
      </c>
      <c r="I30" s="77" t="str">
        <f>IF(CC30&gt;0, "1", "0")</f>
        <v>0</v>
      </c>
      <c r="J30" s="77" t="str">
        <f>IF(DJ30&gt;0, "1", "0")</f>
        <v>0</v>
      </c>
      <c r="K30" s="77" t="str">
        <f>CONCATENATE(G30,H30,I30,J30)</f>
        <v>1000</v>
      </c>
      <c r="L30" s="77" t="str">
        <f>IFERROR(VLOOKUP(K30,Sheet2!$A$20:$B$23,2,FALSE),"X")</f>
        <v>01</v>
      </c>
      <c r="M30" s="77" t="str">
        <f t="shared" si="77"/>
        <v>01302897Connect For Success 17-20</v>
      </c>
      <c r="N30" s="76" t="s">
        <v>161</v>
      </c>
      <c r="O30" s="76" t="s">
        <v>160</v>
      </c>
      <c r="P30" s="69" t="s">
        <v>168</v>
      </c>
      <c r="Q30" s="78">
        <v>43173</v>
      </c>
      <c r="R30" s="78">
        <v>43173</v>
      </c>
      <c r="S30" s="79">
        <v>7000</v>
      </c>
      <c r="AR30" s="79">
        <f>SUMIF($T$2:$AQ$2,$AR$2,$T30:$AQ30)</f>
        <v>0</v>
      </c>
      <c r="AS30" s="79">
        <f>SUMIF($T$2:$AQ$2,$AS$2,$T30:$AQ30)</f>
        <v>0</v>
      </c>
      <c r="AT30" s="79">
        <f>S30+(AR30+AS30)</f>
        <v>7000</v>
      </c>
      <c r="AU30" s="158" t="s">
        <v>161</v>
      </c>
      <c r="AV30" s="79">
        <v>34000</v>
      </c>
      <c r="AZ30" s="79">
        <v>-394</v>
      </c>
      <c r="BH30" s="79">
        <v>-695</v>
      </c>
      <c r="BL30" s="79">
        <v>-350</v>
      </c>
      <c r="BP30" s="79">
        <v>-12658</v>
      </c>
      <c r="BV30" s="79">
        <f>SUMIF($AX$2:$BU$2,$BV$2,$AX30:$BU30)</f>
        <v>-14097</v>
      </c>
      <c r="BW30" s="79">
        <f>SUMIF($AX$2:$BU$2,$BW$2,$AX30:$BU30)</f>
        <v>0</v>
      </c>
      <c r="BX30" s="79">
        <f>AT30+AV30+AW30+(BV30+BW30)</f>
        <v>26903</v>
      </c>
      <c r="BY30" s="158" t="s">
        <v>336</v>
      </c>
      <c r="BZ30" s="79">
        <v>80000</v>
      </c>
      <c r="CF30" s="79">
        <v>-349.56</v>
      </c>
      <c r="CL30" s="79">
        <v>-7622.21</v>
      </c>
      <c r="CP30" s="79">
        <v>-6723.35</v>
      </c>
      <c r="CR30" s="79">
        <f>-1075-6857.9</f>
        <v>-7932.9</v>
      </c>
      <c r="CT30" s="79">
        <v>-1115.4100000000001</v>
      </c>
      <c r="DB30" s="79">
        <f>SUMIF($CD$2:$DA$2,$DB$2,$CD30:$DA30)</f>
        <v>-349.56</v>
      </c>
      <c r="DC30" s="79">
        <f>SUMIF($CD$2:$DA$2,$DC$2,$CD30:$DA30)</f>
        <v>-23393.87</v>
      </c>
      <c r="DD30" s="79">
        <f>SUMIF($CD$2:$DA$2,$DD$2,$CD30:$DA30)</f>
        <v>0</v>
      </c>
      <c r="DE30" s="79">
        <f>BX30+CA30+BZ30+CC30+(DB30+DC30+DD30)</f>
        <v>83159.570000000007</v>
      </c>
      <c r="DK30" s="79">
        <v>-4796.7299999999996</v>
      </c>
      <c r="DP30" s="131"/>
      <c r="DQ30" s="79">
        <v>-2115.7800000000002</v>
      </c>
      <c r="DS30" s="79">
        <f>-(1043.79+201.1)</f>
        <v>-1244.8899999999999</v>
      </c>
      <c r="DY30" s="79">
        <v>-1927.02</v>
      </c>
      <c r="EA30" s="79">
        <v>-9451.5400000000009</v>
      </c>
      <c r="EC30" s="79">
        <v>-5689.28</v>
      </c>
      <c r="EE30" s="79">
        <v>-7402.17</v>
      </c>
      <c r="EJ30" s="79">
        <f>SUMIF($DK$2:$EI$2,$EJ$2,$DK30:$EI30)</f>
        <v>0</v>
      </c>
      <c r="EK30" s="79">
        <f>SUMIF($DK$2:$EI$2,$EK$2,$DK30:$EI30)</f>
        <v>-32627.409999999996</v>
      </c>
      <c r="EL30" s="79">
        <f>SUMIF($DK$2:$EI$2,$EL$2,$DK30:$EI30)</f>
        <v>0</v>
      </c>
      <c r="EM30" s="79">
        <f t="shared" si="78"/>
        <v>50532.160000000011</v>
      </c>
      <c r="ES30" s="144">
        <v>-19086.599999999999</v>
      </c>
      <c r="EU30" s="66">
        <v>-4037.55</v>
      </c>
      <c r="FI30" s="66">
        <f t="shared" si="79"/>
        <v>0</v>
      </c>
      <c r="FJ30" s="66">
        <f t="shared" si="80"/>
        <v>0</v>
      </c>
      <c r="FK30" s="66">
        <f t="shared" si="81"/>
        <v>-23124.149999999998</v>
      </c>
      <c r="FL30" s="173">
        <f t="shared" si="82"/>
        <v>27408.010000000013</v>
      </c>
      <c r="FM30" s="93">
        <v>76247.06</v>
      </c>
      <c r="FN30" s="93">
        <f>FM30-EM30</f>
        <v>25714.899999999987</v>
      </c>
    </row>
    <row r="31" spans="1:170" hidden="1" outlineLevel="1" x14ac:dyDescent="0.2">
      <c r="A31" s="76" t="s">
        <v>481</v>
      </c>
      <c r="B31" s="76" t="s">
        <v>486</v>
      </c>
      <c r="C31" s="76" t="s">
        <v>483</v>
      </c>
      <c r="D31" s="76" t="s">
        <v>487</v>
      </c>
      <c r="E31" s="77" t="s">
        <v>212</v>
      </c>
      <c r="F31" s="77" t="s">
        <v>709</v>
      </c>
      <c r="G31" s="77" t="str">
        <f>IF(S31&gt;0, "1", "0")</f>
        <v>1</v>
      </c>
      <c r="H31" s="77" t="str">
        <f>IF(AW31&gt;0, "1", "0")</f>
        <v>0</v>
      </c>
      <c r="I31" s="77" t="str">
        <f>IF(CC31&gt;0, "1", "0")</f>
        <v>0</v>
      </c>
      <c r="J31" s="77" t="str">
        <f>IF(DJ31&gt;0, "1", "0")</f>
        <v>0</v>
      </c>
      <c r="K31" s="77" t="str">
        <f>CONCATENATE(G31,H31,I31,J31)</f>
        <v>1000</v>
      </c>
      <c r="L31" s="77" t="str">
        <f>IFERROR(VLOOKUP(K31,Sheet2!$A$20:$B$23,2,FALSE),"X")</f>
        <v>01</v>
      </c>
      <c r="M31" s="77" t="str">
        <f t="shared" si="77"/>
        <v>01303988Connect For Success 17-20</v>
      </c>
      <c r="N31" s="76" t="s">
        <v>161</v>
      </c>
      <c r="O31" s="76" t="s">
        <v>160</v>
      </c>
      <c r="P31" s="69" t="s">
        <v>168</v>
      </c>
      <c r="Q31" s="78">
        <v>43173</v>
      </c>
      <c r="R31" s="78">
        <v>43173</v>
      </c>
      <c r="S31" s="79">
        <v>7000</v>
      </c>
      <c r="AR31" s="79">
        <f>SUMIF($T$2:$AQ$2,$AR$2,$T31:$AQ31)</f>
        <v>0</v>
      </c>
      <c r="AS31" s="79">
        <f>SUMIF($T$2:$AQ$2,$AS$2,$T31:$AQ31)</f>
        <v>0</v>
      </c>
      <c r="AT31" s="79">
        <f>S31+(AR31+AS31)</f>
        <v>7000</v>
      </c>
      <c r="AU31" s="158" t="s">
        <v>161</v>
      </c>
      <c r="AV31" s="79">
        <v>29000</v>
      </c>
      <c r="AZ31" s="79">
        <v>-1346</v>
      </c>
      <c r="BH31" s="79">
        <v>-13165</v>
      </c>
      <c r="BL31" s="79">
        <v>-5672</v>
      </c>
      <c r="BP31" s="79">
        <v>-5031</v>
      </c>
      <c r="BV31" s="79">
        <f>SUMIF($AX$2:$BU$2,$BV$2,$AX31:$BU31)</f>
        <v>-25214</v>
      </c>
      <c r="BW31" s="79">
        <f>SUMIF($AX$2:$BU$2,$BW$2,$AX31:$BU31)</f>
        <v>0</v>
      </c>
      <c r="BX31" s="79">
        <f>AT31+AV31+AW31+(BV31+BW31)</f>
        <v>10786</v>
      </c>
      <c r="BY31" s="158" t="s">
        <v>336</v>
      </c>
      <c r="BZ31" s="79">
        <v>80000</v>
      </c>
      <c r="CF31" s="79">
        <f>-4288.73-623</f>
        <v>-4911.7299999999996</v>
      </c>
      <c r="CL31" s="79">
        <f>-5874.27-13548.07</f>
        <v>-19422.34</v>
      </c>
      <c r="CP31" s="79">
        <v>-5310.6</v>
      </c>
      <c r="CR31" s="79">
        <v>-28150</v>
      </c>
      <c r="DB31" s="79">
        <f>SUMIF($CD$2:$DA$2,$DB$2,$CD31:$DA31)</f>
        <v>-4911.7299999999996</v>
      </c>
      <c r="DC31" s="79">
        <f>SUMIF($CD$2:$DA$2,$DC$2,$CD31:$DA31)</f>
        <v>-52882.94</v>
      </c>
      <c r="DD31" s="79">
        <f>SUMIF($CD$2:$DA$2,$DD$2,$CD31:$DA31)</f>
        <v>0</v>
      </c>
      <c r="DE31" s="79">
        <f>BX31+CA31+BZ31+CC31+(DB31+DC31+DD31)</f>
        <v>32991.33</v>
      </c>
      <c r="DK31" s="79">
        <v>-25270.16</v>
      </c>
      <c r="DP31" s="131">
        <v>-1852.16</v>
      </c>
      <c r="DQ31" s="79">
        <v>-2115.5300000000002</v>
      </c>
      <c r="DS31" s="79" t="s">
        <v>701</v>
      </c>
      <c r="EJ31" s="79">
        <f>SUMIF($DK$2:$EI$2,$EJ$2,$DK31:$EI31)</f>
        <v>-1852.16</v>
      </c>
      <c r="EK31" s="79">
        <f>SUMIF($DK$2:$EI$2,$EK$2,$DK31:$EI31)</f>
        <v>-27385.69</v>
      </c>
      <c r="EL31" s="79">
        <f>SUMIF($DK$2:$EI$2,$EL$2,$DK31:$EI31)</f>
        <v>0</v>
      </c>
      <c r="EM31" s="79">
        <f t="shared" si="78"/>
        <v>3753.4800000000032</v>
      </c>
      <c r="FI31" s="66">
        <f t="shared" si="79"/>
        <v>0</v>
      </c>
      <c r="FJ31" s="66">
        <f t="shared" si="80"/>
        <v>0</v>
      </c>
      <c r="FK31" s="66">
        <f t="shared" si="81"/>
        <v>0</v>
      </c>
      <c r="FL31" s="173">
        <f t="shared" si="82"/>
        <v>3753.4800000000032</v>
      </c>
      <c r="FM31" s="93">
        <v>3753.48</v>
      </c>
      <c r="FN31" s="93">
        <f>FM31-EM31</f>
        <v>0</v>
      </c>
    </row>
    <row r="32" spans="1:170" hidden="1" outlineLevel="1" x14ac:dyDescent="0.2">
      <c r="A32" s="76" t="s">
        <v>481</v>
      </c>
      <c r="B32" s="76" t="s">
        <v>488</v>
      </c>
      <c r="C32" s="76" t="s">
        <v>483</v>
      </c>
      <c r="D32" s="76" t="s">
        <v>489</v>
      </c>
      <c r="E32" s="77" t="s">
        <v>212</v>
      </c>
      <c r="F32" s="77" t="s">
        <v>709</v>
      </c>
      <c r="G32" s="77" t="str">
        <f>IF(S32&gt;0, "1", "0")</f>
        <v>1</v>
      </c>
      <c r="H32" s="77" t="str">
        <f>IF(AW32&gt;0, "1", "0")</f>
        <v>0</v>
      </c>
      <c r="I32" s="77" t="str">
        <f>IF(CC32&gt;0, "1", "0")</f>
        <v>0</v>
      </c>
      <c r="J32" s="77" t="str">
        <f>IF(DJ32&gt;0, "1", "0")</f>
        <v>0</v>
      </c>
      <c r="K32" s="77" t="str">
        <f>CONCATENATE(G32,H32,I32,J32)</f>
        <v>1000</v>
      </c>
      <c r="L32" s="77" t="str">
        <f>IFERROR(VLOOKUP(K32,Sheet2!$A$20:$B$23,2,FALSE),"X")</f>
        <v>01</v>
      </c>
      <c r="M32" s="77" t="str">
        <f t="shared" si="77"/>
        <v>01304276Connect For Success 17-20</v>
      </c>
      <c r="N32" s="76" t="s">
        <v>161</v>
      </c>
      <c r="O32" s="76" t="s">
        <v>160</v>
      </c>
      <c r="P32" s="69" t="s">
        <v>168</v>
      </c>
      <c r="Q32" s="78">
        <v>43173</v>
      </c>
      <c r="R32" s="78">
        <v>43173</v>
      </c>
      <c r="S32" s="79">
        <v>7000</v>
      </c>
      <c r="AR32" s="79">
        <f>SUMIF($T$2:$AQ$2,$AR$2,$T32:$AQ32)</f>
        <v>0</v>
      </c>
      <c r="AS32" s="79">
        <f>SUMIF($T$2:$AQ$2,$AS$2,$T32:$AQ32)</f>
        <v>0</v>
      </c>
      <c r="AT32" s="79">
        <f>S32+(AR32+AS32)</f>
        <v>7000</v>
      </c>
      <c r="AU32" s="158" t="s">
        <v>161</v>
      </c>
      <c r="AV32" s="79">
        <v>34000</v>
      </c>
      <c r="AZ32" s="79">
        <v>-477</v>
      </c>
      <c r="BB32" s="79">
        <v>-1093</v>
      </c>
      <c r="BH32" s="79">
        <v>-19231</v>
      </c>
      <c r="BL32" s="79">
        <v>-5861</v>
      </c>
      <c r="BP32" s="79">
        <v>-8828</v>
      </c>
      <c r="BV32" s="79">
        <f>SUMIF($AX$2:$BU$2,$BV$2,$AX32:$BU32)</f>
        <v>-35490</v>
      </c>
      <c r="BW32" s="79">
        <f>SUMIF($AX$2:$BU$2,$BW$2,$AX32:$BU32)</f>
        <v>0</v>
      </c>
      <c r="BX32" s="79">
        <f>AT32+AV32+AW32+(BV32+BW32)</f>
        <v>5510</v>
      </c>
      <c r="BY32" s="158" t="s">
        <v>336</v>
      </c>
      <c r="BZ32" s="79">
        <v>80000</v>
      </c>
      <c r="CF32" s="79">
        <v>-5510</v>
      </c>
      <c r="CL32" s="79">
        <v>-21787.85</v>
      </c>
      <c r="CP32" s="79">
        <v>-11132.09</v>
      </c>
      <c r="CR32" s="79">
        <f>-3468.59-1749.53</f>
        <v>-5218.12</v>
      </c>
      <c r="CT32" s="79">
        <f>-1749.53-6452.42</f>
        <v>-8201.9500000000007</v>
      </c>
      <c r="DB32" s="79">
        <f>SUMIF($CD$2:$DA$2,$DB$2,$CD32:$DA32)</f>
        <v>-5510</v>
      </c>
      <c r="DC32" s="79">
        <f>SUMIF($CD$2:$DA$2,$DC$2,$CD32:$DA32)</f>
        <v>-46340.010000000009</v>
      </c>
      <c r="DD32" s="79">
        <f>SUMIF($CD$2:$DA$2,$DD$2,$CD32:$DA32)</f>
        <v>0</v>
      </c>
      <c r="DE32" s="79">
        <f>BX32+CA32+BZ32+CC32+(DB32+DC32+DD32)</f>
        <v>33659.989999999991</v>
      </c>
      <c r="DK32" s="79">
        <v>-5137.34</v>
      </c>
      <c r="DP32" s="131">
        <v>-1196.67</v>
      </c>
      <c r="DQ32" s="79">
        <v>-2116</v>
      </c>
      <c r="DS32" s="79">
        <v>-5762.35</v>
      </c>
      <c r="DU32" s="79">
        <v>-264</v>
      </c>
      <c r="DY32" s="79">
        <v>-600</v>
      </c>
      <c r="EJ32" s="79">
        <f>SUMIF($DK$2:$EI$2,$EJ$2,$DK32:$EI32)</f>
        <v>-1196.67</v>
      </c>
      <c r="EK32" s="79">
        <f>SUMIF($DK$2:$EI$2,$EK$2,$DK32:$EI32)</f>
        <v>-13879.69</v>
      </c>
      <c r="EL32" s="79">
        <f>SUMIF($DK$2:$EI$2,$EL$2,$DK32:$EI32)</f>
        <v>0</v>
      </c>
      <c r="EM32" s="79">
        <f t="shared" si="78"/>
        <v>18583.62999999999</v>
      </c>
      <c r="ES32" s="144">
        <v>-1129.45</v>
      </c>
      <c r="EU32" s="66">
        <v>-17430</v>
      </c>
      <c r="FI32" s="66">
        <f t="shared" si="79"/>
        <v>0</v>
      </c>
      <c r="FJ32" s="66">
        <f t="shared" si="80"/>
        <v>0</v>
      </c>
      <c r="FK32" s="66">
        <f t="shared" si="81"/>
        <v>-18559.45</v>
      </c>
      <c r="FL32" s="173">
        <f t="shared" si="82"/>
        <v>24.179999999989377</v>
      </c>
      <c r="FM32" s="93">
        <v>25209.98</v>
      </c>
      <c r="FN32" s="93">
        <f>FM32-EM32</f>
        <v>6626.3500000000095</v>
      </c>
    </row>
    <row r="33" spans="1:170" s="118" customFormat="1" hidden="1" outlineLevel="1" x14ac:dyDescent="0.2">
      <c r="A33" s="118" t="s">
        <v>481</v>
      </c>
      <c r="B33" s="118" t="s">
        <v>745</v>
      </c>
      <c r="C33" s="118" t="s">
        <v>483</v>
      </c>
      <c r="D33" s="118" t="s">
        <v>746</v>
      </c>
      <c r="E33" s="119" t="s">
        <v>500</v>
      </c>
      <c r="F33" s="119"/>
      <c r="G33" s="119"/>
      <c r="H33" s="119"/>
      <c r="I33" s="119"/>
      <c r="J33" s="119"/>
      <c r="K33" s="119"/>
      <c r="L33" s="119"/>
      <c r="M33" s="119" t="str">
        <f t="shared" si="77"/>
        <v>01306625Connect For Success 20-23</v>
      </c>
      <c r="O33" s="118" t="s">
        <v>160</v>
      </c>
      <c r="P33" s="120"/>
      <c r="Q33" s="121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60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60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60"/>
      <c r="DG33" s="122"/>
      <c r="DH33" s="122"/>
      <c r="DI33" s="122"/>
      <c r="DJ33" s="122">
        <v>20000</v>
      </c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31"/>
      <c r="EH33" s="122"/>
      <c r="EI33" s="122"/>
      <c r="EJ33" s="122"/>
      <c r="EK33" s="122"/>
      <c r="EL33" s="122"/>
      <c r="EM33" s="122">
        <f t="shared" si="78"/>
        <v>20000</v>
      </c>
      <c r="EN33" s="122"/>
      <c r="EO33" s="122"/>
      <c r="EP33" s="122"/>
      <c r="EQ33" s="122">
        <v>80000</v>
      </c>
      <c r="ER33" s="122"/>
      <c r="ES33" s="126"/>
      <c r="ET33" s="126"/>
      <c r="EU33" s="126"/>
      <c r="EV33" s="6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66">
        <f t="shared" si="79"/>
        <v>0</v>
      </c>
      <c r="FJ33" s="66">
        <f t="shared" si="80"/>
        <v>0</v>
      </c>
      <c r="FK33" s="66">
        <f t="shared" si="81"/>
        <v>0</v>
      </c>
      <c r="FL33" s="173">
        <f t="shared" si="82"/>
        <v>100000</v>
      </c>
      <c r="FM33" s="123"/>
      <c r="FN33" s="123"/>
    </row>
    <row r="34" spans="1:170" hidden="1" outlineLevel="1" x14ac:dyDescent="0.2">
      <c r="A34" s="76" t="s">
        <v>481</v>
      </c>
      <c r="B34" s="76" t="s">
        <v>490</v>
      </c>
      <c r="C34" s="76" t="s">
        <v>483</v>
      </c>
      <c r="D34" s="76" t="s">
        <v>491</v>
      </c>
      <c r="E34" s="77" t="s">
        <v>212</v>
      </c>
      <c r="F34" s="77" t="s">
        <v>709</v>
      </c>
      <c r="G34" s="77" t="str">
        <f t="shared" ref="G34:G39" si="83">IF(S34&gt;0, "1", "0")</f>
        <v>1</v>
      </c>
      <c r="H34" s="77" t="str">
        <f t="shared" ref="H34:H39" si="84">IF(AW34&gt;0, "1", "0")</f>
        <v>0</v>
      </c>
      <c r="I34" s="77" t="str">
        <f t="shared" ref="I34:I39" si="85">IF(CC34&gt;0, "1", "0")</f>
        <v>0</v>
      </c>
      <c r="J34" s="77" t="str">
        <f t="shared" ref="J34:J39" si="86">IF(DJ34&gt;0, "1", "0")</f>
        <v>0</v>
      </c>
      <c r="K34" s="77" t="str">
        <f t="shared" ref="K34:K39" si="87">CONCATENATE(G34,H34,I34,J34)</f>
        <v>1000</v>
      </c>
      <c r="L34" s="77" t="str">
        <f>IFERROR(VLOOKUP(K34,Sheet2!$A$20:$B$23,2,FALSE),"X")</f>
        <v>01</v>
      </c>
      <c r="M34" s="77" t="str">
        <f t="shared" si="77"/>
        <v>01307116Connect For Success 17-20</v>
      </c>
      <c r="N34" s="76" t="s">
        <v>161</v>
      </c>
      <c r="O34" s="76" t="s">
        <v>160</v>
      </c>
      <c r="P34" s="69" t="s">
        <v>168</v>
      </c>
      <c r="Q34" s="78">
        <v>43173</v>
      </c>
      <c r="R34" s="78">
        <v>43173</v>
      </c>
      <c r="S34" s="79">
        <v>7000</v>
      </c>
      <c r="AR34" s="79">
        <f t="shared" ref="AR34:AR39" si="88">SUMIF($T$2:$AQ$2,$AR$2,$T34:$AQ34)</f>
        <v>0</v>
      </c>
      <c r="AS34" s="79">
        <f t="shared" ref="AS34:AS39" si="89">SUMIF($T$2:$AQ$2,$AS$2,$T34:$AQ34)</f>
        <v>0</v>
      </c>
      <c r="AT34" s="79">
        <f t="shared" ref="AT34:AT39" si="90">S34+(AR34+AS34)</f>
        <v>7000</v>
      </c>
      <c r="AU34" s="158" t="s">
        <v>161</v>
      </c>
      <c r="AV34" s="79">
        <v>34000</v>
      </c>
      <c r="BL34" s="79">
        <v>-10130</v>
      </c>
      <c r="BP34" s="79">
        <v>-12272</v>
      </c>
      <c r="BV34" s="79">
        <f t="shared" ref="BV34:BV39" si="91">SUMIF($AX$2:$BU$2,$BV$2,$AX34:$BU34)</f>
        <v>-22402</v>
      </c>
      <c r="BW34" s="79">
        <f t="shared" ref="BW34:BW39" si="92">SUMIF($AX$2:$BU$2,$BW$2,$AX34:$BU34)</f>
        <v>0</v>
      </c>
      <c r="BX34" s="79">
        <f t="shared" ref="BX34:BX39" si="93">AT34+AV34+AW34+(BV34+BW34)</f>
        <v>18598</v>
      </c>
      <c r="BY34" s="158" t="s">
        <v>336</v>
      </c>
      <c r="BZ34" s="79">
        <v>80000</v>
      </c>
      <c r="CP34" s="79">
        <v>-2640</v>
      </c>
      <c r="CR34" s="79">
        <f>-14704.2-1253.8-1452.97</f>
        <v>-17410.97</v>
      </c>
      <c r="CT34" s="79">
        <v>-2391.79</v>
      </c>
      <c r="DB34" s="79">
        <f t="shared" ref="DB34:DB39" si="94">SUMIF($CD$2:$DA$2,$DB$2,$CD34:$DA34)</f>
        <v>0</v>
      </c>
      <c r="DC34" s="79">
        <f t="shared" ref="DC34:DC39" si="95">SUMIF($CD$2:$DA$2,$DC$2,$CD34:$DA34)</f>
        <v>-22442.760000000002</v>
      </c>
      <c r="DD34" s="79">
        <f t="shared" ref="DD34:DD39" si="96">SUMIF($CD$2:$DA$2,$DD$2,$CD34:$DA34)</f>
        <v>0</v>
      </c>
      <c r="DE34" s="79">
        <f t="shared" ref="DE34:DE39" si="97">BX34+CA34+BZ34+CC34+(DB34+DC34+DD34)</f>
        <v>76155.239999999991</v>
      </c>
      <c r="DK34" s="79">
        <v>-5845.79</v>
      </c>
      <c r="DP34" s="131"/>
      <c r="DQ34" s="79">
        <v>-2115.37</v>
      </c>
      <c r="DU34" s="79">
        <v>-20000</v>
      </c>
      <c r="EC34" s="79">
        <v>-10000</v>
      </c>
      <c r="EE34" s="79">
        <v>-5000</v>
      </c>
      <c r="EJ34" s="79">
        <f t="shared" ref="EJ34:EJ39" si="98">SUMIF($DK$2:$EI$2,$EJ$2,$DK34:$EI34)</f>
        <v>0</v>
      </c>
      <c r="EK34" s="79">
        <f t="shared" ref="EK34:EK39" si="99">SUMIF($DK$2:$EI$2,$EK$2,$DK34:$EI34)</f>
        <v>-42961.16</v>
      </c>
      <c r="EL34" s="79">
        <f t="shared" ref="EL34:EL39" si="100">SUMIF($DK$2:$EI$2,$EL$2,$DK34:$EI34)</f>
        <v>0</v>
      </c>
      <c r="EM34" s="79">
        <f t="shared" si="78"/>
        <v>33194.079999999987</v>
      </c>
      <c r="ES34" s="144">
        <v>-10000</v>
      </c>
      <c r="EU34" s="66">
        <v>-10000</v>
      </c>
      <c r="FI34" s="66">
        <f t="shared" si="79"/>
        <v>0</v>
      </c>
      <c r="FJ34" s="66">
        <f t="shared" si="80"/>
        <v>0</v>
      </c>
      <c r="FK34" s="66">
        <f t="shared" si="81"/>
        <v>-20000</v>
      </c>
      <c r="FL34" s="173">
        <f t="shared" si="82"/>
        <v>13194.079999999987</v>
      </c>
      <c r="FM34" s="93">
        <v>68194.080000000002</v>
      </c>
      <c r="FN34" s="93">
        <f>FM34-EM34</f>
        <v>35000.000000000015</v>
      </c>
    </row>
    <row r="35" spans="1:170" hidden="1" outlineLevel="1" x14ac:dyDescent="0.2">
      <c r="A35" s="76" t="s">
        <v>481</v>
      </c>
      <c r="B35" s="76" t="s">
        <v>492</v>
      </c>
      <c r="C35" s="76" t="s">
        <v>483</v>
      </c>
      <c r="D35" s="76" t="s">
        <v>493</v>
      </c>
      <c r="E35" s="77" t="s">
        <v>212</v>
      </c>
      <c r="F35" s="77" t="s">
        <v>709</v>
      </c>
      <c r="G35" s="77" t="str">
        <f t="shared" si="83"/>
        <v>1</v>
      </c>
      <c r="H35" s="77" t="str">
        <f t="shared" si="84"/>
        <v>0</v>
      </c>
      <c r="I35" s="77" t="str">
        <f t="shared" si="85"/>
        <v>0</v>
      </c>
      <c r="J35" s="77" t="str">
        <f t="shared" si="86"/>
        <v>0</v>
      </c>
      <c r="K35" s="77" t="str">
        <f t="shared" si="87"/>
        <v>1000</v>
      </c>
      <c r="L35" s="77" t="str">
        <f>IFERROR(VLOOKUP(K35,Sheet2!$A$20:$B$23,2,FALSE),"X")</f>
        <v>01</v>
      </c>
      <c r="M35" s="77" t="str">
        <f t="shared" si="77"/>
        <v>01309108Connect For Success 17-20</v>
      </c>
      <c r="N35" s="76" t="s">
        <v>161</v>
      </c>
      <c r="O35" s="76" t="s">
        <v>160</v>
      </c>
      <c r="P35" s="69" t="s">
        <v>168</v>
      </c>
      <c r="Q35" s="78">
        <v>43173</v>
      </c>
      <c r="R35" s="78">
        <v>43173</v>
      </c>
      <c r="S35" s="79">
        <v>7000</v>
      </c>
      <c r="AR35" s="79">
        <f t="shared" si="88"/>
        <v>0</v>
      </c>
      <c r="AS35" s="79">
        <f t="shared" si="89"/>
        <v>0</v>
      </c>
      <c r="AT35" s="79">
        <f t="shared" si="90"/>
        <v>7000</v>
      </c>
      <c r="AU35" s="158" t="s">
        <v>161</v>
      </c>
      <c r="AV35" s="79">
        <v>34000</v>
      </c>
      <c r="AZ35" s="79">
        <v>-3450</v>
      </c>
      <c r="BH35" s="79">
        <v>-7539</v>
      </c>
      <c r="BL35" s="79">
        <v>-5267</v>
      </c>
      <c r="BP35" s="79">
        <v>-5920</v>
      </c>
      <c r="BV35" s="79">
        <f t="shared" si="91"/>
        <v>-22176</v>
      </c>
      <c r="BW35" s="79">
        <f t="shared" si="92"/>
        <v>0</v>
      </c>
      <c r="BX35" s="79">
        <f t="shared" si="93"/>
        <v>18824</v>
      </c>
      <c r="BY35" s="158" t="s">
        <v>336</v>
      </c>
      <c r="BZ35" s="79">
        <v>80000</v>
      </c>
      <c r="CF35" s="79">
        <v>-10114.1</v>
      </c>
      <c r="CH35" s="79">
        <v>-630</v>
      </c>
      <c r="CL35" s="79">
        <f>-8079.9-15920.1</f>
        <v>-24000</v>
      </c>
      <c r="CR35" s="79">
        <f>-16750-20139.6</f>
        <v>-36889.599999999999</v>
      </c>
      <c r="CT35" s="79">
        <f>-20139.6-201.5</f>
        <v>-20341.099999999999</v>
      </c>
      <c r="DB35" s="79">
        <f t="shared" si="94"/>
        <v>-10114.1</v>
      </c>
      <c r="DC35" s="79">
        <f t="shared" si="95"/>
        <v>-81860.7</v>
      </c>
      <c r="DD35" s="79">
        <f t="shared" si="96"/>
        <v>0</v>
      </c>
      <c r="DE35" s="79">
        <f t="shared" si="97"/>
        <v>6849.1999999999971</v>
      </c>
      <c r="DK35" s="79">
        <v>-107.5</v>
      </c>
      <c r="DP35" s="131"/>
      <c r="DQ35" s="79">
        <v>-2085.41</v>
      </c>
      <c r="EJ35" s="79">
        <f t="shared" si="98"/>
        <v>0</v>
      </c>
      <c r="EK35" s="79">
        <f t="shared" si="99"/>
        <v>-2192.91</v>
      </c>
      <c r="EL35" s="79">
        <f t="shared" si="100"/>
        <v>0</v>
      </c>
      <c r="EM35" s="79">
        <f t="shared" si="78"/>
        <v>4656.2899999999972</v>
      </c>
      <c r="FI35" s="66">
        <f t="shared" si="79"/>
        <v>0</v>
      </c>
      <c r="FJ35" s="66">
        <f t="shared" si="80"/>
        <v>0</v>
      </c>
      <c r="FK35" s="66">
        <f t="shared" si="81"/>
        <v>0</v>
      </c>
      <c r="FL35" s="173">
        <f t="shared" si="82"/>
        <v>4656.2899999999972</v>
      </c>
      <c r="FM35" s="93">
        <v>4656.29</v>
      </c>
      <c r="FN35" s="93">
        <f>FM35-EM35</f>
        <v>0</v>
      </c>
    </row>
    <row r="36" spans="1:170" hidden="1" outlineLevel="1" x14ac:dyDescent="0.2">
      <c r="A36" s="76" t="s">
        <v>481</v>
      </c>
      <c r="B36" s="76" t="s">
        <v>34</v>
      </c>
      <c r="C36" s="76" t="s">
        <v>483</v>
      </c>
      <c r="D36" s="76" t="s">
        <v>111</v>
      </c>
      <c r="E36" s="77" t="s">
        <v>212</v>
      </c>
      <c r="F36" s="77" t="s">
        <v>709</v>
      </c>
      <c r="G36" s="77" t="str">
        <f t="shared" si="83"/>
        <v>1</v>
      </c>
      <c r="H36" s="77" t="str">
        <f t="shared" si="84"/>
        <v>0</v>
      </c>
      <c r="I36" s="77" t="str">
        <f t="shared" si="85"/>
        <v>0</v>
      </c>
      <c r="J36" s="77" t="str">
        <f t="shared" si="86"/>
        <v>0</v>
      </c>
      <c r="K36" s="77" t="str">
        <f t="shared" si="87"/>
        <v>1000</v>
      </c>
      <c r="L36" s="77" t="str">
        <f>IFERROR(VLOOKUP(K36,Sheet2!$A$20:$B$23,2,FALSE),"X")</f>
        <v>01</v>
      </c>
      <c r="M36" s="77" t="str">
        <f t="shared" si="77"/>
        <v>0130N/AConnect For Success 17-20</v>
      </c>
      <c r="N36" s="76" t="s">
        <v>161</v>
      </c>
      <c r="O36" s="76" t="s">
        <v>160</v>
      </c>
      <c r="P36" s="69" t="s">
        <v>168</v>
      </c>
      <c r="Q36" s="78">
        <v>43173</v>
      </c>
      <c r="R36" s="78">
        <v>43173</v>
      </c>
      <c r="S36" s="79">
        <v>78085</v>
      </c>
      <c r="AR36" s="79">
        <f t="shared" si="88"/>
        <v>0</v>
      </c>
      <c r="AS36" s="79">
        <f t="shared" si="89"/>
        <v>0</v>
      </c>
      <c r="AT36" s="79">
        <f t="shared" si="90"/>
        <v>78085</v>
      </c>
      <c r="AU36" s="158" t="s">
        <v>161</v>
      </c>
      <c r="AV36" s="79">
        <v>281000</v>
      </c>
      <c r="AZ36" s="79">
        <v>-531</v>
      </c>
      <c r="BB36" s="79">
        <v>-222</v>
      </c>
      <c r="BH36" s="79">
        <v>-52068</v>
      </c>
      <c r="BL36" s="79">
        <v>-28077</v>
      </c>
      <c r="BP36" s="79">
        <v>-39850</v>
      </c>
      <c r="BV36" s="79">
        <f t="shared" si="91"/>
        <v>-120748</v>
      </c>
      <c r="BW36" s="79">
        <f t="shared" si="92"/>
        <v>0</v>
      </c>
      <c r="BX36" s="79">
        <f t="shared" si="93"/>
        <v>238337</v>
      </c>
      <c r="CF36" s="79">
        <f>-14755.26-50637.15-22726.74</f>
        <v>-88119.150000000009</v>
      </c>
      <c r="CH36" s="79">
        <v>-12049.77</v>
      </c>
      <c r="CJ36" s="79">
        <f>-10676.97-14541.36</f>
        <v>-25218.33</v>
      </c>
      <c r="CL36" s="79">
        <v>-37349.96</v>
      </c>
      <c r="CP36" s="79">
        <v>-9008.07</v>
      </c>
      <c r="CR36" s="79">
        <f>-8501.15-8754.61</f>
        <v>-17255.760000000002</v>
      </c>
      <c r="CT36" s="79">
        <v>-8754.61</v>
      </c>
      <c r="DB36" s="79">
        <f t="shared" si="94"/>
        <v>-88119.150000000009</v>
      </c>
      <c r="DC36" s="79">
        <f t="shared" si="95"/>
        <v>-109636.50000000001</v>
      </c>
      <c r="DD36" s="79">
        <f t="shared" si="96"/>
        <v>0</v>
      </c>
      <c r="DE36" s="79">
        <f t="shared" si="97"/>
        <v>40581.349999999977</v>
      </c>
      <c r="DK36" s="79">
        <v>-34996.720000000001</v>
      </c>
      <c r="DP36" s="131">
        <v>-5584.63</v>
      </c>
      <c r="DQ36" s="79">
        <f>6766.98+5897.11</f>
        <v>12664.09</v>
      </c>
      <c r="DR36" s="79">
        <v>-6766.98</v>
      </c>
      <c r="DY36" s="79">
        <v>-250</v>
      </c>
      <c r="EF36" s="79">
        <v>6766.98</v>
      </c>
      <c r="EG36" s="131">
        <f>-EF36</f>
        <v>-6766.98</v>
      </c>
      <c r="EJ36" s="79">
        <f t="shared" si="98"/>
        <v>-12351.61</v>
      </c>
      <c r="EK36" s="79">
        <f t="shared" si="99"/>
        <v>-22582.63</v>
      </c>
      <c r="EL36" s="79">
        <f t="shared" si="100"/>
        <v>0</v>
      </c>
      <c r="EM36" s="79">
        <f t="shared" si="78"/>
        <v>5647.1099999999715</v>
      </c>
      <c r="EU36" s="66">
        <v>-8087.27</v>
      </c>
      <c r="FI36" s="66">
        <f t="shared" si="79"/>
        <v>0</v>
      </c>
      <c r="FJ36" s="66">
        <f t="shared" si="80"/>
        <v>0</v>
      </c>
      <c r="FK36" s="66">
        <f t="shared" si="81"/>
        <v>-8087.27</v>
      </c>
      <c r="FL36" s="173">
        <f t="shared" si="82"/>
        <v>-2440.160000000029</v>
      </c>
      <c r="FM36" s="93">
        <v>5897.11</v>
      </c>
      <c r="FN36" s="93">
        <f>FM36-EM36</f>
        <v>250.00000000002819</v>
      </c>
    </row>
    <row r="37" spans="1:170" hidden="1" outlineLevel="1" x14ac:dyDescent="0.2">
      <c r="A37" s="77" t="s">
        <v>494</v>
      </c>
      <c r="B37" s="77" t="s">
        <v>495</v>
      </c>
      <c r="C37" s="76" t="s">
        <v>496</v>
      </c>
      <c r="D37" s="76" t="s">
        <v>497</v>
      </c>
      <c r="E37" s="77" t="s">
        <v>212</v>
      </c>
      <c r="F37" s="77" t="s">
        <v>709</v>
      </c>
      <c r="G37" s="77" t="str">
        <f t="shared" si="83"/>
        <v>1</v>
      </c>
      <c r="H37" s="77" t="str">
        <f t="shared" si="84"/>
        <v>0</v>
      </c>
      <c r="I37" s="77" t="str">
        <f t="shared" si="85"/>
        <v>0</v>
      </c>
      <c r="J37" s="77" t="str">
        <f t="shared" si="86"/>
        <v>0</v>
      </c>
      <c r="K37" s="77" t="str">
        <f t="shared" si="87"/>
        <v>1000</v>
      </c>
      <c r="L37" s="77" t="str">
        <f>IFERROR(VLOOKUP(K37,Sheet2!$A$20:$B$23,2,FALSE),"X")</f>
        <v>01</v>
      </c>
      <c r="M37" s="77" t="str">
        <f t="shared" si="77"/>
        <v>01702136Connect For Success 17-20</v>
      </c>
      <c r="N37" s="76" t="s">
        <v>161</v>
      </c>
      <c r="O37" s="76" t="s">
        <v>160</v>
      </c>
      <c r="P37" s="69" t="s">
        <v>168</v>
      </c>
      <c r="Q37" s="78">
        <v>43173</v>
      </c>
      <c r="R37" s="78">
        <v>43173</v>
      </c>
      <c r="S37" s="79">
        <v>23000</v>
      </c>
      <c r="AR37" s="79">
        <f t="shared" si="88"/>
        <v>0</v>
      </c>
      <c r="AS37" s="79">
        <f t="shared" si="89"/>
        <v>0</v>
      </c>
      <c r="AT37" s="79">
        <f t="shared" si="90"/>
        <v>23000</v>
      </c>
      <c r="AU37" s="158" t="s">
        <v>161</v>
      </c>
      <c r="AV37" s="79">
        <v>77000</v>
      </c>
      <c r="AZ37" s="79">
        <v>-14757</v>
      </c>
      <c r="BV37" s="79">
        <f t="shared" si="91"/>
        <v>-14757</v>
      </c>
      <c r="BW37" s="79">
        <f t="shared" si="92"/>
        <v>0</v>
      </c>
      <c r="BX37" s="79">
        <f t="shared" si="93"/>
        <v>85243</v>
      </c>
      <c r="CD37" s="79">
        <f>-52442.64-8243</f>
        <v>-60685.64</v>
      </c>
      <c r="CZ37" s="79">
        <v>-24557.360000000001</v>
      </c>
      <c r="DB37" s="79">
        <f t="shared" si="94"/>
        <v>-60685.64</v>
      </c>
      <c r="DC37" s="79">
        <f t="shared" si="95"/>
        <v>-24557.360000000001</v>
      </c>
      <c r="DD37" s="79">
        <f t="shared" si="96"/>
        <v>0</v>
      </c>
      <c r="DE37" s="79">
        <f t="shared" si="97"/>
        <v>0</v>
      </c>
      <c r="DP37" s="131"/>
      <c r="EJ37" s="79">
        <f t="shared" si="98"/>
        <v>0</v>
      </c>
      <c r="EK37" s="79">
        <f t="shared" si="99"/>
        <v>0</v>
      </c>
      <c r="EL37" s="79">
        <f t="shared" si="100"/>
        <v>0</v>
      </c>
      <c r="EM37" s="79">
        <f t="shared" si="78"/>
        <v>0</v>
      </c>
      <c r="FI37" s="66">
        <f t="shared" si="79"/>
        <v>0</v>
      </c>
      <c r="FJ37" s="66">
        <f t="shared" si="80"/>
        <v>0</v>
      </c>
      <c r="FK37" s="66">
        <f t="shared" si="81"/>
        <v>0</v>
      </c>
      <c r="FL37" s="173">
        <f t="shared" si="82"/>
        <v>0</v>
      </c>
      <c r="FN37" s="93">
        <f>SUM(FN26:FN36)</f>
        <v>67591.250000000044</v>
      </c>
    </row>
    <row r="38" spans="1:170" hidden="1" outlineLevel="1" x14ac:dyDescent="0.2">
      <c r="A38" s="76" t="s">
        <v>15</v>
      </c>
      <c r="B38" s="76" t="s">
        <v>324</v>
      </c>
      <c r="C38" s="76" t="s">
        <v>296</v>
      </c>
      <c r="D38" s="76" t="s">
        <v>325</v>
      </c>
      <c r="E38" s="77" t="s">
        <v>447</v>
      </c>
      <c r="F38" s="77" t="s">
        <v>709</v>
      </c>
      <c r="G38" s="77" t="str">
        <f t="shared" si="83"/>
        <v>0</v>
      </c>
      <c r="H38" s="77" t="str">
        <f t="shared" si="84"/>
        <v>1</v>
      </c>
      <c r="I38" s="77" t="str">
        <f t="shared" si="85"/>
        <v>0</v>
      </c>
      <c r="J38" s="77" t="str">
        <f t="shared" si="86"/>
        <v>0</v>
      </c>
      <c r="K38" s="77" t="str">
        <f t="shared" si="87"/>
        <v>0100</v>
      </c>
      <c r="L38" s="77" t="str">
        <f>IFERROR(VLOOKUP(K38,Sheet2!$A$20:$B$23,2,FALSE),"X")</f>
        <v>02</v>
      </c>
      <c r="M38" s="77" t="str">
        <f t="shared" si="77"/>
        <v>01804646Connect For Success 16-19</v>
      </c>
      <c r="N38" s="76" t="s">
        <v>323</v>
      </c>
      <c r="O38" s="76" t="s">
        <v>160</v>
      </c>
      <c r="P38" s="69" t="s">
        <v>168</v>
      </c>
      <c r="Q38" s="78">
        <v>43173</v>
      </c>
      <c r="R38" s="78">
        <v>43173</v>
      </c>
      <c r="S38" s="79">
        <v>0</v>
      </c>
      <c r="AR38" s="79">
        <f t="shared" si="88"/>
        <v>0</v>
      </c>
      <c r="AS38" s="79">
        <f t="shared" si="89"/>
        <v>0</v>
      </c>
      <c r="AT38" s="79">
        <f t="shared" si="90"/>
        <v>0</v>
      </c>
      <c r="AV38" s="79"/>
      <c r="AW38" s="79">
        <v>112052</v>
      </c>
      <c r="BJ38" s="79">
        <v>-4234</v>
      </c>
      <c r="BL38" s="79">
        <v>-2149</v>
      </c>
      <c r="BN38" s="79">
        <v>-2753</v>
      </c>
      <c r="BP38" s="79">
        <v>-14095</v>
      </c>
      <c r="BR38" s="79">
        <v>-3116</v>
      </c>
      <c r="BT38" s="79">
        <v>-4801</v>
      </c>
      <c r="BV38" s="79">
        <f t="shared" si="91"/>
        <v>-31148</v>
      </c>
      <c r="BW38" s="79">
        <f t="shared" si="92"/>
        <v>0</v>
      </c>
      <c r="BX38" s="79">
        <f t="shared" si="93"/>
        <v>80904</v>
      </c>
      <c r="CN38" s="79">
        <v>-783.24</v>
      </c>
      <c r="CP38" s="79">
        <v>-3769.43</v>
      </c>
      <c r="CR38" s="79">
        <f>-9003.99-20615.92</f>
        <v>-29619.909999999996</v>
      </c>
      <c r="CT38" s="79">
        <v>-10693.08</v>
      </c>
      <c r="CV38" s="79">
        <v>-5264.99</v>
      </c>
      <c r="DB38" s="79">
        <f t="shared" si="94"/>
        <v>0</v>
      </c>
      <c r="DC38" s="79">
        <f t="shared" si="95"/>
        <v>-50130.649999999994</v>
      </c>
      <c r="DD38" s="79">
        <f t="shared" si="96"/>
        <v>0</v>
      </c>
      <c r="DE38" s="79">
        <f t="shared" si="97"/>
        <v>30773.350000000006</v>
      </c>
      <c r="DK38" s="79">
        <v>-439.84</v>
      </c>
      <c r="DM38" s="79">
        <v>-482</v>
      </c>
      <c r="DP38" s="131">
        <v>-40.340000000000003</v>
      </c>
      <c r="DQ38" s="79">
        <v>-8689</v>
      </c>
      <c r="DS38" s="79">
        <f>-(8455.26+1245.11)</f>
        <v>-9700.3700000000008</v>
      </c>
      <c r="EJ38" s="79">
        <f t="shared" si="98"/>
        <v>-40.340000000000003</v>
      </c>
      <c r="EK38" s="79">
        <f t="shared" si="99"/>
        <v>-19311.21</v>
      </c>
      <c r="EL38" s="79">
        <f t="shared" si="100"/>
        <v>0</v>
      </c>
      <c r="EM38" s="79">
        <f t="shared" si="78"/>
        <v>11421.800000000007</v>
      </c>
      <c r="FI38" s="66">
        <f t="shared" si="79"/>
        <v>0</v>
      </c>
      <c r="FJ38" s="66">
        <f t="shared" si="80"/>
        <v>0</v>
      </c>
      <c r="FK38" s="66">
        <f t="shared" si="81"/>
        <v>0</v>
      </c>
      <c r="FL38" s="173">
        <f t="shared" si="82"/>
        <v>11421.800000000007</v>
      </c>
    </row>
    <row r="39" spans="1:170" hidden="1" outlineLevel="1" x14ac:dyDescent="0.2">
      <c r="A39" s="77" t="s">
        <v>15</v>
      </c>
      <c r="B39" s="77" t="s">
        <v>321</v>
      </c>
      <c r="C39" s="76" t="s">
        <v>296</v>
      </c>
      <c r="D39" s="76" t="s">
        <v>322</v>
      </c>
      <c r="E39" s="77" t="s">
        <v>447</v>
      </c>
      <c r="F39" s="77" t="s">
        <v>709</v>
      </c>
      <c r="G39" s="77" t="str">
        <f t="shared" si="83"/>
        <v>0</v>
      </c>
      <c r="H39" s="77" t="str">
        <f t="shared" si="84"/>
        <v>1</v>
      </c>
      <c r="I39" s="77" t="str">
        <f t="shared" si="85"/>
        <v>0</v>
      </c>
      <c r="J39" s="77" t="str">
        <f t="shared" si="86"/>
        <v>0</v>
      </c>
      <c r="K39" s="77" t="str">
        <f t="shared" si="87"/>
        <v>0100</v>
      </c>
      <c r="L39" s="77" t="str">
        <f>IFERROR(VLOOKUP(K39,Sheet2!$A$20:$B$23,2,FALSE),"X")</f>
        <v>02</v>
      </c>
      <c r="M39" s="77" t="str">
        <f t="shared" si="77"/>
        <v>01807932Connect For Success 16-19</v>
      </c>
      <c r="N39" s="76" t="s">
        <v>323</v>
      </c>
      <c r="O39" s="76" t="s">
        <v>160</v>
      </c>
      <c r="P39" s="69" t="s">
        <v>168</v>
      </c>
      <c r="Q39" s="78">
        <v>43173</v>
      </c>
      <c r="R39" s="78">
        <v>43173</v>
      </c>
      <c r="S39" s="79">
        <v>0</v>
      </c>
      <c r="AR39" s="79">
        <f t="shared" si="88"/>
        <v>0</v>
      </c>
      <c r="AS39" s="79">
        <f t="shared" si="89"/>
        <v>0</v>
      </c>
      <c r="AT39" s="79">
        <f t="shared" si="90"/>
        <v>0</v>
      </c>
      <c r="AV39" s="79"/>
      <c r="AW39" s="79">
        <v>93317</v>
      </c>
      <c r="BH39" s="79">
        <v>-5428</v>
      </c>
      <c r="BJ39" s="79">
        <v>-5496</v>
      </c>
      <c r="BL39" s="79">
        <v>-4892</v>
      </c>
      <c r="BN39" s="79">
        <v>-5823</v>
      </c>
      <c r="BP39" s="79">
        <v>-11814</v>
      </c>
      <c r="BR39" s="79">
        <v>-7551</v>
      </c>
      <c r="BT39" s="79">
        <v>-8695</v>
      </c>
      <c r="BV39" s="79">
        <f t="shared" si="91"/>
        <v>-49699</v>
      </c>
      <c r="BW39" s="79">
        <f t="shared" si="92"/>
        <v>0</v>
      </c>
      <c r="BX39" s="79">
        <f t="shared" si="93"/>
        <v>43618</v>
      </c>
      <c r="CL39" s="79">
        <v>-868.22</v>
      </c>
      <c r="CN39" s="79">
        <v>-260.01</v>
      </c>
      <c r="CR39" s="79">
        <f>-18980.04-9658.64</f>
        <v>-28638.68</v>
      </c>
      <c r="CT39" s="79">
        <v>-94.1</v>
      </c>
      <c r="CV39" s="79">
        <v>-5687.82</v>
      </c>
      <c r="CX39" s="79">
        <v>-295</v>
      </c>
      <c r="CZ39" s="79">
        <v>-4841.05</v>
      </c>
      <c r="DB39" s="79">
        <f t="shared" si="94"/>
        <v>0</v>
      </c>
      <c r="DC39" s="79">
        <f t="shared" si="95"/>
        <v>-40684.880000000005</v>
      </c>
      <c r="DD39" s="79">
        <f t="shared" si="96"/>
        <v>0</v>
      </c>
      <c r="DE39" s="79">
        <f t="shared" si="97"/>
        <v>2933.1199999999953</v>
      </c>
      <c r="DK39" s="79">
        <v>-1527.75</v>
      </c>
      <c r="DM39" s="79">
        <v>-1234.78</v>
      </c>
      <c r="DP39" s="131"/>
      <c r="EJ39" s="79">
        <f t="shared" si="98"/>
        <v>0</v>
      </c>
      <c r="EK39" s="79">
        <f t="shared" si="99"/>
        <v>-2762.5299999999997</v>
      </c>
      <c r="EL39" s="79">
        <f t="shared" si="100"/>
        <v>0</v>
      </c>
      <c r="EM39" s="79">
        <f t="shared" si="78"/>
        <v>170.5899999999956</v>
      </c>
      <c r="FI39" s="66">
        <f t="shared" si="79"/>
        <v>0</v>
      </c>
      <c r="FJ39" s="66">
        <f t="shared" si="80"/>
        <v>0</v>
      </c>
      <c r="FK39" s="66">
        <f t="shared" si="81"/>
        <v>0</v>
      </c>
      <c r="FL39" s="173">
        <f t="shared" si="82"/>
        <v>170.5899999999956</v>
      </c>
      <c r="FM39" s="93">
        <v>183958</v>
      </c>
    </row>
    <row r="40" spans="1:170" s="118" customFormat="1" hidden="1" outlineLevel="1" x14ac:dyDescent="0.2">
      <c r="A40" s="119" t="s">
        <v>455</v>
      </c>
      <c r="B40" s="119" t="s">
        <v>641</v>
      </c>
      <c r="C40" s="118" t="s">
        <v>460</v>
      </c>
      <c r="D40" s="118" t="s">
        <v>654</v>
      </c>
      <c r="E40" s="119" t="s">
        <v>500</v>
      </c>
      <c r="F40" s="119"/>
      <c r="G40" s="119"/>
      <c r="H40" s="119"/>
      <c r="I40" s="119"/>
      <c r="J40" s="119"/>
      <c r="K40" s="119"/>
      <c r="L40" s="119"/>
      <c r="M40" s="119" t="str">
        <f t="shared" si="77"/>
        <v>04800934Connect For Success 20-23</v>
      </c>
      <c r="O40" s="118" t="s">
        <v>160</v>
      </c>
      <c r="P40" s="120"/>
      <c r="Q40" s="121"/>
      <c r="R40" s="121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60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60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60"/>
      <c r="DG40" s="122"/>
      <c r="DH40" s="122"/>
      <c r="DI40" s="122"/>
      <c r="DJ40" s="122">
        <v>15000</v>
      </c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31"/>
      <c r="EH40" s="122"/>
      <c r="EI40" s="122"/>
      <c r="EJ40" s="122"/>
      <c r="EK40" s="122"/>
      <c r="EL40" s="122"/>
      <c r="EM40" s="122">
        <f t="shared" si="78"/>
        <v>15000</v>
      </c>
      <c r="EN40" s="122"/>
      <c r="EO40" s="122"/>
      <c r="EP40" s="122"/>
      <c r="EQ40" s="122">
        <v>80000</v>
      </c>
      <c r="ER40" s="122"/>
      <c r="ES40" s="126"/>
      <c r="ET40" s="126"/>
      <c r="EU40" s="126"/>
      <c r="EV40" s="66"/>
      <c r="EW40" s="144">
        <v>-1296</v>
      </c>
      <c r="EX40" s="126" t="s">
        <v>701</v>
      </c>
      <c r="EY40" s="144">
        <v>-18476.68</v>
      </c>
      <c r="EZ40" s="126"/>
      <c r="FA40" s="126"/>
      <c r="FB40" s="126"/>
      <c r="FC40" s="126"/>
      <c r="FD40" s="126"/>
      <c r="FE40" s="126">
        <v>-13423.71</v>
      </c>
      <c r="FF40" s="126"/>
      <c r="FG40" s="126"/>
      <c r="FH40" s="126"/>
      <c r="FI40" s="66">
        <f t="shared" si="79"/>
        <v>0</v>
      </c>
      <c r="FJ40" s="66">
        <f t="shared" si="80"/>
        <v>0</v>
      </c>
      <c r="FK40" s="66">
        <f t="shared" si="81"/>
        <v>-33196.39</v>
      </c>
      <c r="FL40" s="173">
        <f t="shared" si="82"/>
        <v>61803.61</v>
      </c>
      <c r="FM40" s="123"/>
    </row>
    <row r="41" spans="1:170" hidden="1" outlineLevel="1" x14ac:dyDescent="0.2">
      <c r="A41" s="77" t="s">
        <v>220</v>
      </c>
      <c r="B41" s="76" t="s">
        <v>34</v>
      </c>
      <c r="C41" s="76" t="s">
        <v>221</v>
      </c>
      <c r="D41" s="76" t="s">
        <v>111</v>
      </c>
      <c r="E41" s="77" t="s">
        <v>212</v>
      </c>
      <c r="F41" s="77" t="s">
        <v>709</v>
      </c>
      <c r="G41" s="77" t="str">
        <f t="shared" ref="G41:G50" si="101">IF(S41&gt;0, "1", "0")</f>
        <v>1</v>
      </c>
      <c r="H41" s="77" t="str">
        <f t="shared" ref="H41:H50" si="102">IF(AW41&gt;0, "1", "0")</f>
        <v>0</v>
      </c>
      <c r="I41" s="77" t="str">
        <f t="shared" ref="I41:I50" si="103">IF(CC41&gt;0, "1", "0")</f>
        <v>0</v>
      </c>
      <c r="J41" s="77" t="str">
        <f t="shared" ref="J41:J50" si="104">IF(DJ41&gt;0, "1", "0")</f>
        <v>0</v>
      </c>
      <c r="K41" s="77" t="str">
        <f t="shared" ref="K41:K50" si="105">CONCATENATE(G41,H41,I41,J41)</f>
        <v>1000</v>
      </c>
      <c r="L41" s="77" t="str">
        <f>IFERROR(VLOOKUP(K41,Sheet2!$A$20:$B$23,2,FALSE),"X")</f>
        <v>01</v>
      </c>
      <c r="M41" s="77" t="str">
        <f t="shared" si="77"/>
        <v>0580N/AConnect For Success 17-20</v>
      </c>
      <c r="N41" s="76" t="s">
        <v>161</v>
      </c>
      <c r="O41" s="76" t="s">
        <v>160</v>
      </c>
      <c r="P41" s="69" t="s">
        <v>168</v>
      </c>
      <c r="Q41" s="78">
        <v>43173</v>
      </c>
      <c r="R41" s="78">
        <v>43173</v>
      </c>
      <c r="S41" s="79">
        <v>20000</v>
      </c>
      <c r="AR41" s="79">
        <f>SUMIF($T$2:$AQ$2,$AR$2,$T41:$AQ41)</f>
        <v>0</v>
      </c>
      <c r="AS41" s="79">
        <f>SUMIF($T$2:$AQ$2,$AS$2,$T41:$AQ41)</f>
        <v>0</v>
      </c>
      <c r="AT41" s="79">
        <f>S41+(AR41+AS41)</f>
        <v>20000</v>
      </c>
      <c r="AU41" s="158" t="s">
        <v>161</v>
      </c>
      <c r="AV41" s="79">
        <v>80000</v>
      </c>
      <c r="BT41" s="79">
        <v>-53973</v>
      </c>
      <c r="BV41" s="79">
        <f t="shared" ref="BV41:BV50" si="106">SUMIF($AX$2:$BU$2,$BV$2,$AX41:$BU41)</f>
        <v>-53973</v>
      </c>
      <c r="BW41" s="79">
        <f t="shared" ref="BW41:BW50" si="107">SUMIF($AX$2:$BU$2,$BW$2,$AX41:$BU41)</f>
        <v>0</v>
      </c>
      <c r="BX41" s="79">
        <f t="shared" ref="BX41:BX50" si="108">AT41+AV41+AW41+(BV41+BW41)</f>
        <v>46027</v>
      </c>
      <c r="BY41" s="158" t="s">
        <v>341</v>
      </c>
      <c r="BZ41" s="79">
        <v>80000</v>
      </c>
      <c r="CJ41" s="79">
        <f>-20000-26027-21393.77</f>
        <v>-67420.77</v>
      </c>
      <c r="CT41" s="79">
        <v>-58606.23</v>
      </c>
      <c r="DB41" s="79">
        <f t="shared" ref="DB41:DB50" si="109">SUMIF($CD$2:$DA$2,$DB$2,$CD41:$DA41)</f>
        <v>0</v>
      </c>
      <c r="DC41" s="79">
        <f t="shared" ref="DC41:DC50" si="110">SUMIF($CD$2:$DA$2,$DC$2,$CD41:$DA41)</f>
        <v>-126027</v>
      </c>
      <c r="DD41" s="79">
        <f t="shared" ref="DD41:DD50" si="111">SUMIF($CD$2:$DA$2,$DD$2,$CD41:$DA41)</f>
        <v>0</v>
      </c>
      <c r="DE41" s="79">
        <f t="shared" ref="DE41:DE50" si="112">BX41+CA41+BZ41+CC41+(DB41+DC41+DD41)</f>
        <v>0</v>
      </c>
      <c r="DP41" s="131"/>
      <c r="EJ41" s="79">
        <f t="shared" ref="EJ41:EJ50" si="113">SUMIF($DK$2:$EI$2,$EJ$2,$DK41:$EI41)</f>
        <v>0</v>
      </c>
      <c r="EK41" s="79">
        <f t="shared" ref="EK41:EK50" si="114">SUMIF($DK$2:$EI$2,$EK$2,$DK41:$EI41)</f>
        <v>0</v>
      </c>
      <c r="EL41" s="79">
        <f t="shared" ref="EL41:EL50" si="115">SUMIF($DK$2:$EI$2,$EL$2,$DK41:$EI41)</f>
        <v>0</v>
      </c>
      <c r="EM41" s="79">
        <f t="shared" si="78"/>
        <v>0</v>
      </c>
      <c r="FI41" s="66">
        <f t="shared" si="79"/>
        <v>0</v>
      </c>
      <c r="FJ41" s="66">
        <f t="shared" si="80"/>
        <v>0</v>
      </c>
      <c r="FK41" s="66">
        <f t="shared" si="81"/>
        <v>0</v>
      </c>
      <c r="FL41" s="173">
        <f t="shared" si="82"/>
        <v>0</v>
      </c>
      <c r="FM41" s="93">
        <f>EM26+EM30+EM31+EM32+EM34+EM35+EM36</f>
        <v>116366.74999999994</v>
      </c>
    </row>
    <row r="42" spans="1:170" hidden="1" outlineLevel="1" x14ac:dyDescent="0.2">
      <c r="A42" s="77" t="s">
        <v>23</v>
      </c>
      <c r="B42" s="76" t="s">
        <v>56</v>
      </c>
      <c r="C42" s="76" t="s">
        <v>507</v>
      </c>
      <c r="D42" s="76" t="s">
        <v>132</v>
      </c>
      <c r="E42" s="77" t="s">
        <v>215</v>
      </c>
      <c r="F42" s="77" t="s">
        <v>709</v>
      </c>
      <c r="G42" s="77" t="str">
        <f t="shared" si="101"/>
        <v>0</v>
      </c>
      <c r="H42" s="77" t="str">
        <f t="shared" si="102"/>
        <v>1</v>
      </c>
      <c r="I42" s="77" t="str">
        <f t="shared" si="103"/>
        <v>0</v>
      </c>
      <c r="J42" s="77" t="str">
        <f t="shared" si="104"/>
        <v>0</v>
      </c>
      <c r="K42" s="77" t="str">
        <f t="shared" si="105"/>
        <v>0100</v>
      </c>
      <c r="L42" s="77" t="str">
        <f>IFERROR(VLOOKUP(K42,Sheet2!$A$20:$B$23,2,FALSE),"X")</f>
        <v>02</v>
      </c>
      <c r="M42" s="77" t="str">
        <f t="shared" si="77"/>
        <v>08801295Connect For Success 18-21</v>
      </c>
      <c r="O42" s="76" t="s">
        <v>160</v>
      </c>
      <c r="P42" s="69" t="s">
        <v>168</v>
      </c>
      <c r="Q42" s="78"/>
      <c r="R42" s="78"/>
      <c r="AU42" s="158" t="s">
        <v>336</v>
      </c>
      <c r="AV42" s="79"/>
      <c r="AW42" s="79">
        <v>19878</v>
      </c>
      <c r="BV42" s="79">
        <f t="shared" si="106"/>
        <v>0</v>
      </c>
      <c r="BW42" s="79">
        <f t="shared" si="107"/>
        <v>0</v>
      </c>
      <c r="BX42" s="79">
        <f t="shared" si="108"/>
        <v>19878</v>
      </c>
      <c r="BY42" s="158" t="s">
        <v>341</v>
      </c>
      <c r="CA42" s="79">
        <v>79993</v>
      </c>
      <c r="DB42" s="79">
        <f t="shared" si="109"/>
        <v>0</v>
      </c>
      <c r="DC42" s="79">
        <f t="shared" si="110"/>
        <v>0</v>
      </c>
      <c r="DD42" s="79">
        <f t="shared" si="111"/>
        <v>0</v>
      </c>
      <c r="DE42" s="79">
        <f t="shared" si="112"/>
        <v>99871</v>
      </c>
      <c r="DG42" s="79">
        <v>87232</v>
      </c>
      <c r="DP42" s="131"/>
      <c r="EJ42" s="79">
        <f t="shared" si="113"/>
        <v>0</v>
      </c>
      <c r="EK42" s="79">
        <f t="shared" si="114"/>
        <v>0</v>
      </c>
      <c r="EL42" s="79">
        <f t="shared" si="115"/>
        <v>0</v>
      </c>
      <c r="EM42" s="79">
        <f t="shared" si="78"/>
        <v>187103</v>
      </c>
      <c r="EX42" s="144">
        <f>-107.8-1350.92-65908.59</f>
        <v>-67367.31</v>
      </c>
      <c r="FI42" s="66">
        <f t="shared" si="79"/>
        <v>0</v>
      </c>
      <c r="FJ42" s="66">
        <f t="shared" si="80"/>
        <v>0</v>
      </c>
      <c r="FK42" s="66">
        <f t="shared" si="81"/>
        <v>-67367.31</v>
      </c>
      <c r="FL42" s="173">
        <f t="shared" si="82"/>
        <v>119735.69</v>
      </c>
      <c r="FM42" s="93">
        <f>FM41-FM39</f>
        <v>-67591.250000000058</v>
      </c>
    </row>
    <row r="43" spans="1:170" hidden="1" outlineLevel="1" x14ac:dyDescent="0.2">
      <c r="A43" s="76" t="s">
        <v>23</v>
      </c>
      <c r="B43" s="76" t="s">
        <v>57</v>
      </c>
      <c r="C43" s="76" t="s">
        <v>507</v>
      </c>
      <c r="D43" s="76" t="s">
        <v>326</v>
      </c>
      <c r="E43" s="77" t="s">
        <v>447</v>
      </c>
      <c r="F43" s="77" t="s">
        <v>709</v>
      </c>
      <c r="G43" s="77" t="str">
        <f t="shared" si="101"/>
        <v>0</v>
      </c>
      <c r="H43" s="77" t="str">
        <f t="shared" si="102"/>
        <v>1</v>
      </c>
      <c r="I43" s="77" t="str">
        <f t="shared" si="103"/>
        <v>0</v>
      </c>
      <c r="J43" s="77" t="str">
        <f t="shared" si="104"/>
        <v>0</v>
      </c>
      <c r="K43" s="77" t="str">
        <f t="shared" si="105"/>
        <v>0100</v>
      </c>
      <c r="L43" s="77" t="str">
        <f>IFERROR(VLOOKUP(K43,Sheet2!$A$20:$B$23,2,FALSE),"X")</f>
        <v>02</v>
      </c>
      <c r="M43" s="77" t="str">
        <f t="shared" si="77"/>
        <v>08801816Connect For Success 16-19</v>
      </c>
      <c r="N43" s="76" t="s">
        <v>323</v>
      </c>
      <c r="O43" s="76" t="s">
        <v>160</v>
      </c>
      <c r="P43" s="69" t="s">
        <v>168</v>
      </c>
      <c r="Q43" s="78">
        <v>43173</v>
      </c>
      <c r="R43" s="78">
        <v>43173</v>
      </c>
      <c r="S43" s="79">
        <v>0</v>
      </c>
      <c r="AR43" s="79">
        <f>SUMIF($T$2:$AQ$2,$AR$2,$T43:$AQ43)</f>
        <v>0</v>
      </c>
      <c r="AS43" s="79">
        <f>SUMIF($T$2:$AQ$2,$AS$2,$T43:$AQ43)</f>
        <v>0</v>
      </c>
      <c r="AT43" s="79">
        <f>S43+(AR43+AS43)</f>
        <v>0</v>
      </c>
      <c r="AV43" s="79"/>
      <c r="AW43" s="79">
        <v>116511</v>
      </c>
      <c r="BJ43" s="79">
        <v>-33663</v>
      </c>
      <c r="BP43" s="79">
        <v>-39723</v>
      </c>
      <c r="BV43" s="79">
        <f t="shared" si="106"/>
        <v>-73386</v>
      </c>
      <c r="BW43" s="79">
        <f t="shared" si="107"/>
        <v>0</v>
      </c>
      <c r="BX43" s="79">
        <f t="shared" si="108"/>
        <v>43125</v>
      </c>
      <c r="DB43" s="79">
        <f t="shared" si="109"/>
        <v>0</v>
      </c>
      <c r="DC43" s="79">
        <f t="shared" si="110"/>
        <v>0</v>
      </c>
      <c r="DD43" s="79">
        <f t="shared" si="111"/>
        <v>0</v>
      </c>
      <c r="DE43" s="79">
        <f t="shared" si="112"/>
        <v>43125</v>
      </c>
      <c r="DP43" s="131"/>
      <c r="EJ43" s="79">
        <f t="shared" si="113"/>
        <v>0</v>
      </c>
      <c r="EK43" s="79">
        <f t="shared" si="114"/>
        <v>0</v>
      </c>
      <c r="EL43" s="79">
        <f t="shared" si="115"/>
        <v>0</v>
      </c>
      <c r="EM43" s="79">
        <f t="shared" si="78"/>
        <v>43125</v>
      </c>
      <c r="FI43" s="66">
        <f t="shared" si="79"/>
        <v>0</v>
      </c>
      <c r="FJ43" s="66">
        <f t="shared" si="80"/>
        <v>0</v>
      </c>
      <c r="FK43" s="66">
        <f t="shared" si="81"/>
        <v>0</v>
      </c>
      <c r="FL43" s="173">
        <f t="shared" si="82"/>
        <v>43125</v>
      </c>
    </row>
    <row r="44" spans="1:170" hidden="1" outlineLevel="1" x14ac:dyDescent="0.2">
      <c r="A44" s="76" t="s">
        <v>23</v>
      </c>
      <c r="B44" s="76" t="s">
        <v>327</v>
      </c>
      <c r="C44" s="76" t="s">
        <v>507</v>
      </c>
      <c r="D44" s="76" t="s">
        <v>328</v>
      </c>
      <c r="E44" s="77" t="s">
        <v>447</v>
      </c>
      <c r="F44" s="77" t="s">
        <v>709</v>
      </c>
      <c r="G44" s="77" t="str">
        <f t="shared" si="101"/>
        <v>0</v>
      </c>
      <c r="H44" s="77" t="str">
        <f t="shared" si="102"/>
        <v>1</v>
      </c>
      <c r="I44" s="77" t="str">
        <f t="shared" si="103"/>
        <v>0</v>
      </c>
      <c r="J44" s="77" t="str">
        <f t="shared" si="104"/>
        <v>0</v>
      </c>
      <c r="K44" s="77" t="str">
        <f t="shared" si="105"/>
        <v>0100</v>
      </c>
      <c r="L44" s="77" t="str">
        <f>IFERROR(VLOOKUP(K44,Sheet2!$A$20:$B$23,2,FALSE),"X")</f>
        <v>02</v>
      </c>
      <c r="M44" s="77" t="str">
        <f t="shared" si="77"/>
        <v>08802364Connect For Success 16-19</v>
      </c>
      <c r="N44" s="76" t="s">
        <v>323</v>
      </c>
      <c r="O44" s="76" t="s">
        <v>160</v>
      </c>
      <c r="P44" s="69" t="s">
        <v>168</v>
      </c>
      <c r="Q44" s="78">
        <v>43173</v>
      </c>
      <c r="R44" s="78">
        <v>43173</v>
      </c>
      <c r="S44" s="79">
        <v>0</v>
      </c>
      <c r="AR44" s="79">
        <f>SUMIF($T$2:$AQ$2,$AR$2,$T44:$AQ44)</f>
        <v>0</v>
      </c>
      <c r="AS44" s="79">
        <f>SUMIF($T$2:$AQ$2,$AS$2,$T44:$AQ44)</f>
        <v>0</v>
      </c>
      <c r="AT44" s="79">
        <f>S44+(AR44+AS44)</f>
        <v>0</v>
      </c>
      <c r="AV44" s="79"/>
      <c r="AW44" s="79">
        <v>99026</v>
      </c>
      <c r="BJ44" s="79">
        <v>-36199</v>
      </c>
      <c r="BP44" s="79">
        <v>-33372</v>
      </c>
      <c r="BV44" s="79">
        <f t="shared" si="106"/>
        <v>-69571</v>
      </c>
      <c r="BW44" s="79">
        <f t="shared" si="107"/>
        <v>0</v>
      </c>
      <c r="BX44" s="79">
        <f t="shared" si="108"/>
        <v>29455</v>
      </c>
      <c r="DB44" s="79">
        <f t="shared" si="109"/>
        <v>0</v>
      </c>
      <c r="DC44" s="79">
        <f t="shared" si="110"/>
        <v>0</v>
      </c>
      <c r="DD44" s="79">
        <f t="shared" si="111"/>
        <v>0</v>
      </c>
      <c r="DE44" s="79">
        <f t="shared" si="112"/>
        <v>29455</v>
      </c>
      <c r="DP44" s="131"/>
      <c r="DR44" s="79">
        <v>-29455</v>
      </c>
      <c r="EF44" s="79">
        <v>29455</v>
      </c>
      <c r="EG44" s="131">
        <f>-EF44</f>
        <v>-29455</v>
      </c>
      <c r="EJ44" s="79">
        <f t="shared" si="113"/>
        <v>-29455</v>
      </c>
      <c r="EK44" s="79">
        <f t="shared" si="114"/>
        <v>0</v>
      </c>
      <c r="EL44" s="79">
        <f t="shared" si="115"/>
        <v>0</v>
      </c>
      <c r="EM44" s="79">
        <f t="shared" si="78"/>
        <v>0</v>
      </c>
      <c r="EX44" s="144">
        <f>-29455+29455</f>
        <v>0</v>
      </c>
      <c r="FI44" s="66">
        <f t="shared" si="79"/>
        <v>0</v>
      </c>
      <c r="FJ44" s="66">
        <f t="shared" si="80"/>
        <v>0</v>
      </c>
      <c r="FK44" s="66">
        <f t="shared" si="81"/>
        <v>0</v>
      </c>
      <c r="FL44" s="173">
        <f t="shared" si="82"/>
        <v>0</v>
      </c>
    </row>
    <row r="45" spans="1:170" hidden="1" outlineLevel="1" x14ac:dyDescent="0.2">
      <c r="A45" s="77" t="s">
        <v>23</v>
      </c>
      <c r="B45" s="76" t="s">
        <v>65</v>
      </c>
      <c r="C45" s="76" t="s">
        <v>507</v>
      </c>
      <c r="D45" s="76" t="s">
        <v>617</v>
      </c>
      <c r="E45" s="77" t="s">
        <v>215</v>
      </c>
      <c r="F45" s="77" t="s">
        <v>709</v>
      </c>
      <c r="G45" s="77" t="str">
        <f t="shared" si="101"/>
        <v>0</v>
      </c>
      <c r="H45" s="77" t="str">
        <f t="shared" si="102"/>
        <v>1</v>
      </c>
      <c r="I45" s="77" t="str">
        <f t="shared" si="103"/>
        <v>0</v>
      </c>
      <c r="J45" s="77" t="str">
        <f t="shared" si="104"/>
        <v>0</v>
      </c>
      <c r="K45" s="77" t="str">
        <f t="shared" si="105"/>
        <v>0100</v>
      </c>
      <c r="L45" s="77" t="str">
        <f>IFERROR(VLOOKUP(K45,Sheet2!$A$20:$B$23,2,FALSE),"X")</f>
        <v>02</v>
      </c>
      <c r="M45" s="77" t="str">
        <f t="shared" si="77"/>
        <v>08803655Connect For Success 18-21</v>
      </c>
      <c r="O45" s="76" t="s">
        <v>160</v>
      </c>
      <c r="P45" s="69" t="s">
        <v>168</v>
      </c>
      <c r="Q45" s="78"/>
      <c r="R45" s="78"/>
      <c r="AU45" s="158" t="s">
        <v>336</v>
      </c>
      <c r="AV45" s="79"/>
      <c r="AW45" s="79">
        <v>19878</v>
      </c>
      <c r="BV45" s="79">
        <f t="shared" si="106"/>
        <v>0</v>
      </c>
      <c r="BW45" s="79">
        <f t="shared" si="107"/>
        <v>0</v>
      </c>
      <c r="BX45" s="79">
        <f t="shared" si="108"/>
        <v>19878</v>
      </c>
      <c r="BY45" s="158" t="s">
        <v>341</v>
      </c>
      <c r="CA45" s="79">
        <v>79993</v>
      </c>
      <c r="DB45" s="79">
        <f t="shared" si="109"/>
        <v>0</v>
      </c>
      <c r="DC45" s="79">
        <f t="shared" si="110"/>
        <v>0</v>
      </c>
      <c r="DD45" s="79">
        <f t="shared" si="111"/>
        <v>0</v>
      </c>
      <c r="DE45" s="79">
        <f t="shared" si="112"/>
        <v>99871</v>
      </c>
      <c r="DG45" s="79">
        <v>87232</v>
      </c>
      <c r="DP45" s="131"/>
      <c r="EJ45" s="79">
        <f t="shared" si="113"/>
        <v>0</v>
      </c>
      <c r="EK45" s="79">
        <f t="shared" si="114"/>
        <v>0</v>
      </c>
      <c r="EL45" s="79">
        <f t="shared" si="115"/>
        <v>0</v>
      </c>
      <c r="EM45" s="79">
        <f t="shared" si="78"/>
        <v>187103</v>
      </c>
      <c r="EX45" s="144">
        <f>-76228.8-379.24-4.38-99122.71</f>
        <v>-175735.13</v>
      </c>
      <c r="FI45" s="66">
        <f t="shared" si="79"/>
        <v>0</v>
      </c>
      <c r="FJ45" s="66">
        <f t="shared" si="80"/>
        <v>0</v>
      </c>
      <c r="FK45" s="66">
        <f t="shared" si="81"/>
        <v>-175735.13</v>
      </c>
      <c r="FL45" s="173">
        <f t="shared" si="82"/>
        <v>11367.869999999995</v>
      </c>
    </row>
    <row r="46" spans="1:170" hidden="1" outlineLevel="1" x14ac:dyDescent="0.2">
      <c r="A46" s="77" t="s">
        <v>23</v>
      </c>
      <c r="B46" s="77" t="s">
        <v>450</v>
      </c>
      <c r="C46" s="76" t="s">
        <v>507</v>
      </c>
      <c r="D46" s="76" t="s">
        <v>618</v>
      </c>
      <c r="E46" s="77" t="s">
        <v>216</v>
      </c>
      <c r="F46" s="77" t="s">
        <v>709</v>
      </c>
      <c r="G46" s="77" t="str">
        <f t="shared" si="101"/>
        <v>0</v>
      </c>
      <c r="H46" s="77" t="str">
        <f t="shared" si="102"/>
        <v>0</v>
      </c>
      <c r="I46" s="77" t="str">
        <f t="shared" si="103"/>
        <v>0</v>
      </c>
      <c r="J46" s="77" t="str">
        <f t="shared" si="104"/>
        <v>0</v>
      </c>
      <c r="K46" s="77" t="str">
        <f t="shared" si="105"/>
        <v>0000</v>
      </c>
      <c r="L46" s="77" t="str">
        <f>IFERROR(VLOOKUP(K46,Sheet2!$A$20:$B$23,2,FALSE),"X")</f>
        <v>X</v>
      </c>
      <c r="M46" s="77" t="str">
        <f t="shared" si="77"/>
        <v>08803699Connect For Success 19-22</v>
      </c>
      <c r="O46" s="76" t="s">
        <v>160</v>
      </c>
      <c r="P46" s="69" t="s">
        <v>168</v>
      </c>
      <c r="Q46" s="78">
        <v>43168</v>
      </c>
      <c r="R46" s="78">
        <v>43168</v>
      </c>
      <c r="AR46" s="79">
        <f>SUMIF($T$2:$AQ$2,$AR$2,$T46:$AQ46)</f>
        <v>0</v>
      </c>
      <c r="AS46" s="79">
        <f>SUMIF($T$2:$AQ$2,$AS$2,$T46:$AQ46)</f>
        <v>0</v>
      </c>
      <c r="AT46" s="79">
        <f>S46+(AR46+AS46)</f>
        <v>0</v>
      </c>
      <c r="AU46" s="158" t="s">
        <v>161</v>
      </c>
      <c r="AV46" s="79"/>
      <c r="BV46" s="79">
        <f t="shared" si="106"/>
        <v>0</v>
      </c>
      <c r="BW46" s="79">
        <f t="shared" si="107"/>
        <v>0</v>
      </c>
      <c r="BX46" s="79">
        <f t="shared" si="108"/>
        <v>0</v>
      </c>
      <c r="DB46" s="79">
        <f t="shared" si="109"/>
        <v>0</v>
      </c>
      <c r="DC46" s="79">
        <f t="shared" si="110"/>
        <v>0</v>
      </c>
      <c r="DD46" s="79">
        <f t="shared" si="111"/>
        <v>0</v>
      </c>
      <c r="DE46" s="79">
        <f t="shared" si="112"/>
        <v>0</v>
      </c>
      <c r="DP46" s="131"/>
      <c r="EJ46" s="79">
        <f t="shared" si="113"/>
        <v>0</v>
      </c>
      <c r="EK46" s="79">
        <f t="shared" si="114"/>
        <v>0</v>
      </c>
      <c r="EL46" s="79">
        <f t="shared" si="115"/>
        <v>0</v>
      </c>
      <c r="EM46" s="79">
        <f t="shared" si="78"/>
        <v>0</v>
      </c>
      <c r="FI46" s="66">
        <f t="shared" si="79"/>
        <v>0</v>
      </c>
      <c r="FJ46" s="66">
        <f t="shared" si="80"/>
        <v>0</v>
      </c>
      <c r="FK46" s="66">
        <f t="shared" si="81"/>
        <v>0</v>
      </c>
      <c r="FL46" s="173">
        <f t="shared" si="82"/>
        <v>0</v>
      </c>
    </row>
    <row r="47" spans="1:170" hidden="1" outlineLevel="1" x14ac:dyDescent="0.2">
      <c r="A47" s="77" t="s">
        <v>23</v>
      </c>
      <c r="B47" s="76" t="s">
        <v>393</v>
      </c>
      <c r="C47" s="76" t="s">
        <v>507</v>
      </c>
      <c r="D47" s="76" t="s">
        <v>619</v>
      </c>
      <c r="E47" s="77" t="s">
        <v>215</v>
      </c>
      <c r="F47" s="77" t="s">
        <v>709</v>
      </c>
      <c r="G47" s="77" t="str">
        <f t="shared" si="101"/>
        <v>0</v>
      </c>
      <c r="H47" s="77" t="str">
        <f t="shared" si="102"/>
        <v>1</v>
      </c>
      <c r="I47" s="77" t="str">
        <f t="shared" si="103"/>
        <v>0</v>
      </c>
      <c r="J47" s="77" t="str">
        <f t="shared" si="104"/>
        <v>0</v>
      </c>
      <c r="K47" s="77" t="str">
        <f t="shared" si="105"/>
        <v>0100</v>
      </c>
      <c r="L47" s="77" t="str">
        <f>IFERROR(VLOOKUP(K47,Sheet2!$A$20:$B$23,2,FALSE),"X")</f>
        <v>02</v>
      </c>
      <c r="M47" s="77" t="str">
        <f t="shared" si="77"/>
        <v>08804049Connect For Success 18-21</v>
      </c>
      <c r="O47" s="76" t="s">
        <v>160</v>
      </c>
      <c r="P47" s="69" t="s">
        <v>168</v>
      </c>
      <c r="Q47" s="78"/>
      <c r="R47" s="78"/>
      <c r="AU47" s="158" t="s">
        <v>336</v>
      </c>
      <c r="AV47" s="79"/>
      <c r="AW47" s="79">
        <v>21560</v>
      </c>
      <c r="BV47" s="79">
        <f t="shared" si="106"/>
        <v>0</v>
      </c>
      <c r="BW47" s="79">
        <f t="shared" si="107"/>
        <v>0</v>
      </c>
      <c r="BX47" s="79">
        <f t="shared" si="108"/>
        <v>21560</v>
      </c>
      <c r="BY47" s="158" t="s">
        <v>341</v>
      </c>
      <c r="CA47" s="79">
        <v>78432</v>
      </c>
      <c r="CH47" s="79">
        <v>-2463.65</v>
      </c>
      <c r="DB47" s="79">
        <f t="shared" si="109"/>
        <v>0</v>
      </c>
      <c r="DC47" s="79">
        <f t="shared" si="110"/>
        <v>-2463.65</v>
      </c>
      <c r="DD47" s="79">
        <f t="shared" si="111"/>
        <v>0</v>
      </c>
      <c r="DE47" s="79">
        <f t="shared" si="112"/>
        <v>97528.35</v>
      </c>
      <c r="DG47" s="79">
        <v>87232</v>
      </c>
      <c r="DP47" s="131">
        <v>-19096.349999999999</v>
      </c>
      <c r="DR47" s="79">
        <v>-68386.570000000007</v>
      </c>
      <c r="EF47" s="79">
        <v>68386.570000000007</v>
      </c>
      <c r="EG47" s="131">
        <f>-EF47</f>
        <v>-68386.570000000007</v>
      </c>
      <c r="EJ47" s="79">
        <f t="shared" si="113"/>
        <v>-87482.920000000013</v>
      </c>
      <c r="EK47" s="79">
        <f t="shared" si="114"/>
        <v>0</v>
      </c>
      <c r="EL47" s="79">
        <f t="shared" si="115"/>
        <v>0</v>
      </c>
      <c r="EM47" s="79">
        <f t="shared" si="78"/>
        <v>97277.43</v>
      </c>
      <c r="ET47" s="66">
        <v>19096.349999999999</v>
      </c>
      <c r="EX47" s="144">
        <v>-90170.5</v>
      </c>
      <c r="FI47" s="66">
        <f t="shared" si="79"/>
        <v>0</v>
      </c>
      <c r="FJ47" s="66">
        <f t="shared" si="80"/>
        <v>0</v>
      </c>
      <c r="FK47" s="66">
        <f t="shared" si="81"/>
        <v>-71074.149999999994</v>
      </c>
      <c r="FL47" s="173">
        <f t="shared" si="82"/>
        <v>26203.279999999999</v>
      </c>
    </row>
    <row r="48" spans="1:170" hidden="1" outlineLevel="1" x14ac:dyDescent="0.2">
      <c r="A48" s="77" t="s">
        <v>23</v>
      </c>
      <c r="B48" s="76" t="s">
        <v>394</v>
      </c>
      <c r="C48" s="76" t="s">
        <v>507</v>
      </c>
      <c r="D48" s="76" t="s">
        <v>620</v>
      </c>
      <c r="E48" s="77" t="s">
        <v>215</v>
      </c>
      <c r="F48" s="77" t="s">
        <v>709</v>
      </c>
      <c r="G48" s="77" t="str">
        <f t="shared" si="101"/>
        <v>0</v>
      </c>
      <c r="H48" s="77" t="str">
        <f t="shared" si="102"/>
        <v>1</v>
      </c>
      <c r="I48" s="77" t="str">
        <f t="shared" si="103"/>
        <v>0</v>
      </c>
      <c r="J48" s="77" t="str">
        <f t="shared" si="104"/>
        <v>0</v>
      </c>
      <c r="K48" s="77" t="str">
        <f t="shared" si="105"/>
        <v>0100</v>
      </c>
      <c r="L48" s="77" t="str">
        <f>IFERROR(VLOOKUP(K48,Sheet2!$A$20:$B$23,2,FALSE),"X")</f>
        <v>02</v>
      </c>
      <c r="M48" s="77" t="str">
        <f t="shared" si="77"/>
        <v>08804383Connect For Success 18-21</v>
      </c>
      <c r="O48" s="76" t="s">
        <v>160</v>
      </c>
      <c r="P48" s="69" t="s">
        <v>168</v>
      </c>
      <c r="Q48" s="78"/>
      <c r="R48" s="78"/>
      <c r="AU48" s="158" t="s">
        <v>336</v>
      </c>
      <c r="AV48" s="79"/>
      <c r="AW48" s="79">
        <v>19878</v>
      </c>
      <c r="BV48" s="79">
        <f t="shared" si="106"/>
        <v>0</v>
      </c>
      <c r="BW48" s="79">
        <f t="shared" si="107"/>
        <v>0</v>
      </c>
      <c r="BX48" s="79">
        <f t="shared" si="108"/>
        <v>19878</v>
      </c>
      <c r="BY48" s="158" t="s">
        <v>341</v>
      </c>
      <c r="CA48" s="79">
        <v>79993</v>
      </c>
      <c r="DB48" s="79">
        <f t="shared" si="109"/>
        <v>0</v>
      </c>
      <c r="DC48" s="79">
        <f t="shared" si="110"/>
        <v>0</v>
      </c>
      <c r="DD48" s="79">
        <f t="shared" si="111"/>
        <v>0</v>
      </c>
      <c r="DE48" s="79">
        <f t="shared" si="112"/>
        <v>99871</v>
      </c>
      <c r="DG48" s="79">
        <v>87232</v>
      </c>
      <c r="DP48" s="131"/>
      <c r="EJ48" s="79">
        <f t="shared" si="113"/>
        <v>0</v>
      </c>
      <c r="EK48" s="79">
        <f t="shared" si="114"/>
        <v>0</v>
      </c>
      <c r="EL48" s="79">
        <f t="shared" si="115"/>
        <v>0</v>
      </c>
      <c r="EM48" s="79">
        <f t="shared" si="78"/>
        <v>187103</v>
      </c>
      <c r="EX48" s="144">
        <f>-(1205.65+83229.49+94893.77)</f>
        <v>-179328.91</v>
      </c>
      <c r="FI48" s="66">
        <f t="shared" si="79"/>
        <v>0</v>
      </c>
      <c r="FJ48" s="66">
        <f t="shared" si="80"/>
        <v>0</v>
      </c>
      <c r="FK48" s="66">
        <f t="shared" si="81"/>
        <v>-179328.91</v>
      </c>
      <c r="FL48" s="173">
        <f t="shared" si="82"/>
        <v>7774.0899999999965</v>
      </c>
    </row>
    <row r="49" spans="1:169" hidden="1" outlineLevel="1" x14ac:dyDescent="0.2">
      <c r="A49" s="76" t="s">
        <v>23</v>
      </c>
      <c r="B49" s="76" t="s">
        <v>329</v>
      </c>
      <c r="C49" s="76" t="s">
        <v>507</v>
      </c>
      <c r="D49" s="76" t="s">
        <v>330</v>
      </c>
      <c r="E49" s="77" t="s">
        <v>447</v>
      </c>
      <c r="F49" s="77" t="s">
        <v>709</v>
      </c>
      <c r="G49" s="77" t="str">
        <f t="shared" si="101"/>
        <v>0</v>
      </c>
      <c r="H49" s="77" t="str">
        <f t="shared" si="102"/>
        <v>1</v>
      </c>
      <c r="I49" s="77" t="str">
        <f t="shared" si="103"/>
        <v>0</v>
      </c>
      <c r="J49" s="77" t="str">
        <f t="shared" si="104"/>
        <v>0</v>
      </c>
      <c r="K49" s="77" t="str">
        <f t="shared" si="105"/>
        <v>0100</v>
      </c>
      <c r="L49" s="77" t="str">
        <f>IFERROR(VLOOKUP(K49,Sheet2!$A$20:$B$23,2,FALSE),"X")</f>
        <v>02</v>
      </c>
      <c r="M49" s="77" t="str">
        <f t="shared" si="77"/>
        <v>08804450Connect For Success 16-19</v>
      </c>
      <c r="N49" s="76" t="s">
        <v>323</v>
      </c>
      <c r="O49" s="76" t="s">
        <v>160</v>
      </c>
      <c r="P49" s="69" t="s">
        <v>168</v>
      </c>
      <c r="Q49" s="78">
        <v>43173</v>
      </c>
      <c r="R49" s="78">
        <v>43173</v>
      </c>
      <c r="S49" s="79">
        <v>0</v>
      </c>
      <c r="AR49" s="79">
        <f>SUMIF($T$2:$AQ$2,$AR$2,$T49:$AQ49)</f>
        <v>0</v>
      </c>
      <c r="AS49" s="79">
        <f>SUMIF($T$2:$AQ$2,$AS$2,$T49:$AQ49)</f>
        <v>0</v>
      </c>
      <c r="AT49" s="79">
        <f>S49+(AR49+AS49)</f>
        <v>0</v>
      </c>
      <c r="AV49" s="79"/>
      <c r="AW49" s="79">
        <v>102734</v>
      </c>
      <c r="BJ49" s="79">
        <v>-33630</v>
      </c>
      <c r="BP49" s="79">
        <v>-40700</v>
      </c>
      <c r="BV49" s="79">
        <f t="shared" si="106"/>
        <v>-74330</v>
      </c>
      <c r="BW49" s="79">
        <f t="shared" si="107"/>
        <v>0</v>
      </c>
      <c r="BX49" s="79">
        <f t="shared" si="108"/>
        <v>28404</v>
      </c>
      <c r="DB49" s="79">
        <f t="shared" si="109"/>
        <v>0</v>
      </c>
      <c r="DC49" s="79">
        <f t="shared" si="110"/>
        <v>0</v>
      </c>
      <c r="DD49" s="79">
        <f t="shared" si="111"/>
        <v>0</v>
      </c>
      <c r="DE49" s="79">
        <f t="shared" si="112"/>
        <v>28404</v>
      </c>
      <c r="DP49" s="131"/>
      <c r="DR49" s="79">
        <v>-25845.65</v>
      </c>
      <c r="EF49" s="79">
        <v>25845.65</v>
      </c>
      <c r="EG49" s="131">
        <f>-EF49</f>
        <v>-25845.65</v>
      </c>
      <c r="EJ49" s="79">
        <f t="shared" si="113"/>
        <v>-25845.65</v>
      </c>
      <c r="EK49" s="79">
        <f t="shared" si="114"/>
        <v>0</v>
      </c>
      <c r="EL49" s="79">
        <f t="shared" si="115"/>
        <v>0</v>
      </c>
      <c r="EM49" s="79">
        <f t="shared" si="78"/>
        <v>2558.3499999999985</v>
      </c>
      <c r="FI49" s="66">
        <f t="shared" si="79"/>
        <v>0</v>
      </c>
      <c r="FJ49" s="66">
        <f t="shared" si="80"/>
        <v>0</v>
      </c>
      <c r="FK49" s="66">
        <f t="shared" si="81"/>
        <v>0</v>
      </c>
      <c r="FL49" s="173">
        <f t="shared" si="82"/>
        <v>2558.3499999999985</v>
      </c>
    </row>
    <row r="50" spans="1:169" hidden="1" outlineLevel="1" x14ac:dyDescent="0.2">
      <c r="A50" s="76" t="s">
        <v>23</v>
      </c>
      <c r="B50" s="76" t="s">
        <v>66</v>
      </c>
      <c r="C50" s="76" t="s">
        <v>507</v>
      </c>
      <c r="D50" s="76" t="s">
        <v>331</v>
      </c>
      <c r="E50" s="77" t="s">
        <v>447</v>
      </c>
      <c r="F50" s="77" t="s">
        <v>709</v>
      </c>
      <c r="G50" s="77" t="str">
        <f t="shared" si="101"/>
        <v>0</v>
      </c>
      <c r="H50" s="77" t="str">
        <f t="shared" si="102"/>
        <v>1</v>
      </c>
      <c r="I50" s="77" t="str">
        <f t="shared" si="103"/>
        <v>0</v>
      </c>
      <c r="J50" s="77" t="str">
        <f t="shared" si="104"/>
        <v>0</v>
      </c>
      <c r="K50" s="77" t="str">
        <f t="shared" si="105"/>
        <v>0100</v>
      </c>
      <c r="L50" s="77" t="str">
        <f>IFERROR(VLOOKUP(K50,Sheet2!$A$20:$B$23,2,FALSE),"X")</f>
        <v>02</v>
      </c>
      <c r="M50" s="77" t="str">
        <f t="shared" si="77"/>
        <v>08804782Connect For Success 16-19</v>
      </c>
      <c r="N50" s="76" t="s">
        <v>323</v>
      </c>
      <c r="O50" s="76" t="s">
        <v>160</v>
      </c>
      <c r="P50" s="69" t="s">
        <v>168</v>
      </c>
      <c r="Q50" s="78">
        <v>43173</v>
      </c>
      <c r="R50" s="78">
        <v>43173</v>
      </c>
      <c r="S50" s="79">
        <v>0</v>
      </c>
      <c r="AR50" s="79">
        <f>SUMIF($T$2:$AQ$2,$AR$2,$T50:$AQ50)</f>
        <v>0</v>
      </c>
      <c r="AS50" s="79">
        <f>SUMIF($T$2:$AQ$2,$AS$2,$T50:$AQ50)</f>
        <v>0</v>
      </c>
      <c r="AT50" s="79">
        <f>S50+(AR50+AS50)</f>
        <v>0</v>
      </c>
      <c r="AV50" s="79"/>
      <c r="AW50" s="79">
        <v>107981</v>
      </c>
      <c r="BJ50" s="79">
        <v>-40275</v>
      </c>
      <c r="BP50" s="79">
        <v>-46708</v>
      </c>
      <c r="BV50" s="79">
        <f t="shared" si="106"/>
        <v>-86983</v>
      </c>
      <c r="BW50" s="79">
        <f t="shared" si="107"/>
        <v>0</v>
      </c>
      <c r="BX50" s="79">
        <f t="shared" si="108"/>
        <v>20998</v>
      </c>
      <c r="DB50" s="79">
        <f t="shared" si="109"/>
        <v>0</v>
      </c>
      <c r="DC50" s="79">
        <f t="shared" si="110"/>
        <v>0</v>
      </c>
      <c r="DD50" s="79">
        <f t="shared" si="111"/>
        <v>0</v>
      </c>
      <c r="DE50" s="79">
        <f t="shared" si="112"/>
        <v>20998</v>
      </c>
      <c r="DP50" s="131"/>
      <c r="EH50" s="79">
        <v>-20971.02</v>
      </c>
      <c r="EJ50" s="79">
        <f t="shared" si="113"/>
        <v>0</v>
      </c>
      <c r="EK50" s="79">
        <f t="shared" si="114"/>
        <v>-20971.02</v>
      </c>
      <c r="EL50" s="79">
        <f t="shared" si="115"/>
        <v>0</v>
      </c>
      <c r="EM50" s="79">
        <f t="shared" si="78"/>
        <v>26.979999999999563</v>
      </c>
      <c r="EX50" s="144">
        <f>-20971+20971</f>
        <v>0</v>
      </c>
      <c r="FI50" s="66">
        <f t="shared" si="79"/>
        <v>0</v>
      </c>
      <c r="FJ50" s="66">
        <f t="shared" si="80"/>
        <v>0</v>
      </c>
      <c r="FK50" s="66">
        <f t="shared" si="81"/>
        <v>0</v>
      </c>
      <c r="FL50" s="173">
        <f t="shared" si="82"/>
        <v>26.979999999999563</v>
      </c>
    </row>
    <row r="51" spans="1:169" s="118" customFormat="1" hidden="1" outlineLevel="1" x14ac:dyDescent="0.2">
      <c r="A51" s="118" t="s">
        <v>23</v>
      </c>
      <c r="B51" s="118" t="s">
        <v>416</v>
      </c>
      <c r="C51" s="118" t="s">
        <v>507</v>
      </c>
      <c r="D51" s="118" t="s">
        <v>539</v>
      </c>
      <c r="E51" s="119" t="s">
        <v>500</v>
      </c>
      <c r="F51" s="119"/>
      <c r="G51" s="119"/>
      <c r="H51" s="119"/>
      <c r="I51" s="119"/>
      <c r="J51" s="119"/>
      <c r="K51" s="119"/>
      <c r="L51" s="119"/>
      <c r="M51" s="119" t="str">
        <f t="shared" si="77"/>
        <v>08805255Connect For Success 20-23</v>
      </c>
      <c r="O51" s="118" t="s">
        <v>160</v>
      </c>
      <c r="P51" s="120"/>
      <c r="Q51" s="121"/>
      <c r="R51" s="121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60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60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60"/>
      <c r="DG51" s="122"/>
      <c r="DH51" s="122"/>
      <c r="DI51" s="122"/>
      <c r="DJ51" s="122">
        <v>20000</v>
      </c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31"/>
      <c r="EH51" s="122"/>
      <c r="EI51" s="122"/>
      <c r="EJ51" s="122"/>
      <c r="EK51" s="122"/>
      <c r="EL51" s="122"/>
      <c r="EM51" s="122">
        <f t="shared" si="78"/>
        <v>20000</v>
      </c>
      <c r="EN51" s="122"/>
      <c r="EO51" s="122"/>
      <c r="EP51" s="122"/>
      <c r="EQ51" s="122">
        <v>80000</v>
      </c>
      <c r="ER51" s="122"/>
      <c r="ES51" s="126"/>
      <c r="ET51" s="126"/>
      <c r="EU51" s="126"/>
      <c r="EV51" s="6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66">
        <f t="shared" si="79"/>
        <v>0</v>
      </c>
      <c r="FJ51" s="66">
        <f t="shared" si="80"/>
        <v>0</v>
      </c>
      <c r="FK51" s="66">
        <f t="shared" si="81"/>
        <v>0</v>
      </c>
      <c r="FL51" s="173">
        <f t="shared" si="82"/>
        <v>100000</v>
      </c>
      <c r="FM51" s="123"/>
    </row>
    <row r="52" spans="1:169" hidden="1" outlineLevel="1" x14ac:dyDescent="0.2">
      <c r="A52" s="77" t="s">
        <v>23</v>
      </c>
      <c r="B52" s="76" t="s">
        <v>395</v>
      </c>
      <c r="C52" s="76" t="s">
        <v>507</v>
      </c>
      <c r="D52" s="76" t="s">
        <v>621</v>
      </c>
      <c r="E52" s="77" t="s">
        <v>215</v>
      </c>
      <c r="F52" s="77" t="s">
        <v>709</v>
      </c>
      <c r="G52" s="77" t="str">
        <f>IF(S52&gt;0, "1", "0")</f>
        <v>0</v>
      </c>
      <c r="H52" s="77" t="str">
        <f>IF(AW52&gt;0, "1", "0")</f>
        <v>1</v>
      </c>
      <c r="I52" s="77" t="str">
        <f>IF(CC52&gt;0, "1", "0")</f>
        <v>0</v>
      </c>
      <c r="J52" s="77" t="str">
        <f>IF(DJ52&gt;0, "1", "0")</f>
        <v>0</v>
      </c>
      <c r="K52" s="77" t="str">
        <f>CONCATENATE(G52,H52,I52,J52)</f>
        <v>0100</v>
      </c>
      <c r="L52" s="77" t="str">
        <f>IFERROR(VLOOKUP(K52,Sheet2!$A$20:$B$23,2,FALSE),"X")</f>
        <v>02</v>
      </c>
      <c r="M52" s="77" t="str">
        <f t="shared" si="77"/>
        <v>08805621Connect For Success 18-21</v>
      </c>
      <c r="O52" s="76" t="s">
        <v>160</v>
      </c>
      <c r="P52" s="69" t="s">
        <v>168</v>
      </c>
      <c r="Q52" s="78"/>
      <c r="R52" s="78"/>
      <c r="AU52" s="158" t="s">
        <v>336</v>
      </c>
      <c r="AV52" s="79"/>
      <c r="AW52" s="79">
        <v>21452</v>
      </c>
      <c r="BV52" s="79">
        <f>SUMIF($AX$2:$BU$2,$BV$2,$AX52:$BU52)</f>
        <v>0</v>
      </c>
      <c r="BW52" s="79">
        <f>SUMIF($AX$2:$BU$2,$BW$2,$AX52:$BU52)</f>
        <v>0</v>
      </c>
      <c r="BX52" s="79">
        <f>AT52+AV52+AW52+(BV52+BW52)</f>
        <v>21452</v>
      </c>
      <c r="BY52" s="158" t="s">
        <v>341</v>
      </c>
      <c r="CA52" s="79">
        <v>78540</v>
      </c>
      <c r="CH52" s="79">
        <v>-2199</v>
      </c>
      <c r="DB52" s="79">
        <f>SUMIF($CD$2:$DA$2,$DB$2,$CD52:$DA52)</f>
        <v>0</v>
      </c>
      <c r="DC52" s="79">
        <f>SUMIF($CD$2:$DA$2,$DC$2,$CD52:$DA52)</f>
        <v>-2199</v>
      </c>
      <c r="DD52" s="79">
        <f>SUMIF($CD$2:$DA$2,$DD$2,$CD52:$DA52)</f>
        <v>0</v>
      </c>
      <c r="DE52" s="79">
        <f>BX52+CA52+BZ52+CC52+(DB52+DC52+DD52)</f>
        <v>97793</v>
      </c>
      <c r="DG52" s="79">
        <v>87232</v>
      </c>
      <c r="DP52" s="131">
        <v>-19253</v>
      </c>
      <c r="DR52" s="79">
        <v>-65009.31</v>
      </c>
      <c r="EF52" s="79">
        <v>65009.31</v>
      </c>
      <c r="EG52" s="131">
        <f>-EF52</f>
        <v>-65009.31</v>
      </c>
      <c r="EJ52" s="79">
        <f>SUMIF($DK$2:$EI$2,$EJ$2,$DK52:$EI52)</f>
        <v>-84262.31</v>
      </c>
      <c r="EK52" s="79">
        <f>SUMIF($DK$2:$EI$2,$EK$2,$DK52:$EI52)</f>
        <v>0</v>
      </c>
      <c r="EL52" s="79">
        <f>SUMIF($DK$2:$EI$2,$EL$2,$DK52:$EI52)</f>
        <v>0</v>
      </c>
      <c r="EM52" s="79">
        <f t="shared" si="78"/>
        <v>100762.69</v>
      </c>
      <c r="ET52" s="66">
        <v>19253</v>
      </c>
      <c r="EX52" s="144">
        <f>107821.06-107821.06</f>
        <v>0</v>
      </c>
      <c r="FI52" s="66">
        <f t="shared" si="79"/>
        <v>0</v>
      </c>
      <c r="FJ52" s="66">
        <f t="shared" si="80"/>
        <v>0</v>
      </c>
      <c r="FK52" s="66">
        <f t="shared" si="81"/>
        <v>19253</v>
      </c>
      <c r="FL52" s="173">
        <f t="shared" si="82"/>
        <v>120015.69</v>
      </c>
    </row>
    <row r="53" spans="1:169" s="118" customFormat="1" hidden="1" outlineLevel="1" x14ac:dyDescent="0.2">
      <c r="A53" s="119" t="s">
        <v>23</v>
      </c>
      <c r="B53" s="118" t="s">
        <v>420</v>
      </c>
      <c r="C53" s="118" t="s">
        <v>507</v>
      </c>
      <c r="D53" s="118" t="s">
        <v>544</v>
      </c>
      <c r="E53" s="119" t="s">
        <v>500</v>
      </c>
      <c r="F53" s="119"/>
      <c r="G53" s="119"/>
      <c r="H53" s="119"/>
      <c r="I53" s="119"/>
      <c r="J53" s="119"/>
      <c r="K53" s="119"/>
      <c r="L53" s="119"/>
      <c r="M53" s="119" t="str">
        <f t="shared" si="77"/>
        <v>08807163Connect For Success 20-23</v>
      </c>
      <c r="O53" s="118" t="s">
        <v>160</v>
      </c>
      <c r="P53" s="120"/>
      <c r="Q53" s="121"/>
      <c r="R53" s="121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60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60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60"/>
      <c r="DG53" s="122"/>
      <c r="DH53" s="122"/>
      <c r="DI53" s="122"/>
      <c r="DJ53" s="122">
        <v>20000</v>
      </c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31"/>
      <c r="EH53" s="122"/>
      <c r="EI53" s="122"/>
      <c r="EJ53" s="122"/>
      <c r="EK53" s="122"/>
      <c r="EL53" s="122"/>
      <c r="EM53" s="122">
        <f t="shared" si="78"/>
        <v>20000</v>
      </c>
      <c r="EN53" s="122"/>
      <c r="EO53" s="122"/>
      <c r="EP53" s="122"/>
      <c r="EQ53" s="122">
        <v>80000</v>
      </c>
      <c r="ER53" s="122"/>
      <c r="ES53" s="126"/>
      <c r="ET53" s="126"/>
      <c r="EU53" s="126"/>
      <c r="EV53" s="6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66">
        <f t="shared" si="79"/>
        <v>0</v>
      </c>
      <c r="FJ53" s="66">
        <f t="shared" si="80"/>
        <v>0</v>
      </c>
      <c r="FK53" s="66">
        <f t="shared" si="81"/>
        <v>0</v>
      </c>
      <c r="FL53" s="173">
        <f t="shared" si="82"/>
        <v>100000</v>
      </c>
      <c r="FM53" s="123"/>
    </row>
    <row r="54" spans="1:169" s="118" customFormat="1" hidden="1" outlineLevel="1" x14ac:dyDescent="0.2">
      <c r="A54" s="119" t="s">
        <v>23</v>
      </c>
      <c r="B54" s="118" t="s">
        <v>68</v>
      </c>
      <c r="C54" s="118" t="s">
        <v>507</v>
      </c>
      <c r="D54" s="118" t="s">
        <v>747</v>
      </c>
      <c r="E54" s="119" t="s">
        <v>500</v>
      </c>
      <c r="F54" s="119"/>
      <c r="G54" s="119"/>
      <c r="H54" s="119"/>
      <c r="I54" s="119"/>
      <c r="J54" s="119"/>
      <c r="K54" s="119"/>
      <c r="L54" s="119"/>
      <c r="M54" s="119" t="str">
        <f t="shared" si="77"/>
        <v>08807188Connect For Success 20-23</v>
      </c>
      <c r="O54" s="118" t="s">
        <v>160</v>
      </c>
      <c r="P54" s="120"/>
      <c r="Q54" s="121"/>
      <c r="R54" s="121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60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60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60"/>
      <c r="DG54" s="122"/>
      <c r="DH54" s="122"/>
      <c r="DI54" s="122"/>
      <c r="DJ54" s="122">
        <v>20000</v>
      </c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31"/>
      <c r="EH54" s="122"/>
      <c r="EI54" s="122"/>
      <c r="EJ54" s="122"/>
      <c r="EK54" s="122"/>
      <c r="EL54" s="122"/>
      <c r="EM54" s="122">
        <f t="shared" si="78"/>
        <v>20000</v>
      </c>
      <c r="EN54" s="122"/>
      <c r="EO54" s="122"/>
      <c r="EP54" s="122"/>
      <c r="EQ54" s="122">
        <v>80000</v>
      </c>
      <c r="ER54" s="122"/>
      <c r="ES54" s="126"/>
      <c r="ET54" s="126"/>
      <c r="EU54" s="126"/>
      <c r="EV54" s="6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66">
        <f t="shared" si="79"/>
        <v>0</v>
      </c>
      <c r="FJ54" s="66">
        <f t="shared" si="80"/>
        <v>0</v>
      </c>
      <c r="FK54" s="66">
        <f t="shared" si="81"/>
        <v>0</v>
      </c>
      <c r="FL54" s="173">
        <f t="shared" si="82"/>
        <v>100000</v>
      </c>
      <c r="FM54" s="123"/>
    </row>
    <row r="55" spans="1:169" hidden="1" outlineLevel="1" x14ac:dyDescent="0.2">
      <c r="A55" s="76" t="s">
        <v>23</v>
      </c>
      <c r="B55" s="76" t="s">
        <v>71</v>
      </c>
      <c r="C55" s="76" t="s">
        <v>507</v>
      </c>
      <c r="D55" s="76" t="s">
        <v>144</v>
      </c>
      <c r="E55" s="77" t="s">
        <v>212</v>
      </c>
      <c r="F55" s="77" t="s">
        <v>709</v>
      </c>
      <c r="G55" s="77" t="str">
        <f t="shared" ref="G55:G66" si="116">IF(S55&gt;0, "1", "0")</f>
        <v>1</v>
      </c>
      <c r="H55" s="77" t="str">
        <f t="shared" ref="H55:H66" si="117">IF(AW55&gt;0, "1", "0")</f>
        <v>0</v>
      </c>
      <c r="I55" s="77" t="str">
        <f t="shared" ref="I55:I66" si="118">IF(CC55&gt;0, "1", "0")</f>
        <v>0</v>
      </c>
      <c r="J55" s="77" t="str">
        <f t="shared" ref="J55:J66" si="119">IF(DJ55&gt;0, "1", "0")</f>
        <v>0</v>
      </c>
      <c r="K55" s="77" t="str">
        <f t="shared" ref="K55:K66" si="120">CONCATENATE(G55,H55,I55,J55)</f>
        <v>1000</v>
      </c>
      <c r="L55" s="77" t="str">
        <f>IFERROR(VLOOKUP(K55,Sheet2!$A$20:$B$23,2,FALSE),"X")</f>
        <v>01</v>
      </c>
      <c r="M55" s="77" t="str">
        <f t="shared" si="77"/>
        <v>08808006Connect For Success 17-20</v>
      </c>
      <c r="N55" s="76" t="s">
        <v>161</v>
      </c>
      <c r="O55" s="76" t="s">
        <v>160</v>
      </c>
      <c r="P55" s="69" t="s">
        <v>168</v>
      </c>
      <c r="Q55" s="78">
        <v>43173</v>
      </c>
      <c r="R55" s="78">
        <v>43173</v>
      </c>
      <c r="S55" s="79">
        <v>18433</v>
      </c>
      <c r="AR55" s="79">
        <f t="shared" ref="AR55:AR64" si="121">SUMIF($T$2:$AQ$2,$AR$2,$T55:$AQ55)</f>
        <v>0</v>
      </c>
      <c r="AS55" s="79">
        <f t="shared" ref="AS55:AS64" si="122">SUMIF($T$2:$AQ$2,$AS$2,$T55:$AQ55)</f>
        <v>0</v>
      </c>
      <c r="AT55" s="79">
        <f t="shared" ref="AT55:AT64" si="123">S55+(AR55+AS55)</f>
        <v>18433</v>
      </c>
      <c r="AU55" s="158" t="s">
        <v>161</v>
      </c>
      <c r="AV55" s="79">
        <v>80000</v>
      </c>
      <c r="BJ55" s="79">
        <v>-34945</v>
      </c>
      <c r="BP55" s="79">
        <v>-17596</v>
      </c>
      <c r="BV55" s="79">
        <f t="shared" ref="BV55:BV66" si="124">SUMIF($AX$2:$BU$2,$BV$2,$AX55:$BU55)</f>
        <v>-52541</v>
      </c>
      <c r="BW55" s="79">
        <f t="shared" ref="BW55:BW66" si="125">SUMIF($AX$2:$BU$2,$BW$2,$AX55:$BU55)</f>
        <v>0</v>
      </c>
      <c r="BX55" s="79">
        <f t="shared" ref="BX55:BX66" si="126">AT55+AV55+AW55+(BV55+BW55)</f>
        <v>45892</v>
      </c>
      <c r="CJ55" s="79">
        <v>-30386.240000000002</v>
      </c>
      <c r="DB55" s="79">
        <f t="shared" ref="DB55:DB66" si="127">SUMIF($CD$2:$DA$2,$DB$2,$CD55:$DA55)</f>
        <v>0</v>
      </c>
      <c r="DC55" s="79">
        <f t="shared" ref="DC55:DC66" si="128">SUMIF($CD$2:$DA$2,$DC$2,$CD55:$DA55)</f>
        <v>-30386.240000000002</v>
      </c>
      <c r="DD55" s="79">
        <f t="shared" ref="DD55:DD66" si="129">SUMIF($CD$2:$DA$2,$DD$2,$CD55:$DA55)</f>
        <v>0</v>
      </c>
      <c r="DE55" s="79">
        <f t="shared" ref="DE55:DE66" si="130">BX55+CA55+BZ55+CC55+(DB55+DC55+DD55)</f>
        <v>15505.759999999998</v>
      </c>
      <c r="DP55" s="131"/>
      <c r="DQ55" s="79">
        <v>-15505.76</v>
      </c>
      <c r="EJ55" s="79">
        <f t="shared" ref="EJ55:EJ66" si="131">SUMIF($DK$2:$EI$2,$EJ$2,$DK55:$EI55)</f>
        <v>0</v>
      </c>
      <c r="EK55" s="79">
        <f t="shared" ref="EK55:EK66" si="132">SUMIF($DK$2:$EI$2,$EK$2,$DK55:$EI55)</f>
        <v>-15505.76</v>
      </c>
      <c r="EL55" s="79">
        <f t="shared" ref="EL55:EL66" si="133">SUMIF($DK$2:$EI$2,$EL$2,$DK55:$EI55)</f>
        <v>0</v>
      </c>
      <c r="EM55" s="79">
        <f t="shared" si="78"/>
        <v>0</v>
      </c>
      <c r="EX55" s="144">
        <v>171.46</v>
      </c>
      <c r="FI55" s="66">
        <f t="shared" si="79"/>
        <v>0</v>
      </c>
      <c r="FJ55" s="66">
        <f t="shared" si="80"/>
        <v>0</v>
      </c>
      <c r="FK55" s="66">
        <f t="shared" si="81"/>
        <v>171.46</v>
      </c>
      <c r="FL55" s="173">
        <f t="shared" si="82"/>
        <v>171.46</v>
      </c>
    </row>
    <row r="56" spans="1:169" hidden="1" outlineLevel="1" x14ac:dyDescent="0.2">
      <c r="A56" s="76" t="s">
        <v>23</v>
      </c>
      <c r="B56" s="76" t="s">
        <v>34</v>
      </c>
      <c r="C56" s="76" t="s">
        <v>507</v>
      </c>
      <c r="D56" s="76" t="s">
        <v>111</v>
      </c>
      <c r="E56" s="77" t="s">
        <v>212</v>
      </c>
      <c r="F56" s="77" t="s">
        <v>709</v>
      </c>
      <c r="G56" s="77" t="str">
        <f t="shared" si="116"/>
        <v>1</v>
      </c>
      <c r="H56" s="77" t="str">
        <f t="shared" si="117"/>
        <v>0</v>
      </c>
      <c r="I56" s="77" t="str">
        <f t="shared" si="118"/>
        <v>0</v>
      </c>
      <c r="J56" s="77" t="str">
        <f t="shared" si="119"/>
        <v>0</v>
      </c>
      <c r="K56" s="77" t="str">
        <f t="shared" si="120"/>
        <v>1000</v>
      </c>
      <c r="L56" s="77" t="str">
        <f>IFERROR(VLOOKUP(K56,Sheet2!$A$20:$B$23,2,FALSE),"X")</f>
        <v>01</v>
      </c>
      <c r="M56" s="77" t="str">
        <f t="shared" si="77"/>
        <v>0880N/AConnect For Success 17-20</v>
      </c>
      <c r="N56" s="76" t="s">
        <v>161</v>
      </c>
      <c r="O56" s="76" t="s">
        <v>160</v>
      </c>
      <c r="P56" s="69" t="s">
        <v>168</v>
      </c>
      <c r="Q56" s="78">
        <v>43173</v>
      </c>
      <c r="R56" s="78">
        <v>43173</v>
      </c>
      <c r="S56" s="79">
        <v>1567</v>
      </c>
      <c r="AR56" s="79">
        <f t="shared" si="121"/>
        <v>0</v>
      </c>
      <c r="AS56" s="79">
        <f t="shared" si="122"/>
        <v>0</v>
      </c>
      <c r="AT56" s="79">
        <f t="shared" si="123"/>
        <v>1567</v>
      </c>
      <c r="AV56" s="79">
        <v>0</v>
      </c>
      <c r="BV56" s="79">
        <f t="shared" si="124"/>
        <v>0</v>
      </c>
      <c r="BW56" s="79">
        <f t="shared" si="125"/>
        <v>0</v>
      </c>
      <c r="BX56" s="79">
        <f t="shared" si="126"/>
        <v>1567</v>
      </c>
      <c r="DB56" s="79">
        <f t="shared" si="127"/>
        <v>0</v>
      </c>
      <c r="DC56" s="79">
        <f t="shared" si="128"/>
        <v>0</v>
      </c>
      <c r="DD56" s="79">
        <f t="shared" si="129"/>
        <v>0</v>
      </c>
      <c r="DE56" s="79">
        <f t="shared" si="130"/>
        <v>1567</v>
      </c>
      <c r="DP56" s="131"/>
      <c r="EJ56" s="79">
        <f t="shared" si="131"/>
        <v>0</v>
      </c>
      <c r="EK56" s="79">
        <f t="shared" si="132"/>
        <v>0</v>
      </c>
      <c r="EL56" s="79">
        <f t="shared" si="133"/>
        <v>0</v>
      </c>
      <c r="EM56" s="79">
        <f t="shared" si="78"/>
        <v>1567</v>
      </c>
      <c r="EX56" s="144">
        <f>-(3861.56+3820+1150.89+12238-16070.47-12328-2253)</f>
        <v>9581.0200000000023</v>
      </c>
      <c r="FI56" s="66">
        <f t="shared" si="79"/>
        <v>0</v>
      </c>
      <c r="FJ56" s="66">
        <f t="shared" si="80"/>
        <v>0</v>
      </c>
      <c r="FK56" s="66">
        <f t="shared" si="81"/>
        <v>9581.0200000000023</v>
      </c>
      <c r="FL56" s="173">
        <f t="shared" si="82"/>
        <v>11148.020000000002</v>
      </c>
    </row>
    <row r="57" spans="1:169" hidden="1" outlineLevel="1" x14ac:dyDescent="0.2">
      <c r="A57" s="88" t="s">
        <v>230</v>
      </c>
      <c r="B57" s="88" t="s">
        <v>630</v>
      </c>
      <c r="C57" s="88" t="s">
        <v>232</v>
      </c>
      <c r="D57" s="88" t="s">
        <v>636</v>
      </c>
      <c r="E57" s="89" t="s">
        <v>216</v>
      </c>
      <c r="F57" s="89" t="s">
        <v>709</v>
      </c>
      <c r="G57" s="77" t="str">
        <f t="shared" si="116"/>
        <v>0</v>
      </c>
      <c r="H57" s="77" t="str">
        <f t="shared" si="117"/>
        <v>0</v>
      </c>
      <c r="I57" s="77" t="str">
        <f t="shared" si="118"/>
        <v>1</v>
      </c>
      <c r="J57" s="77" t="str">
        <f t="shared" si="119"/>
        <v>0</v>
      </c>
      <c r="K57" s="77" t="str">
        <f t="shared" si="120"/>
        <v>0010</v>
      </c>
      <c r="L57" s="77" t="str">
        <f>IFERROR(VLOOKUP(K57,Sheet2!$A$20:$B$23,2,FALSE),"X")</f>
        <v>03</v>
      </c>
      <c r="M57" s="77" t="str">
        <f t="shared" si="77"/>
        <v>10101885Connect For Success 19-22</v>
      </c>
      <c r="N57" s="88"/>
      <c r="O57" s="88" t="s">
        <v>160</v>
      </c>
      <c r="P57" s="90" t="s">
        <v>168</v>
      </c>
      <c r="Q57" s="91"/>
      <c r="R57" s="91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>
        <f t="shared" si="121"/>
        <v>0</v>
      </c>
      <c r="AS57" s="92">
        <f t="shared" si="122"/>
        <v>0</v>
      </c>
      <c r="AT57" s="92">
        <f t="shared" si="123"/>
        <v>0</v>
      </c>
      <c r="AU57" s="161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>
        <f t="shared" si="124"/>
        <v>0</v>
      </c>
      <c r="BW57" s="92">
        <f t="shared" si="125"/>
        <v>0</v>
      </c>
      <c r="BX57" s="92">
        <f t="shared" si="126"/>
        <v>0</v>
      </c>
      <c r="BY57" s="161"/>
      <c r="BZ57" s="92"/>
      <c r="CA57" s="92"/>
      <c r="CB57" s="92"/>
      <c r="CC57" s="92">
        <v>21344</v>
      </c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>
        <f t="shared" si="127"/>
        <v>0</v>
      </c>
      <c r="DC57" s="92">
        <f t="shared" si="128"/>
        <v>0</v>
      </c>
      <c r="DD57" s="92">
        <f t="shared" si="129"/>
        <v>0</v>
      </c>
      <c r="DE57" s="92">
        <f t="shared" si="130"/>
        <v>21344</v>
      </c>
      <c r="DH57" s="103">
        <v>84800</v>
      </c>
      <c r="DM57" s="79">
        <v>-3387.22</v>
      </c>
      <c r="DP57" s="131"/>
      <c r="EE57" s="79">
        <v>-49376.12</v>
      </c>
      <c r="EJ57" s="79">
        <f t="shared" si="131"/>
        <v>0</v>
      </c>
      <c r="EK57" s="79">
        <f t="shared" si="132"/>
        <v>-52763.340000000004</v>
      </c>
      <c r="EL57" s="79">
        <f t="shared" si="133"/>
        <v>0</v>
      </c>
      <c r="EM57" s="79">
        <f t="shared" si="78"/>
        <v>53380.659999999996</v>
      </c>
      <c r="EP57" s="79">
        <v>85968</v>
      </c>
      <c r="ES57" s="144">
        <v>-16992.95</v>
      </c>
      <c r="ET57" s="144">
        <f>-3982.14</f>
        <v>-3982.14</v>
      </c>
      <c r="FC57" s="66">
        <f>-1459.84</f>
        <v>-1459.84</v>
      </c>
      <c r="FI57" s="66">
        <f t="shared" si="79"/>
        <v>0</v>
      </c>
      <c r="FJ57" s="66">
        <f t="shared" si="80"/>
        <v>0</v>
      </c>
      <c r="FK57" s="66">
        <f t="shared" si="81"/>
        <v>-22434.93</v>
      </c>
      <c r="FL57" s="173">
        <f t="shared" si="82"/>
        <v>116913.73000000001</v>
      </c>
    </row>
    <row r="58" spans="1:169" hidden="1" outlineLevel="1" x14ac:dyDescent="0.2">
      <c r="A58" s="76" t="s">
        <v>25</v>
      </c>
      <c r="B58" s="76" t="s">
        <v>278</v>
      </c>
      <c r="C58" s="76" t="s">
        <v>103</v>
      </c>
      <c r="D58" s="76" t="s">
        <v>285</v>
      </c>
      <c r="E58" s="77" t="s">
        <v>447</v>
      </c>
      <c r="F58" s="77" t="s">
        <v>709</v>
      </c>
      <c r="G58" s="77" t="str">
        <f t="shared" si="116"/>
        <v>0</v>
      </c>
      <c r="H58" s="77" t="str">
        <f t="shared" si="117"/>
        <v>1</v>
      </c>
      <c r="I58" s="77" t="str">
        <f t="shared" si="118"/>
        <v>0</v>
      </c>
      <c r="J58" s="77" t="str">
        <f t="shared" si="119"/>
        <v>0</v>
      </c>
      <c r="K58" s="77" t="str">
        <f t="shared" si="120"/>
        <v>0100</v>
      </c>
      <c r="L58" s="77" t="str">
        <f>IFERROR(VLOOKUP(K58,Sheet2!$A$20:$B$23,2,FALSE),"X")</f>
        <v>02</v>
      </c>
      <c r="M58" s="77" t="str">
        <f t="shared" si="77"/>
        <v>14200109Connect For Success 16-19</v>
      </c>
      <c r="N58" s="76" t="s">
        <v>323</v>
      </c>
      <c r="O58" s="76" t="s">
        <v>160</v>
      </c>
      <c r="P58" s="69" t="s">
        <v>168</v>
      </c>
      <c r="Q58" s="78">
        <v>43173</v>
      </c>
      <c r="R58" s="78">
        <v>43173</v>
      </c>
      <c r="S58" s="79">
        <v>0</v>
      </c>
      <c r="AR58" s="79">
        <f t="shared" si="121"/>
        <v>0</v>
      </c>
      <c r="AS58" s="79">
        <f t="shared" si="122"/>
        <v>0</v>
      </c>
      <c r="AT58" s="79">
        <f t="shared" si="123"/>
        <v>0</v>
      </c>
      <c r="AV58" s="79"/>
      <c r="AW58" s="79">
        <v>33651</v>
      </c>
      <c r="BV58" s="79">
        <f t="shared" si="124"/>
        <v>0</v>
      </c>
      <c r="BW58" s="79">
        <f t="shared" si="125"/>
        <v>0</v>
      </c>
      <c r="BX58" s="79">
        <f t="shared" si="126"/>
        <v>33651</v>
      </c>
      <c r="DB58" s="79">
        <f t="shared" si="127"/>
        <v>0</v>
      </c>
      <c r="DC58" s="79">
        <f t="shared" si="128"/>
        <v>0</v>
      </c>
      <c r="DD58" s="79">
        <f t="shared" si="129"/>
        <v>0</v>
      </c>
      <c r="DE58" s="79">
        <f t="shared" si="130"/>
        <v>33651</v>
      </c>
      <c r="DP58" s="131"/>
      <c r="EJ58" s="79">
        <f t="shared" si="131"/>
        <v>0</v>
      </c>
      <c r="EK58" s="79">
        <f t="shared" si="132"/>
        <v>0</v>
      </c>
      <c r="EL58" s="79">
        <f t="shared" si="133"/>
        <v>0</v>
      </c>
      <c r="EM58" s="79">
        <f t="shared" si="78"/>
        <v>33651</v>
      </c>
      <c r="FI58" s="66">
        <f t="shared" si="79"/>
        <v>0</v>
      </c>
      <c r="FJ58" s="66">
        <f t="shared" si="80"/>
        <v>0</v>
      </c>
      <c r="FK58" s="66">
        <f t="shared" si="81"/>
        <v>0</v>
      </c>
      <c r="FL58" s="173">
        <f t="shared" si="82"/>
        <v>33651</v>
      </c>
    </row>
    <row r="59" spans="1:169" hidden="1" outlineLevel="1" x14ac:dyDescent="0.2">
      <c r="A59" s="76" t="s">
        <v>25</v>
      </c>
      <c r="B59" s="76" t="s">
        <v>74</v>
      </c>
      <c r="C59" s="76" t="s">
        <v>103</v>
      </c>
      <c r="D59" s="76" t="s">
        <v>147</v>
      </c>
      <c r="E59" s="77" t="s">
        <v>212</v>
      </c>
      <c r="F59" s="77" t="s">
        <v>709</v>
      </c>
      <c r="G59" s="77" t="str">
        <f t="shared" si="116"/>
        <v>1</v>
      </c>
      <c r="H59" s="77" t="str">
        <f t="shared" si="117"/>
        <v>0</v>
      </c>
      <c r="I59" s="77" t="str">
        <f t="shared" si="118"/>
        <v>0</v>
      </c>
      <c r="J59" s="77" t="str">
        <f t="shared" si="119"/>
        <v>0</v>
      </c>
      <c r="K59" s="77" t="str">
        <f t="shared" si="120"/>
        <v>1000</v>
      </c>
      <c r="L59" s="77" t="str">
        <f>IFERROR(VLOOKUP(K59,Sheet2!$A$20:$B$23,2,FALSE),"X")</f>
        <v>01</v>
      </c>
      <c r="M59" s="77" t="str">
        <f t="shared" si="77"/>
        <v>14208793Connect For Success 17-20</v>
      </c>
      <c r="N59" s="76" t="s">
        <v>161</v>
      </c>
      <c r="O59" s="76" t="s">
        <v>160</v>
      </c>
      <c r="P59" s="69" t="s">
        <v>168</v>
      </c>
      <c r="Q59" s="78">
        <v>43173</v>
      </c>
      <c r="R59" s="78">
        <v>43173</v>
      </c>
      <c r="S59" s="79">
        <v>20000</v>
      </c>
      <c r="AR59" s="79">
        <f t="shared" si="121"/>
        <v>0</v>
      </c>
      <c r="AS59" s="79">
        <f t="shared" si="122"/>
        <v>0</v>
      </c>
      <c r="AT59" s="79">
        <f t="shared" si="123"/>
        <v>20000</v>
      </c>
      <c r="AU59" s="158" t="s">
        <v>161</v>
      </c>
      <c r="AV59" s="79">
        <v>80000</v>
      </c>
      <c r="AZ59" s="79">
        <v>-14649</v>
      </c>
      <c r="BF59" s="79">
        <v>-30136</v>
      </c>
      <c r="BH59" s="79">
        <v>-5493</v>
      </c>
      <c r="BJ59" s="79">
        <v>-5302</v>
      </c>
      <c r="BL59" s="79">
        <v>-5302</v>
      </c>
      <c r="BN59" s="79">
        <v>-5302</v>
      </c>
      <c r="BP59" s="79">
        <v>-5302</v>
      </c>
      <c r="BR59" s="79">
        <v>-11003</v>
      </c>
      <c r="BT59" s="79">
        <v>-5302</v>
      </c>
      <c r="BV59" s="79">
        <f t="shared" si="124"/>
        <v>-87791</v>
      </c>
      <c r="BW59" s="79">
        <f t="shared" si="125"/>
        <v>0</v>
      </c>
      <c r="BX59" s="79">
        <f t="shared" si="126"/>
        <v>12209</v>
      </c>
      <c r="BY59" s="158" t="s">
        <v>341</v>
      </c>
      <c r="BZ59" s="79">
        <v>80000</v>
      </c>
      <c r="CD59" s="79">
        <v>-5302</v>
      </c>
      <c r="CH59" s="79">
        <v>-5876</v>
      </c>
      <c r="CL59" s="79">
        <f>-1031-35298.04</f>
        <v>-36329.040000000001</v>
      </c>
      <c r="CN59" s="79">
        <v>-5311.32</v>
      </c>
      <c r="CP59" s="79">
        <v>-8192.42</v>
      </c>
      <c r="CT59" s="79">
        <v>-3191.05</v>
      </c>
      <c r="DB59" s="79">
        <f t="shared" si="127"/>
        <v>-5302</v>
      </c>
      <c r="DC59" s="79">
        <f t="shared" si="128"/>
        <v>-58899.83</v>
      </c>
      <c r="DD59" s="79">
        <f t="shared" si="129"/>
        <v>0</v>
      </c>
      <c r="DE59" s="79">
        <f t="shared" si="130"/>
        <v>28007.17</v>
      </c>
      <c r="DK59" s="79">
        <v>-28007.17</v>
      </c>
      <c r="DP59" s="131"/>
      <c r="EJ59" s="79">
        <f t="shared" si="131"/>
        <v>0</v>
      </c>
      <c r="EK59" s="79">
        <f t="shared" si="132"/>
        <v>-28007.17</v>
      </c>
      <c r="EL59" s="79">
        <f t="shared" si="133"/>
        <v>0</v>
      </c>
      <c r="EM59" s="79">
        <f t="shared" si="78"/>
        <v>0</v>
      </c>
      <c r="FI59" s="66">
        <f t="shared" si="79"/>
        <v>0</v>
      </c>
      <c r="FJ59" s="66">
        <f t="shared" si="80"/>
        <v>0</v>
      </c>
      <c r="FK59" s="66">
        <f t="shared" si="81"/>
        <v>0</v>
      </c>
      <c r="FL59" s="173">
        <f t="shared" si="82"/>
        <v>0</v>
      </c>
    </row>
    <row r="60" spans="1:169" hidden="1" outlineLevel="1" x14ac:dyDescent="0.2">
      <c r="A60" s="76" t="s">
        <v>26</v>
      </c>
      <c r="B60" s="76" t="s">
        <v>75</v>
      </c>
      <c r="C60" s="76" t="s">
        <v>104</v>
      </c>
      <c r="D60" s="76" t="s">
        <v>148</v>
      </c>
      <c r="E60" s="77" t="s">
        <v>212</v>
      </c>
      <c r="F60" s="77" t="s">
        <v>709</v>
      </c>
      <c r="G60" s="77" t="str">
        <f t="shared" si="116"/>
        <v>1</v>
      </c>
      <c r="H60" s="77" t="str">
        <f t="shared" si="117"/>
        <v>0</v>
      </c>
      <c r="I60" s="77" t="str">
        <f t="shared" si="118"/>
        <v>0</v>
      </c>
      <c r="J60" s="77" t="str">
        <f t="shared" si="119"/>
        <v>0</v>
      </c>
      <c r="K60" s="77" t="str">
        <f t="shared" si="120"/>
        <v>1000</v>
      </c>
      <c r="L60" s="77" t="str">
        <f>IFERROR(VLOOKUP(K60,Sheet2!$A$20:$B$23,2,FALSE),"X")</f>
        <v>01</v>
      </c>
      <c r="M60" s="77" t="str">
        <f t="shared" si="77"/>
        <v>15404252Connect For Success 17-20</v>
      </c>
      <c r="N60" s="76" t="s">
        <v>161</v>
      </c>
      <c r="O60" s="76" t="s">
        <v>160</v>
      </c>
      <c r="P60" s="69" t="s">
        <v>168</v>
      </c>
      <c r="Q60" s="78">
        <v>43173</v>
      </c>
      <c r="R60" s="78">
        <v>43173</v>
      </c>
      <c r="S60" s="79">
        <v>20000</v>
      </c>
      <c r="AR60" s="79">
        <f t="shared" si="121"/>
        <v>0</v>
      </c>
      <c r="AS60" s="79">
        <f t="shared" si="122"/>
        <v>0</v>
      </c>
      <c r="AT60" s="79">
        <f t="shared" si="123"/>
        <v>20000</v>
      </c>
      <c r="AU60" s="158" t="s">
        <v>161</v>
      </c>
      <c r="AV60" s="79">
        <v>80000</v>
      </c>
      <c r="BF60" s="79">
        <v>-20000</v>
      </c>
      <c r="BV60" s="79">
        <f t="shared" si="124"/>
        <v>-20000</v>
      </c>
      <c r="BW60" s="79">
        <f t="shared" si="125"/>
        <v>0</v>
      </c>
      <c r="BX60" s="79">
        <f t="shared" si="126"/>
        <v>80000</v>
      </c>
      <c r="BY60" s="158" t="s">
        <v>341</v>
      </c>
      <c r="BZ60" s="79">
        <v>80000</v>
      </c>
      <c r="CD60" s="79">
        <v>-80000</v>
      </c>
      <c r="DB60" s="79">
        <f t="shared" si="127"/>
        <v>-80000</v>
      </c>
      <c r="DC60" s="79">
        <f t="shared" si="128"/>
        <v>0</v>
      </c>
      <c r="DD60" s="79">
        <f t="shared" si="129"/>
        <v>0</v>
      </c>
      <c r="DE60" s="79">
        <f t="shared" si="130"/>
        <v>80000</v>
      </c>
      <c r="DK60" s="79">
        <v>-80000</v>
      </c>
      <c r="DP60" s="131"/>
      <c r="EJ60" s="79">
        <f t="shared" si="131"/>
        <v>0</v>
      </c>
      <c r="EK60" s="79">
        <f t="shared" si="132"/>
        <v>-80000</v>
      </c>
      <c r="EL60" s="79">
        <f t="shared" si="133"/>
        <v>0</v>
      </c>
      <c r="EM60" s="79">
        <f t="shared" si="78"/>
        <v>0</v>
      </c>
      <c r="FI60" s="66">
        <f t="shared" si="79"/>
        <v>0</v>
      </c>
      <c r="FJ60" s="66">
        <f t="shared" si="80"/>
        <v>0</v>
      </c>
      <c r="FK60" s="66">
        <f t="shared" si="81"/>
        <v>0</v>
      </c>
      <c r="FL60" s="173">
        <f t="shared" si="82"/>
        <v>0</v>
      </c>
    </row>
    <row r="61" spans="1:169" hidden="1" outlineLevel="1" x14ac:dyDescent="0.2">
      <c r="A61" s="76" t="s">
        <v>29</v>
      </c>
      <c r="B61" s="76" t="s">
        <v>83</v>
      </c>
      <c r="C61" s="76" t="s">
        <v>695</v>
      </c>
      <c r="D61" s="76" t="s">
        <v>155</v>
      </c>
      <c r="E61" s="77" t="s">
        <v>212</v>
      </c>
      <c r="F61" s="77" t="s">
        <v>709</v>
      </c>
      <c r="G61" s="77" t="str">
        <f t="shared" si="116"/>
        <v>1</v>
      </c>
      <c r="H61" s="77" t="str">
        <f t="shared" si="117"/>
        <v>0</v>
      </c>
      <c r="I61" s="77" t="str">
        <f t="shared" si="118"/>
        <v>0</v>
      </c>
      <c r="J61" s="77" t="str">
        <f t="shared" si="119"/>
        <v>0</v>
      </c>
      <c r="K61" s="77" t="str">
        <f t="shared" si="120"/>
        <v>1000</v>
      </c>
      <c r="L61" s="77" t="str">
        <f>IFERROR(VLOOKUP(K61,Sheet2!$A$20:$B$23,2,FALSE),"X")</f>
        <v>01</v>
      </c>
      <c r="M61" s="77" t="str">
        <f t="shared" si="77"/>
        <v>16200058Connect For Success 17-20</v>
      </c>
      <c r="N61" s="76" t="s">
        <v>161</v>
      </c>
      <c r="O61" s="76" t="s">
        <v>160</v>
      </c>
      <c r="P61" s="69" t="s">
        <v>168</v>
      </c>
      <c r="Q61" s="78">
        <v>43173</v>
      </c>
      <c r="R61" s="78">
        <v>43173</v>
      </c>
      <c r="S61" s="79">
        <v>19946</v>
      </c>
      <c r="AN61" s="79">
        <v>-2300</v>
      </c>
      <c r="AR61" s="79">
        <f t="shared" si="121"/>
        <v>-2300</v>
      </c>
      <c r="AS61" s="79">
        <f t="shared" si="122"/>
        <v>0</v>
      </c>
      <c r="AT61" s="79">
        <f t="shared" si="123"/>
        <v>17646</v>
      </c>
      <c r="AU61" s="158" t="s">
        <v>161</v>
      </c>
      <c r="AV61" s="79">
        <v>79560</v>
      </c>
      <c r="BD61" s="79">
        <v>-17646</v>
      </c>
      <c r="BH61" s="79">
        <v>-16415</v>
      </c>
      <c r="BP61" s="79">
        <v>-63145</v>
      </c>
      <c r="BV61" s="79">
        <f t="shared" si="124"/>
        <v>-97206</v>
      </c>
      <c r="BW61" s="79">
        <f t="shared" si="125"/>
        <v>0</v>
      </c>
      <c r="BX61" s="79">
        <f t="shared" si="126"/>
        <v>0</v>
      </c>
      <c r="BY61" s="158" t="s">
        <v>336</v>
      </c>
      <c r="BZ61" s="79">
        <v>80000</v>
      </c>
      <c r="DB61" s="79">
        <f t="shared" si="127"/>
        <v>0</v>
      </c>
      <c r="DC61" s="79">
        <f t="shared" si="128"/>
        <v>0</v>
      </c>
      <c r="DD61" s="79">
        <f t="shared" si="129"/>
        <v>0</v>
      </c>
      <c r="DE61" s="79">
        <f t="shared" si="130"/>
        <v>80000</v>
      </c>
      <c r="DP61" s="131"/>
      <c r="DS61" s="79">
        <v>-80000</v>
      </c>
      <c r="EJ61" s="79">
        <f t="shared" si="131"/>
        <v>0</v>
      </c>
      <c r="EK61" s="79">
        <f t="shared" si="132"/>
        <v>-80000</v>
      </c>
      <c r="EL61" s="79">
        <f t="shared" si="133"/>
        <v>0</v>
      </c>
      <c r="EM61" s="79">
        <f t="shared" si="78"/>
        <v>0</v>
      </c>
      <c r="FI61" s="66">
        <f t="shared" si="79"/>
        <v>0</v>
      </c>
      <c r="FJ61" s="66">
        <f t="shared" si="80"/>
        <v>0</v>
      </c>
      <c r="FK61" s="66">
        <f t="shared" si="81"/>
        <v>0</v>
      </c>
      <c r="FL61" s="173">
        <f t="shared" si="82"/>
        <v>0</v>
      </c>
    </row>
    <row r="62" spans="1:169" hidden="1" outlineLevel="1" x14ac:dyDescent="0.2">
      <c r="A62" s="88" t="s">
        <v>627</v>
      </c>
      <c r="B62" s="88" t="s">
        <v>631</v>
      </c>
      <c r="C62" s="88" t="s">
        <v>633</v>
      </c>
      <c r="D62" s="88" t="s">
        <v>637</v>
      </c>
      <c r="E62" s="89" t="s">
        <v>216</v>
      </c>
      <c r="F62" s="89" t="s">
        <v>709</v>
      </c>
      <c r="G62" s="77" t="str">
        <f t="shared" si="116"/>
        <v>0</v>
      </c>
      <c r="H62" s="77" t="str">
        <f t="shared" si="117"/>
        <v>0</v>
      </c>
      <c r="I62" s="77" t="str">
        <f t="shared" si="118"/>
        <v>1</v>
      </c>
      <c r="J62" s="77" t="str">
        <f t="shared" si="119"/>
        <v>0</v>
      </c>
      <c r="K62" s="77" t="str">
        <f t="shared" si="120"/>
        <v>0010</v>
      </c>
      <c r="L62" s="77" t="str">
        <f>IFERROR(VLOOKUP(K62,Sheet2!$A$20:$B$23,2,FALSE),"X")</f>
        <v>03</v>
      </c>
      <c r="M62" s="77" t="str">
        <f t="shared" si="77"/>
        <v>25204841Connect For Success 19-22</v>
      </c>
      <c r="N62" s="88"/>
      <c r="O62" s="88" t="s">
        <v>160</v>
      </c>
      <c r="P62" s="90" t="s">
        <v>168</v>
      </c>
      <c r="Q62" s="91"/>
      <c r="R62" s="91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 t="shared" si="121"/>
        <v>0</v>
      </c>
      <c r="AS62" s="92">
        <f t="shared" si="122"/>
        <v>0</v>
      </c>
      <c r="AT62" s="92">
        <f t="shared" si="123"/>
        <v>0</v>
      </c>
      <c r="AU62" s="161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>
        <f t="shared" si="124"/>
        <v>0</v>
      </c>
      <c r="BW62" s="92">
        <f t="shared" si="125"/>
        <v>0</v>
      </c>
      <c r="BX62" s="92">
        <f t="shared" si="126"/>
        <v>0</v>
      </c>
      <c r="BY62" s="161"/>
      <c r="BZ62" s="92"/>
      <c r="CA62" s="92"/>
      <c r="CB62" s="92"/>
      <c r="CC62" s="92">
        <v>21418</v>
      </c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>
        <f t="shared" si="127"/>
        <v>0</v>
      </c>
      <c r="DC62" s="92">
        <f t="shared" si="128"/>
        <v>0</v>
      </c>
      <c r="DD62" s="92">
        <f t="shared" si="129"/>
        <v>0</v>
      </c>
      <c r="DE62" s="92">
        <f t="shared" si="130"/>
        <v>21418</v>
      </c>
      <c r="DH62" s="103">
        <v>80000</v>
      </c>
      <c r="DP62" s="131"/>
      <c r="EJ62" s="79">
        <f t="shared" si="131"/>
        <v>0</v>
      </c>
      <c r="EK62" s="79">
        <f t="shared" si="132"/>
        <v>0</v>
      </c>
      <c r="EL62" s="79">
        <f t="shared" si="133"/>
        <v>0</v>
      </c>
      <c r="EM62" s="79">
        <f t="shared" si="78"/>
        <v>101418</v>
      </c>
      <c r="EP62" s="79">
        <v>87624</v>
      </c>
      <c r="FI62" s="66">
        <f t="shared" si="79"/>
        <v>0</v>
      </c>
      <c r="FJ62" s="66">
        <f t="shared" si="80"/>
        <v>0</v>
      </c>
      <c r="FK62" s="66">
        <f t="shared" si="81"/>
        <v>0</v>
      </c>
      <c r="FL62" s="173">
        <f t="shared" si="82"/>
        <v>189042</v>
      </c>
    </row>
    <row r="63" spans="1:169" hidden="1" outlineLevel="1" x14ac:dyDescent="0.2">
      <c r="A63" s="89" t="s">
        <v>627</v>
      </c>
      <c r="B63" s="89" t="s">
        <v>632</v>
      </c>
      <c r="C63" s="88" t="s">
        <v>633</v>
      </c>
      <c r="D63" s="88" t="s">
        <v>638</v>
      </c>
      <c r="E63" s="89" t="s">
        <v>216</v>
      </c>
      <c r="F63" s="89" t="s">
        <v>709</v>
      </c>
      <c r="G63" s="77" t="str">
        <f t="shared" si="116"/>
        <v>0</v>
      </c>
      <c r="H63" s="77" t="str">
        <f t="shared" si="117"/>
        <v>0</v>
      </c>
      <c r="I63" s="77" t="str">
        <f t="shared" si="118"/>
        <v>1</v>
      </c>
      <c r="J63" s="77" t="str">
        <f t="shared" si="119"/>
        <v>0</v>
      </c>
      <c r="K63" s="77" t="str">
        <f t="shared" si="120"/>
        <v>0010</v>
      </c>
      <c r="L63" s="77" t="str">
        <f>IFERROR(VLOOKUP(K63,Sheet2!$A$20:$B$23,2,FALSE),"X")</f>
        <v>03</v>
      </c>
      <c r="M63" s="77" t="str">
        <f t="shared" si="77"/>
        <v>25204843Connect For Success 19-22</v>
      </c>
      <c r="N63" s="88"/>
      <c r="O63" s="88" t="s">
        <v>160</v>
      </c>
      <c r="P63" s="90" t="s">
        <v>168</v>
      </c>
      <c r="Q63" s="91"/>
      <c r="R63" s="91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>
        <f t="shared" si="121"/>
        <v>0</v>
      </c>
      <c r="AS63" s="92">
        <f t="shared" si="122"/>
        <v>0</v>
      </c>
      <c r="AT63" s="92">
        <f t="shared" si="123"/>
        <v>0</v>
      </c>
      <c r="AU63" s="161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>
        <f t="shared" si="124"/>
        <v>0</v>
      </c>
      <c r="BW63" s="92">
        <f t="shared" si="125"/>
        <v>0</v>
      </c>
      <c r="BX63" s="92">
        <f t="shared" si="126"/>
        <v>0</v>
      </c>
      <c r="BY63" s="161"/>
      <c r="BZ63" s="92"/>
      <c r="CA63" s="92"/>
      <c r="CB63" s="92"/>
      <c r="CC63" s="92">
        <v>21418</v>
      </c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>
        <f t="shared" si="127"/>
        <v>0</v>
      </c>
      <c r="DC63" s="92">
        <f t="shared" si="128"/>
        <v>0</v>
      </c>
      <c r="DD63" s="92">
        <f t="shared" si="129"/>
        <v>0</v>
      </c>
      <c r="DE63" s="92">
        <f t="shared" si="130"/>
        <v>21418</v>
      </c>
      <c r="DH63" s="103">
        <v>80000</v>
      </c>
      <c r="DP63" s="131"/>
      <c r="EJ63" s="79">
        <f t="shared" si="131"/>
        <v>0</v>
      </c>
      <c r="EK63" s="79">
        <f t="shared" si="132"/>
        <v>0</v>
      </c>
      <c r="EL63" s="79">
        <f t="shared" si="133"/>
        <v>0</v>
      </c>
      <c r="EM63" s="79">
        <f t="shared" si="78"/>
        <v>101418</v>
      </c>
      <c r="EP63" s="79">
        <v>87624</v>
      </c>
      <c r="FI63" s="66">
        <f t="shared" si="79"/>
        <v>0</v>
      </c>
      <c r="FJ63" s="66">
        <f t="shared" si="80"/>
        <v>0</v>
      </c>
      <c r="FK63" s="66">
        <f t="shared" si="81"/>
        <v>0</v>
      </c>
      <c r="FL63" s="173">
        <f t="shared" si="82"/>
        <v>189042</v>
      </c>
    </row>
    <row r="64" spans="1:169" hidden="1" outlineLevel="1" x14ac:dyDescent="0.2">
      <c r="A64" s="77" t="s">
        <v>332</v>
      </c>
      <c r="B64" s="77" t="s">
        <v>333</v>
      </c>
      <c r="C64" s="76" t="s">
        <v>334</v>
      </c>
      <c r="D64" s="76" t="s">
        <v>335</v>
      </c>
      <c r="E64" s="77" t="s">
        <v>447</v>
      </c>
      <c r="F64" s="77" t="s">
        <v>709</v>
      </c>
      <c r="G64" s="77" t="str">
        <f t="shared" si="116"/>
        <v>0</v>
      </c>
      <c r="H64" s="77" t="str">
        <f t="shared" si="117"/>
        <v>1</v>
      </c>
      <c r="I64" s="77" t="str">
        <f t="shared" si="118"/>
        <v>0</v>
      </c>
      <c r="J64" s="77" t="str">
        <f t="shared" si="119"/>
        <v>0</v>
      </c>
      <c r="K64" s="77" t="str">
        <f t="shared" si="120"/>
        <v>0100</v>
      </c>
      <c r="L64" s="77" t="str">
        <f>IFERROR(VLOOKUP(K64,Sheet2!$A$20:$B$23,2,FALSE),"X")</f>
        <v>02</v>
      </c>
      <c r="M64" s="77" t="str">
        <f t="shared" si="77"/>
        <v>27406036Connect For Success 16-19</v>
      </c>
      <c r="N64" s="76" t="s">
        <v>323</v>
      </c>
      <c r="O64" s="76" t="s">
        <v>160</v>
      </c>
      <c r="P64" s="69" t="s">
        <v>168</v>
      </c>
      <c r="Q64" s="78">
        <v>43173</v>
      </c>
      <c r="R64" s="78">
        <v>43173</v>
      </c>
      <c r="S64" s="79">
        <v>0</v>
      </c>
      <c r="AR64" s="79">
        <f t="shared" si="121"/>
        <v>0</v>
      </c>
      <c r="AS64" s="79">
        <f t="shared" si="122"/>
        <v>0</v>
      </c>
      <c r="AT64" s="79">
        <f t="shared" si="123"/>
        <v>0</v>
      </c>
      <c r="AV64" s="79"/>
      <c r="AW64" s="79">
        <v>93559</v>
      </c>
      <c r="BN64" s="79">
        <v>-41198</v>
      </c>
      <c r="BV64" s="79">
        <f t="shared" si="124"/>
        <v>-41198</v>
      </c>
      <c r="BW64" s="79">
        <f t="shared" si="125"/>
        <v>0</v>
      </c>
      <c r="BX64" s="79">
        <f t="shared" si="126"/>
        <v>52361</v>
      </c>
      <c r="CD64" s="79">
        <f>-4455-43451</f>
        <v>-47906</v>
      </c>
      <c r="DB64" s="79">
        <f t="shared" si="127"/>
        <v>-47906</v>
      </c>
      <c r="DC64" s="79">
        <f t="shared" si="128"/>
        <v>0</v>
      </c>
      <c r="DD64" s="79">
        <f t="shared" si="129"/>
        <v>0</v>
      </c>
      <c r="DE64" s="79">
        <f t="shared" si="130"/>
        <v>4455</v>
      </c>
      <c r="DP64" s="131"/>
      <c r="EJ64" s="79">
        <f t="shared" si="131"/>
        <v>0</v>
      </c>
      <c r="EK64" s="79">
        <f t="shared" si="132"/>
        <v>0</v>
      </c>
      <c r="EL64" s="79">
        <f t="shared" si="133"/>
        <v>0</v>
      </c>
      <c r="EM64" s="79">
        <f t="shared" si="78"/>
        <v>4455</v>
      </c>
      <c r="FI64" s="66">
        <f t="shared" si="79"/>
        <v>0</v>
      </c>
      <c r="FJ64" s="66">
        <f t="shared" si="80"/>
        <v>0</v>
      </c>
      <c r="FK64" s="66">
        <f t="shared" si="81"/>
        <v>0</v>
      </c>
      <c r="FL64" s="173">
        <f t="shared" si="82"/>
        <v>4455</v>
      </c>
    </row>
    <row r="65" spans="1:168" hidden="1" outlineLevel="1" x14ac:dyDescent="0.2">
      <c r="A65" s="77" t="s">
        <v>386</v>
      </c>
      <c r="B65" s="76" t="s">
        <v>396</v>
      </c>
      <c r="C65" s="76" t="s">
        <v>527</v>
      </c>
      <c r="D65" s="76" t="s">
        <v>622</v>
      </c>
      <c r="E65" s="77" t="s">
        <v>215</v>
      </c>
      <c r="F65" s="77" t="s">
        <v>709</v>
      </c>
      <c r="G65" s="77" t="str">
        <f t="shared" si="116"/>
        <v>0</v>
      </c>
      <c r="H65" s="77" t="str">
        <f t="shared" si="117"/>
        <v>1</v>
      </c>
      <c r="I65" s="77" t="str">
        <f t="shared" si="118"/>
        <v>0</v>
      </c>
      <c r="J65" s="77" t="str">
        <f t="shared" si="119"/>
        <v>0</v>
      </c>
      <c r="K65" s="77" t="str">
        <f t="shared" si="120"/>
        <v>0100</v>
      </c>
      <c r="L65" s="77" t="str">
        <f>IFERROR(VLOOKUP(K65,Sheet2!$A$20:$B$23,2,FALSE),"X")</f>
        <v>02</v>
      </c>
      <c r="M65" s="77" t="str">
        <f t="shared" si="77"/>
        <v>80010655Connect For Success 18-21</v>
      </c>
      <c r="O65" s="76" t="s">
        <v>160</v>
      </c>
      <c r="P65" s="69" t="s">
        <v>168</v>
      </c>
      <c r="Q65" s="78"/>
      <c r="R65" s="78"/>
      <c r="AU65" s="158" t="s">
        <v>336</v>
      </c>
      <c r="AV65" s="79"/>
      <c r="AW65" s="79">
        <v>20000</v>
      </c>
      <c r="BV65" s="79">
        <f t="shared" si="124"/>
        <v>0</v>
      </c>
      <c r="BW65" s="79">
        <f t="shared" si="125"/>
        <v>0</v>
      </c>
      <c r="BX65" s="79">
        <f t="shared" si="126"/>
        <v>20000</v>
      </c>
      <c r="BY65" s="158" t="s">
        <v>336</v>
      </c>
      <c r="CA65" s="79">
        <v>80000</v>
      </c>
      <c r="CF65" s="79">
        <v>-15907</v>
      </c>
      <c r="CX65" s="79">
        <f>-4093-47946</f>
        <v>-52039</v>
      </c>
      <c r="CZ65" s="79">
        <v>-11273</v>
      </c>
      <c r="DB65" s="79">
        <f t="shared" si="127"/>
        <v>-15907</v>
      </c>
      <c r="DC65" s="79">
        <f t="shared" si="128"/>
        <v>-63312</v>
      </c>
      <c r="DD65" s="79">
        <f t="shared" si="129"/>
        <v>0</v>
      </c>
      <c r="DE65" s="79">
        <f t="shared" si="130"/>
        <v>20781</v>
      </c>
      <c r="DG65" s="79">
        <v>80000</v>
      </c>
      <c r="DK65" s="79">
        <v>-19931</v>
      </c>
      <c r="DP65" s="131"/>
      <c r="EE65" s="79">
        <f>-(50321+7333)</f>
        <v>-57654</v>
      </c>
      <c r="EJ65" s="79">
        <f t="shared" si="131"/>
        <v>0</v>
      </c>
      <c r="EK65" s="79">
        <f t="shared" si="132"/>
        <v>-77585</v>
      </c>
      <c r="EL65" s="79">
        <f t="shared" si="133"/>
        <v>0</v>
      </c>
      <c r="EM65" s="79">
        <f t="shared" si="78"/>
        <v>23196</v>
      </c>
      <c r="ES65" s="144">
        <v>-10596</v>
      </c>
      <c r="ET65" s="144">
        <v>-11500</v>
      </c>
      <c r="FI65" s="66">
        <f t="shared" si="79"/>
        <v>0</v>
      </c>
      <c r="FJ65" s="66">
        <f t="shared" si="80"/>
        <v>0</v>
      </c>
      <c r="FK65" s="66">
        <f t="shared" si="81"/>
        <v>-22096</v>
      </c>
      <c r="FL65" s="173">
        <f t="shared" si="82"/>
        <v>1100</v>
      </c>
    </row>
    <row r="66" spans="1:168" hidden="1" outlineLevel="1" x14ac:dyDescent="0.2">
      <c r="A66" s="77" t="s">
        <v>386</v>
      </c>
      <c r="B66" s="76" t="s">
        <v>397</v>
      </c>
      <c r="C66" s="76" t="s">
        <v>527</v>
      </c>
      <c r="D66" s="76" t="s">
        <v>623</v>
      </c>
      <c r="E66" s="77" t="s">
        <v>215</v>
      </c>
      <c r="F66" s="77" t="s">
        <v>709</v>
      </c>
      <c r="G66" s="77" t="str">
        <f t="shared" si="116"/>
        <v>0</v>
      </c>
      <c r="H66" s="77" t="str">
        <f t="shared" si="117"/>
        <v>1</v>
      </c>
      <c r="I66" s="77" t="str">
        <f t="shared" si="118"/>
        <v>0</v>
      </c>
      <c r="J66" s="77" t="str">
        <f t="shared" si="119"/>
        <v>0</v>
      </c>
      <c r="K66" s="77" t="str">
        <f t="shared" si="120"/>
        <v>0100</v>
      </c>
      <c r="L66" s="77" t="str">
        <f>IFERROR(VLOOKUP(K66,Sheet2!$A$20:$B$23,2,FALSE),"X")</f>
        <v>02</v>
      </c>
      <c r="M66" s="77" t="str">
        <f t="shared" si="77"/>
        <v>80012837Connect For Success 18-21</v>
      </c>
      <c r="O66" s="76" t="s">
        <v>160</v>
      </c>
      <c r="P66" s="69" t="s">
        <v>168</v>
      </c>
      <c r="Q66" s="78"/>
      <c r="R66" s="78"/>
      <c r="AU66" s="158" t="s">
        <v>336</v>
      </c>
      <c r="AV66" s="79"/>
      <c r="AW66" s="79">
        <v>20000</v>
      </c>
      <c r="BV66" s="79">
        <f t="shared" si="124"/>
        <v>0</v>
      </c>
      <c r="BW66" s="79">
        <f t="shared" si="125"/>
        <v>0</v>
      </c>
      <c r="BX66" s="79">
        <f t="shared" si="126"/>
        <v>20000</v>
      </c>
      <c r="BY66" s="158" t="s">
        <v>336</v>
      </c>
      <c r="CA66" s="79">
        <v>80000</v>
      </c>
      <c r="CF66" s="79">
        <v>-2810.92</v>
      </c>
      <c r="CG66" s="79">
        <v>-17189.080000000002</v>
      </c>
      <c r="CX66" s="79">
        <v>-63460</v>
      </c>
      <c r="DB66" s="79">
        <f t="shared" si="127"/>
        <v>-2810.92</v>
      </c>
      <c r="DC66" s="79">
        <f t="shared" si="128"/>
        <v>-80649.08</v>
      </c>
      <c r="DD66" s="79">
        <f t="shared" si="129"/>
        <v>0</v>
      </c>
      <c r="DE66" s="79">
        <f t="shared" si="130"/>
        <v>16540</v>
      </c>
      <c r="DG66" s="79">
        <v>80000</v>
      </c>
      <c r="DK66" s="79">
        <v>-16360</v>
      </c>
      <c r="DO66" s="79">
        <v>-180</v>
      </c>
      <c r="DP66" s="131"/>
      <c r="EH66" s="79">
        <v>-75000</v>
      </c>
      <c r="EJ66" s="79">
        <f t="shared" si="131"/>
        <v>0</v>
      </c>
      <c r="EK66" s="79">
        <f t="shared" si="132"/>
        <v>-91540</v>
      </c>
      <c r="EL66" s="79">
        <f t="shared" si="133"/>
        <v>0</v>
      </c>
      <c r="EM66" s="79">
        <f t="shared" si="78"/>
        <v>5000</v>
      </c>
      <c r="ES66" s="144">
        <v>-5000</v>
      </c>
      <c r="FI66" s="66">
        <f t="shared" si="79"/>
        <v>0</v>
      </c>
      <c r="FJ66" s="66">
        <f t="shared" si="80"/>
        <v>0</v>
      </c>
      <c r="FK66" s="66">
        <f t="shared" si="81"/>
        <v>-5000</v>
      </c>
      <c r="FL66" s="173">
        <f t="shared" si="82"/>
        <v>0</v>
      </c>
    </row>
    <row r="67" spans="1:168" hidden="1" collapsed="1" x14ac:dyDescent="0.2">
      <c r="G67" s="77"/>
      <c r="H67" s="77"/>
      <c r="I67" s="77"/>
      <c r="J67" s="77"/>
      <c r="K67" s="77"/>
      <c r="L67" s="77" t="s">
        <v>701</v>
      </c>
      <c r="M67" s="77" t="str">
        <f t="shared" si="20"/>
        <v/>
      </c>
      <c r="P67" s="18" t="s">
        <v>269</v>
      </c>
      <c r="Q67" s="78"/>
      <c r="R67" s="78"/>
      <c r="S67" s="14">
        <f t="shared" ref="S67:AT67" si="134">SUM(S24:S66)</f>
        <v>263031</v>
      </c>
      <c r="T67" s="14">
        <f t="shared" si="134"/>
        <v>0</v>
      </c>
      <c r="U67" s="14">
        <f t="shared" si="134"/>
        <v>0</v>
      </c>
      <c r="V67" s="14">
        <f t="shared" si="134"/>
        <v>0</v>
      </c>
      <c r="W67" s="14">
        <f t="shared" si="134"/>
        <v>0</v>
      </c>
      <c r="X67" s="14">
        <f t="shared" si="134"/>
        <v>0</v>
      </c>
      <c r="Y67" s="14">
        <f t="shared" si="134"/>
        <v>0</v>
      </c>
      <c r="Z67" s="14">
        <f t="shared" si="134"/>
        <v>0</v>
      </c>
      <c r="AA67" s="14">
        <f t="shared" si="134"/>
        <v>0</v>
      </c>
      <c r="AB67" s="14">
        <f t="shared" si="134"/>
        <v>0</v>
      </c>
      <c r="AC67" s="14">
        <f t="shared" si="134"/>
        <v>0</v>
      </c>
      <c r="AD67" s="14">
        <f t="shared" si="134"/>
        <v>0</v>
      </c>
      <c r="AE67" s="14">
        <f t="shared" si="134"/>
        <v>0</v>
      </c>
      <c r="AF67" s="14">
        <f t="shared" si="134"/>
        <v>0</v>
      </c>
      <c r="AG67" s="14">
        <f t="shared" si="134"/>
        <v>0</v>
      </c>
      <c r="AH67" s="14">
        <f t="shared" si="134"/>
        <v>0</v>
      </c>
      <c r="AI67" s="14">
        <f t="shared" si="134"/>
        <v>0</v>
      </c>
      <c r="AJ67" s="14">
        <f t="shared" si="134"/>
        <v>0</v>
      </c>
      <c r="AK67" s="14">
        <f t="shared" si="134"/>
        <v>0</v>
      </c>
      <c r="AL67" s="14">
        <f t="shared" si="134"/>
        <v>0</v>
      </c>
      <c r="AM67" s="14">
        <f t="shared" si="134"/>
        <v>0</v>
      </c>
      <c r="AN67" s="14">
        <f t="shared" si="134"/>
        <v>-2774</v>
      </c>
      <c r="AO67" s="14">
        <f t="shared" si="134"/>
        <v>0</v>
      </c>
      <c r="AP67" s="14">
        <f t="shared" si="134"/>
        <v>0</v>
      </c>
      <c r="AQ67" s="14">
        <f t="shared" si="134"/>
        <v>0</v>
      </c>
      <c r="AR67" s="14">
        <f t="shared" si="134"/>
        <v>-2774</v>
      </c>
      <c r="AS67" s="14">
        <f t="shared" si="134"/>
        <v>0</v>
      </c>
      <c r="AT67" s="14">
        <f t="shared" si="134"/>
        <v>260257</v>
      </c>
      <c r="AU67" s="29"/>
      <c r="AV67" s="14">
        <f t="shared" ref="AV67:BX67" si="135">SUM(AV24:AV66)</f>
        <v>1036560</v>
      </c>
      <c r="AW67" s="14">
        <f t="shared" si="135"/>
        <v>906560</v>
      </c>
      <c r="AX67" s="14">
        <f t="shared" si="135"/>
        <v>0</v>
      </c>
      <c r="AY67" s="14">
        <f t="shared" si="135"/>
        <v>0</v>
      </c>
      <c r="AZ67" s="14">
        <f t="shared" si="135"/>
        <v>-35604</v>
      </c>
      <c r="BA67" s="14">
        <f t="shared" si="135"/>
        <v>0</v>
      </c>
      <c r="BB67" s="14">
        <f t="shared" si="135"/>
        <v>-4143</v>
      </c>
      <c r="BC67" s="14">
        <f t="shared" si="135"/>
        <v>0</v>
      </c>
      <c r="BD67" s="14">
        <f t="shared" si="135"/>
        <v>-17646</v>
      </c>
      <c r="BE67" s="14">
        <f t="shared" si="135"/>
        <v>0</v>
      </c>
      <c r="BF67" s="14">
        <f t="shared" si="135"/>
        <v>-50136</v>
      </c>
      <c r="BG67" s="14">
        <f t="shared" si="135"/>
        <v>0</v>
      </c>
      <c r="BH67" s="14">
        <f t="shared" si="135"/>
        <v>-135672</v>
      </c>
      <c r="BI67" s="14">
        <f t="shared" si="135"/>
        <v>0</v>
      </c>
      <c r="BJ67" s="14">
        <f t="shared" si="135"/>
        <v>-193744</v>
      </c>
      <c r="BK67" s="14">
        <f t="shared" si="135"/>
        <v>0</v>
      </c>
      <c r="BL67" s="14">
        <f t="shared" si="135"/>
        <v>-80297</v>
      </c>
      <c r="BM67" s="14">
        <f t="shared" si="135"/>
        <v>0</v>
      </c>
      <c r="BN67" s="14">
        <f t="shared" si="135"/>
        <v>-57296</v>
      </c>
      <c r="BO67" s="14">
        <f t="shared" si="135"/>
        <v>0</v>
      </c>
      <c r="BP67" s="14">
        <f t="shared" si="135"/>
        <v>-399061</v>
      </c>
      <c r="BQ67" s="14">
        <f t="shared" si="135"/>
        <v>0</v>
      </c>
      <c r="BR67" s="14">
        <f t="shared" si="135"/>
        <v>-29096</v>
      </c>
      <c r="BS67" s="14">
        <f t="shared" si="135"/>
        <v>0</v>
      </c>
      <c r="BT67" s="14">
        <f t="shared" si="135"/>
        <v>-72771</v>
      </c>
      <c r="BU67" s="14">
        <f t="shared" si="135"/>
        <v>0</v>
      </c>
      <c r="BV67" s="14">
        <f t="shared" si="135"/>
        <v>-1075466</v>
      </c>
      <c r="BW67" s="14">
        <f t="shared" si="135"/>
        <v>0</v>
      </c>
      <c r="BX67" s="14">
        <f t="shared" si="135"/>
        <v>1127911</v>
      </c>
      <c r="BY67" s="29"/>
      <c r="BZ67" s="14">
        <f>SUM(BZ24:BZ66)</f>
        <v>880000</v>
      </c>
      <c r="CA67" s="14">
        <f>SUM(CA24:CA66)</f>
        <v>636951</v>
      </c>
      <c r="CB67" s="14"/>
      <c r="CC67" s="14">
        <f t="shared" ref="CC67:DE67" si="136">SUM(CC24:CC66)</f>
        <v>105264</v>
      </c>
      <c r="CD67" s="14">
        <f t="shared" si="136"/>
        <v>-210795.64</v>
      </c>
      <c r="CE67" s="14">
        <f t="shared" si="136"/>
        <v>0</v>
      </c>
      <c r="CF67" s="14">
        <f t="shared" si="136"/>
        <v>-150684.12000000002</v>
      </c>
      <c r="CG67" s="14">
        <f t="shared" si="136"/>
        <v>-17189.080000000002</v>
      </c>
      <c r="CH67" s="14">
        <f t="shared" si="136"/>
        <v>-29033.590000000004</v>
      </c>
      <c r="CI67" s="14">
        <f t="shared" si="136"/>
        <v>0</v>
      </c>
      <c r="CJ67" s="14">
        <f t="shared" si="136"/>
        <v>-133775.56</v>
      </c>
      <c r="CK67" s="14">
        <f t="shared" si="136"/>
        <v>0</v>
      </c>
      <c r="CL67" s="14">
        <f t="shared" si="136"/>
        <v>-182892.94</v>
      </c>
      <c r="CM67" s="14">
        <f t="shared" si="136"/>
        <v>0</v>
      </c>
      <c r="CN67" s="14">
        <f t="shared" si="136"/>
        <v>-12583.349999999999</v>
      </c>
      <c r="CO67" s="14">
        <f t="shared" si="136"/>
        <v>0</v>
      </c>
      <c r="CP67" s="14">
        <f t="shared" si="136"/>
        <v>-59448.36</v>
      </c>
      <c r="CQ67" s="14">
        <f t="shared" si="136"/>
        <v>0</v>
      </c>
      <c r="CR67" s="14">
        <f t="shared" si="136"/>
        <v>-193185</v>
      </c>
      <c r="CS67" s="14">
        <f t="shared" si="136"/>
        <v>0</v>
      </c>
      <c r="CT67" s="14">
        <f t="shared" si="136"/>
        <v>-175784.93</v>
      </c>
      <c r="CU67" s="14">
        <f t="shared" si="136"/>
        <v>0</v>
      </c>
      <c r="CV67" s="14">
        <f t="shared" si="136"/>
        <v>-30384.489999999998</v>
      </c>
      <c r="CW67" s="14">
        <f t="shared" si="136"/>
        <v>0</v>
      </c>
      <c r="CX67" s="14">
        <f t="shared" si="136"/>
        <v>-137067.84</v>
      </c>
      <c r="CY67" s="14">
        <f t="shared" si="136"/>
        <v>0</v>
      </c>
      <c r="CZ67" s="14">
        <f t="shared" si="136"/>
        <v>-45128.41</v>
      </c>
      <c r="DA67" s="14">
        <f t="shared" si="136"/>
        <v>0</v>
      </c>
      <c r="DB67" s="14">
        <f t="shared" si="136"/>
        <v>-361479.76</v>
      </c>
      <c r="DC67" s="14">
        <f t="shared" si="136"/>
        <v>-1016473.55</v>
      </c>
      <c r="DD67" s="14">
        <f t="shared" si="136"/>
        <v>0</v>
      </c>
      <c r="DE67" s="14">
        <f t="shared" si="136"/>
        <v>1372172.69</v>
      </c>
      <c r="DF67" s="29"/>
      <c r="DG67" s="14">
        <f>SUM(DG24:DG66)</f>
        <v>680160</v>
      </c>
      <c r="DH67" s="14">
        <f>SUM(DH24:DH66)</f>
        <v>409216</v>
      </c>
      <c r="DI67" s="14"/>
      <c r="DJ67" s="14">
        <f t="shared" ref="DJ67:ER67" si="137">SUM(DJ24:DJ66)</f>
        <v>115000</v>
      </c>
      <c r="DK67" s="14">
        <f t="shared" si="137"/>
        <v>-240644.11</v>
      </c>
      <c r="DL67" s="14">
        <f t="shared" si="137"/>
        <v>0</v>
      </c>
      <c r="DM67" s="14">
        <f t="shared" si="137"/>
        <v>-13282</v>
      </c>
      <c r="DN67" s="14">
        <f t="shared" si="137"/>
        <v>0</v>
      </c>
      <c r="DO67" s="14">
        <f t="shared" si="137"/>
        <v>-180</v>
      </c>
      <c r="DP67" s="132">
        <f t="shared" si="137"/>
        <v>-55930.119999999995</v>
      </c>
      <c r="DQ67" s="14">
        <f t="shared" si="137"/>
        <v>-33945.760000000002</v>
      </c>
      <c r="DR67" s="14">
        <f t="shared" si="137"/>
        <v>-195463.51</v>
      </c>
      <c r="DS67" s="14">
        <f t="shared" si="137"/>
        <v>-131099.03</v>
      </c>
      <c r="DT67" s="14">
        <f t="shared" si="137"/>
        <v>0</v>
      </c>
      <c r="DU67" s="14">
        <f t="shared" si="137"/>
        <v>-36676.979999999996</v>
      </c>
      <c r="DV67" s="14">
        <f t="shared" si="137"/>
        <v>0</v>
      </c>
      <c r="DW67" s="14">
        <f t="shared" si="137"/>
        <v>-4690</v>
      </c>
      <c r="DX67" s="14">
        <f t="shared" si="137"/>
        <v>0</v>
      </c>
      <c r="DY67" s="14">
        <f t="shared" si="137"/>
        <v>-15080.73</v>
      </c>
      <c r="DZ67" s="14">
        <f t="shared" si="137"/>
        <v>0</v>
      </c>
      <c r="EA67" s="14">
        <f t="shared" si="137"/>
        <v>-33156.85</v>
      </c>
      <c r="EB67" s="14">
        <f t="shared" si="137"/>
        <v>0</v>
      </c>
      <c r="EC67" s="14">
        <f t="shared" si="137"/>
        <v>-40918.720000000001</v>
      </c>
      <c r="ED67" s="14">
        <f t="shared" si="137"/>
        <v>0</v>
      </c>
      <c r="EE67" s="14">
        <f t="shared" si="137"/>
        <v>-130774.62</v>
      </c>
      <c r="EF67" s="14">
        <f t="shared" si="137"/>
        <v>195463.51</v>
      </c>
      <c r="EG67" s="132">
        <f t="shared" si="137"/>
        <v>-195463.51</v>
      </c>
      <c r="EH67" s="14">
        <f t="shared" si="137"/>
        <v>-95971.02</v>
      </c>
      <c r="EI67" s="14">
        <f t="shared" si="137"/>
        <v>0</v>
      </c>
      <c r="EJ67" s="14">
        <f t="shared" si="137"/>
        <v>-251393.63</v>
      </c>
      <c r="EK67" s="14">
        <f t="shared" si="137"/>
        <v>-776419.82000000007</v>
      </c>
      <c r="EL67" s="14">
        <f t="shared" si="137"/>
        <v>0</v>
      </c>
      <c r="EM67" s="14">
        <f t="shared" si="137"/>
        <v>1548735.2399999998</v>
      </c>
      <c r="EN67" s="14">
        <f t="shared" si="137"/>
        <v>0</v>
      </c>
      <c r="EO67" s="14">
        <f t="shared" si="137"/>
        <v>0</v>
      </c>
      <c r="EP67" s="14">
        <f>SUM(EP24:EP66)</f>
        <v>426096</v>
      </c>
      <c r="EQ67" s="14">
        <f>SUM(EQ24:EQ66)</f>
        <v>480000</v>
      </c>
      <c r="ER67" s="14">
        <f t="shared" si="137"/>
        <v>0</v>
      </c>
      <c r="ES67" s="68">
        <f t="shared" ref="ES67:FK67" si="138">SUM(ES24:ES66)</f>
        <v>-94282.219999999987</v>
      </c>
      <c r="ET67" s="68">
        <f t="shared" si="138"/>
        <v>12396.21</v>
      </c>
      <c r="EU67" s="68">
        <f t="shared" si="138"/>
        <v>-63579.490000000005</v>
      </c>
      <c r="EV67" s="68">
        <f t="shared" ref="EV67" si="139">SUM(EV24:EV66)</f>
        <v>0</v>
      </c>
      <c r="EW67" s="68">
        <f t="shared" si="138"/>
        <v>-1296</v>
      </c>
      <c r="EX67" s="68">
        <f t="shared" si="138"/>
        <v>-502849.36999999994</v>
      </c>
      <c r="EY67" s="68">
        <f t="shared" si="138"/>
        <v>-20183.39</v>
      </c>
      <c r="EZ67" s="68">
        <f t="shared" ref="EZ67:FB67" si="140">SUM(EZ24:EZ66)</f>
        <v>0</v>
      </c>
      <c r="FA67" s="68">
        <f t="shared" si="140"/>
        <v>0</v>
      </c>
      <c r="FB67" s="68">
        <f t="shared" si="140"/>
        <v>0</v>
      </c>
      <c r="FC67" s="68">
        <f t="shared" si="138"/>
        <v>-1459.84</v>
      </c>
      <c r="FD67" s="68">
        <f t="shared" si="138"/>
        <v>0</v>
      </c>
      <c r="FE67" s="68">
        <f t="shared" si="138"/>
        <v>-14123.71</v>
      </c>
      <c r="FF67" s="68">
        <f t="shared" si="138"/>
        <v>0</v>
      </c>
      <c r="FG67" s="68">
        <f t="shared" si="138"/>
        <v>0</v>
      </c>
      <c r="FH67" s="68">
        <f t="shared" si="138"/>
        <v>0</v>
      </c>
      <c r="FI67" s="68">
        <f t="shared" ref="FI67:FJ67" si="141">SUM(FI24:FI66)</f>
        <v>0</v>
      </c>
      <c r="FJ67" s="68">
        <f t="shared" si="141"/>
        <v>0</v>
      </c>
      <c r="FK67" s="68">
        <f t="shared" si="138"/>
        <v>-685377.81</v>
      </c>
      <c r="FL67" s="14">
        <f>EM67+EO67+EP67+EQ67+FK67</f>
        <v>1769453.4299999997</v>
      </c>
    </row>
    <row r="68" spans="1:168" hidden="1" x14ac:dyDescent="0.2">
      <c r="E68" s="77"/>
      <c r="F68" s="77"/>
      <c r="G68" s="77"/>
      <c r="H68" s="77"/>
      <c r="I68" s="77"/>
      <c r="J68" s="77"/>
      <c r="K68" s="77"/>
      <c r="L68" s="77" t="s">
        <v>701</v>
      </c>
      <c r="M68" s="77" t="str">
        <f t="shared" si="20"/>
        <v/>
      </c>
      <c r="Q68" s="78"/>
      <c r="R68" s="78"/>
      <c r="AV68" s="79"/>
      <c r="DP68" s="131"/>
    </row>
    <row r="69" spans="1:168" hidden="1" outlineLevel="1" x14ac:dyDescent="0.2">
      <c r="A69" s="77" t="s">
        <v>222</v>
      </c>
      <c r="B69" s="76" t="s">
        <v>34</v>
      </c>
      <c r="C69" s="76" t="s">
        <v>223</v>
      </c>
      <c r="D69" s="76" t="s">
        <v>111</v>
      </c>
      <c r="E69" s="77" t="s">
        <v>166</v>
      </c>
      <c r="F69" s="77" t="s">
        <v>710</v>
      </c>
      <c r="G69" s="77" t="str">
        <f>IF(S69&gt;0, "1", "0")</f>
        <v>1</v>
      </c>
      <c r="H69" s="77" t="str">
        <f>IF(AW69&gt;0, "1", "0")</f>
        <v>0</v>
      </c>
      <c r="I69" s="77" t="str">
        <f>IF(CC69&gt;0, "1", "0")</f>
        <v>0</v>
      </c>
      <c r="J69" s="77" t="str">
        <f>IF(DJ69&gt;0, "1", "0")</f>
        <v>0</v>
      </c>
      <c r="K69" s="77" t="str">
        <f>CONCATENATE(G69,H69,I69,J69)</f>
        <v>1000</v>
      </c>
      <c r="L69" s="77" t="str">
        <f>IFERROR(VLOOKUP(K69,Sheet2!$A$20:$B$23,2,FALSE),"X")</f>
        <v>01</v>
      </c>
      <c r="M69" s="77" t="str">
        <f>A69&amp;B69&amp;E69</f>
        <v>1560N/AConsultation</v>
      </c>
      <c r="N69" s="76" t="s">
        <v>161</v>
      </c>
      <c r="O69" s="76" t="s">
        <v>160</v>
      </c>
      <c r="P69" s="69" t="s">
        <v>168</v>
      </c>
      <c r="Q69" s="78">
        <v>43173</v>
      </c>
      <c r="R69" s="78">
        <v>43173</v>
      </c>
      <c r="S69" s="79">
        <v>15000</v>
      </c>
      <c r="AR69" s="79">
        <f>SUMIF($T$2:$AQ$2,$AR$2,$T69:$AQ69)</f>
        <v>0</v>
      </c>
      <c r="AS69" s="79">
        <f>SUMIF($T$2:$AQ$2,$AS$2,$T69:$AQ69)</f>
        <v>0</v>
      </c>
      <c r="AT69" s="79">
        <f>S69+(AR69+AS69)</f>
        <v>15000</v>
      </c>
      <c r="AV69" s="79"/>
      <c r="BV69" s="79">
        <f>SUMIF($AX$2:$BU$2,$BV$2,$AX69:$BU69)</f>
        <v>0</v>
      </c>
      <c r="BW69" s="79">
        <f>SUMIF($AX$2:$BU$2,$BW$2,$AX69:$BU69)</f>
        <v>0</v>
      </c>
      <c r="BX69" s="79">
        <f>AT69+AV69+AW69+(BV69+BW69)</f>
        <v>15000</v>
      </c>
      <c r="DB69" s="79">
        <f>SUMIF($CD$2:$DA$2,$DB$2,$CD69:$DA69)</f>
        <v>0</v>
      </c>
      <c r="DC69" s="79">
        <f>SUMIF($CD$2:$DA$2,$DC$2,$CD69:$DA69)</f>
        <v>0</v>
      </c>
      <c r="DD69" s="79">
        <f>SUMIF($CD$2:$DA$2,$DD$2,$CD69:$DA69)</f>
        <v>0</v>
      </c>
      <c r="DE69" s="79">
        <f>BX69+CA69+BZ69+CC69+(DB69+DC69+DD69)</f>
        <v>15000</v>
      </c>
      <c r="DP69" s="131"/>
      <c r="EJ69" s="79">
        <f>SUMIF($DK$2:$EI$2,$EJ$2,$DK69:$EI69)</f>
        <v>0</v>
      </c>
      <c r="EK69" s="79">
        <f>SUMIF($DK$2:$EI$2,$EK$2,$DK69:$EI69)</f>
        <v>0</v>
      </c>
      <c r="EL69" s="79">
        <f>SUMIF($DK$2:$EI$2,$EL$2,$DK69:$EI69)</f>
        <v>0</v>
      </c>
      <c r="EM69" s="79">
        <f>DE69+DH69+DG69+DJ69+(EJ69+EK69+EL69)</f>
        <v>15000</v>
      </c>
      <c r="FI69" s="66">
        <f>SUMIF($ES$2:$FH$2,$FI$2,$ES69:$FH69)</f>
        <v>0</v>
      </c>
      <c r="FJ69" s="66">
        <f>SUMIF($ES$2:$FH$2,$FJ$2,$ES69:$FH69)</f>
        <v>0</v>
      </c>
      <c r="FK69" s="66">
        <f>SUMIF($ES$2:$FH$2,$FK$2,$ES69:$FH69)</f>
        <v>0</v>
      </c>
      <c r="FL69" s="173">
        <f>EM69+EO69+EP69+EQ69+(FK69+FI69+FJ69)</f>
        <v>15000</v>
      </c>
    </row>
    <row r="70" spans="1:168" hidden="1" outlineLevel="1" x14ac:dyDescent="0.2">
      <c r="A70" s="76" t="s">
        <v>28</v>
      </c>
      <c r="B70" s="76" t="s">
        <v>34</v>
      </c>
      <c r="C70" s="76" t="s">
        <v>106</v>
      </c>
      <c r="D70" s="76" t="s">
        <v>111</v>
      </c>
      <c r="E70" s="77" t="s">
        <v>166</v>
      </c>
      <c r="F70" s="77" t="s">
        <v>710</v>
      </c>
      <c r="G70" s="77" t="str">
        <f>IF(S70&gt;0, "1", "0")</f>
        <v>1</v>
      </c>
      <c r="H70" s="77" t="str">
        <f>IF(AW70&gt;0, "1", "0")</f>
        <v>0</v>
      </c>
      <c r="I70" s="77" t="str">
        <f>IF(CC70&gt;0, "1", "0")</f>
        <v>0</v>
      </c>
      <c r="J70" s="77" t="str">
        <f>IF(DJ70&gt;0, "1", "0")</f>
        <v>0</v>
      </c>
      <c r="K70" s="77" t="str">
        <f>CONCATENATE(G70,H70,I70,J70)</f>
        <v>1000</v>
      </c>
      <c r="L70" s="77" t="str">
        <f>IFERROR(VLOOKUP(K70,Sheet2!$A$20:$B$23,2,FALSE),"X")</f>
        <v>01</v>
      </c>
      <c r="M70" s="77" t="str">
        <f>A70&amp;B70&amp;E70</f>
        <v>1570N/AConsultation</v>
      </c>
      <c r="N70" s="76" t="s">
        <v>161</v>
      </c>
      <c r="O70" s="76" t="s">
        <v>160</v>
      </c>
      <c r="P70" s="69" t="s">
        <v>168</v>
      </c>
      <c r="Q70" s="78">
        <v>43173</v>
      </c>
      <c r="R70" s="78">
        <v>43173</v>
      </c>
      <c r="S70" s="79">
        <v>15000</v>
      </c>
      <c r="AR70" s="79">
        <f>SUMIF($T$2:$AQ$2,$AR$2,$T70:$AQ70)</f>
        <v>0</v>
      </c>
      <c r="AS70" s="79">
        <f>SUMIF($T$2:$AQ$2,$AS$2,$T70:$AQ70)</f>
        <v>0</v>
      </c>
      <c r="AT70" s="79">
        <f>S70+(AR70+AS70)</f>
        <v>15000</v>
      </c>
      <c r="AV70" s="79"/>
      <c r="BV70" s="79">
        <f>SUMIF($AX$2:$BU$2,$BV$2,$AX70:$BU70)</f>
        <v>0</v>
      </c>
      <c r="BW70" s="79">
        <f>SUMIF($AX$2:$BU$2,$BW$2,$AX70:$BU70)</f>
        <v>0</v>
      </c>
      <c r="BX70" s="79">
        <f>AT70+AV70+AW70+(BV70+BW70)</f>
        <v>15000</v>
      </c>
      <c r="DB70" s="79">
        <f>SUMIF($CD$2:$DA$2,$DB$2,$CD70:$DA70)</f>
        <v>0</v>
      </c>
      <c r="DC70" s="79">
        <f>SUMIF($CD$2:$DA$2,$DC$2,$CD70:$DA70)</f>
        <v>0</v>
      </c>
      <c r="DD70" s="79">
        <f>SUMIF($CD$2:$DA$2,$DD$2,$CD70:$DA70)</f>
        <v>0</v>
      </c>
      <c r="DE70" s="79">
        <f>BX70+CA70+BZ70+CC70+(DB70+DC70+DD70)</f>
        <v>15000</v>
      </c>
      <c r="DP70" s="131"/>
      <c r="EJ70" s="79">
        <f>SUMIF($DK$2:$EI$2,$EJ$2,$DK70:$EI70)</f>
        <v>0</v>
      </c>
      <c r="EK70" s="79">
        <f>SUMIF($DK$2:$EI$2,$EK$2,$DK70:$EI70)</f>
        <v>0</v>
      </c>
      <c r="EL70" s="79">
        <f>SUMIF($DK$2:$EI$2,$EL$2,$DK70:$EI70)</f>
        <v>0</v>
      </c>
      <c r="EM70" s="79">
        <f>DE70+DH70+DG70+DJ70+(EJ70+EK70+EL70)</f>
        <v>15000</v>
      </c>
      <c r="FI70" s="66">
        <f>SUMIF($ES$2:$FH$2,$FI$2,$ES70:$FH70)</f>
        <v>0</v>
      </c>
      <c r="FJ70" s="66">
        <f>SUMIF($ES$2:$FH$2,$FJ$2,$ES70:$FH70)</f>
        <v>0</v>
      </c>
      <c r="FK70" s="66">
        <f>SUMIF($ES$2:$FH$2,$FK$2,$ES70:$FH70)</f>
        <v>0</v>
      </c>
      <c r="FL70" s="173">
        <f>EM70+EO70+EP70+EQ70+(FK70+FI70+FJ70)</f>
        <v>15000</v>
      </c>
    </row>
    <row r="71" spans="1:168" hidden="1" outlineLevel="1" x14ac:dyDescent="0.2">
      <c r="A71" s="76" t="s">
        <v>18</v>
      </c>
      <c r="B71" s="76" t="s">
        <v>34</v>
      </c>
      <c r="C71" s="76" t="s">
        <v>613</v>
      </c>
      <c r="D71" s="76" t="s">
        <v>111</v>
      </c>
      <c r="E71" s="77" t="s">
        <v>166</v>
      </c>
      <c r="F71" s="77" t="s">
        <v>710</v>
      </c>
      <c r="G71" s="77" t="str">
        <f>IF(S71&gt;0, "1", "0")</f>
        <v>1</v>
      </c>
      <c r="H71" s="77" t="str">
        <f>IF(AW71&gt;0, "1", "0")</f>
        <v>0</v>
      </c>
      <c r="I71" s="77" t="str">
        <f>IF(CC71&gt;0, "1", "0")</f>
        <v>0</v>
      </c>
      <c r="J71" s="77" t="str">
        <f>IF(DJ71&gt;0, "1", "0")</f>
        <v>0</v>
      </c>
      <c r="K71" s="77" t="str">
        <f>CONCATENATE(G71,H71,I71,J71)</f>
        <v>1000</v>
      </c>
      <c r="L71" s="77" t="str">
        <f>IFERROR(VLOOKUP(K71,Sheet2!$A$20:$B$23,2,FALSE),"X")</f>
        <v>01</v>
      </c>
      <c r="M71" s="77" t="str">
        <f>A71&amp;B71&amp;E71</f>
        <v>2395N/AConsultation</v>
      </c>
      <c r="N71" s="76" t="s">
        <v>161</v>
      </c>
      <c r="O71" s="76" t="s">
        <v>160</v>
      </c>
      <c r="P71" s="69" t="s">
        <v>168</v>
      </c>
      <c r="Q71" s="78">
        <v>43168</v>
      </c>
      <c r="R71" s="78">
        <v>43168</v>
      </c>
      <c r="S71" s="79">
        <v>15000</v>
      </c>
      <c r="AR71" s="79">
        <f>SUMIF($T$2:$AQ$2,$AR$2,$T71:$AQ71)</f>
        <v>0</v>
      </c>
      <c r="AS71" s="79">
        <f>SUMIF($T$2:$AQ$2,$AS$2,$T71:$AQ71)</f>
        <v>0</v>
      </c>
      <c r="AT71" s="79">
        <f>S71+(AR71+AS71)</f>
        <v>15000</v>
      </c>
      <c r="AV71" s="79"/>
      <c r="AZ71" s="79">
        <v>-6250</v>
      </c>
      <c r="BV71" s="79">
        <f>SUMIF($AX$2:$BU$2,$BV$2,$AX71:$BU71)</f>
        <v>-6250</v>
      </c>
      <c r="BW71" s="79">
        <f>SUMIF($AX$2:$BU$2,$BW$2,$AX71:$BU71)</f>
        <v>0</v>
      </c>
      <c r="BX71" s="79">
        <f>AT71+AV71+AW71+(BV71+BW71)</f>
        <v>8750</v>
      </c>
      <c r="DB71" s="79">
        <f>SUMIF($CD$2:$DA$2,$DB$2,$CD71:$DA71)</f>
        <v>0</v>
      </c>
      <c r="DC71" s="79">
        <f>SUMIF($CD$2:$DA$2,$DC$2,$CD71:$DA71)</f>
        <v>0</v>
      </c>
      <c r="DD71" s="79">
        <f>SUMIF($CD$2:$DA$2,$DD$2,$CD71:$DA71)</f>
        <v>0</v>
      </c>
      <c r="DE71" s="79">
        <f>BX71+CA71+BZ71+CC71+(DB71+DC71+DD71)</f>
        <v>8750</v>
      </c>
      <c r="DP71" s="131"/>
      <c r="EJ71" s="79">
        <f>SUMIF($DK$2:$EI$2,$EJ$2,$DK71:$EI71)</f>
        <v>0</v>
      </c>
      <c r="EK71" s="79">
        <f>SUMIF($DK$2:$EI$2,$EK$2,$DK71:$EI71)</f>
        <v>0</v>
      </c>
      <c r="EL71" s="79">
        <f>SUMIF($DK$2:$EI$2,$EL$2,$DK71:$EI71)</f>
        <v>0</v>
      </c>
      <c r="EM71" s="79">
        <f>DE71+DH71+DG71+DJ71+(EJ71+EK71+EL71)</f>
        <v>8750</v>
      </c>
      <c r="FI71" s="66">
        <f>SUMIF($ES$2:$FH$2,$FI$2,$ES71:$FH71)</f>
        <v>0</v>
      </c>
      <c r="FJ71" s="66">
        <f>SUMIF($ES$2:$FH$2,$FJ$2,$ES71:$FH71)</f>
        <v>0</v>
      </c>
      <c r="FK71" s="66">
        <f>SUMIF($ES$2:$FH$2,$FK$2,$ES71:$FH71)</f>
        <v>0</v>
      </c>
      <c r="FL71" s="173">
        <f>EM71+EO71+EP71+EQ71+(FK71+FI71+FJ71)</f>
        <v>8750</v>
      </c>
    </row>
    <row r="72" spans="1:168" hidden="1" outlineLevel="1" x14ac:dyDescent="0.2">
      <c r="A72" s="76" t="s">
        <v>19</v>
      </c>
      <c r="B72" s="76" t="s">
        <v>44</v>
      </c>
      <c r="C72" s="76" t="s">
        <v>98</v>
      </c>
      <c r="D72" s="76" t="s">
        <v>120</v>
      </c>
      <c r="E72" s="77" t="s">
        <v>166</v>
      </c>
      <c r="F72" s="77" t="s">
        <v>710</v>
      </c>
      <c r="G72" s="77" t="str">
        <f>IF(S72&gt;0, "1", "0")</f>
        <v>1</v>
      </c>
      <c r="H72" s="77" t="str">
        <f>IF(AW72&gt;0, "1", "0")</f>
        <v>0</v>
      </c>
      <c r="I72" s="77" t="str">
        <f>IF(CC72&gt;0, "1", "0")</f>
        <v>0</v>
      </c>
      <c r="J72" s="77" t="str">
        <f>IF(DJ72&gt;0, "1", "0")</f>
        <v>0</v>
      </c>
      <c r="K72" s="77" t="str">
        <f>CONCATENATE(G72,H72,I72,J72)</f>
        <v>1000</v>
      </c>
      <c r="L72" s="77" t="str">
        <f>IFERROR(VLOOKUP(K72,Sheet2!$A$20:$B$23,2,FALSE),"X")</f>
        <v>01</v>
      </c>
      <c r="M72" s="77" t="str">
        <f>A72&amp;B72&amp;E72</f>
        <v>26901504Consultation</v>
      </c>
      <c r="N72" s="76" t="s">
        <v>161</v>
      </c>
      <c r="O72" s="76" t="s">
        <v>160</v>
      </c>
      <c r="P72" s="69" t="s">
        <v>168</v>
      </c>
      <c r="Q72" s="78">
        <v>43168</v>
      </c>
      <c r="R72" s="78">
        <v>43168</v>
      </c>
      <c r="S72" s="79">
        <v>4020</v>
      </c>
      <c r="AR72" s="79">
        <f>SUMIF($T$2:$AQ$2,$AR$2,$T72:$AQ72)</f>
        <v>0</v>
      </c>
      <c r="AS72" s="79">
        <f>SUMIF($T$2:$AQ$2,$AS$2,$T72:$AQ72)</f>
        <v>0</v>
      </c>
      <c r="AT72" s="79">
        <f>S72+(AR72+AS72)</f>
        <v>4020</v>
      </c>
      <c r="AV72" s="79"/>
      <c r="BV72" s="79">
        <f>SUMIF($AX$2:$BU$2,$BV$2,$AX72:$BU72)</f>
        <v>0</v>
      </c>
      <c r="BW72" s="79">
        <f>SUMIF($AX$2:$BU$2,$BW$2,$AX72:$BU72)</f>
        <v>0</v>
      </c>
      <c r="BX72" s="79">
        <f>AT72+AV72+AW72+(BV72+BW72)</f>
        <v>4020</v>
      </c>
      <c r="DB72" s="79">
        <f>SUMIF($CD$2:$DA$2,$DB$2,$CD72:$DA72)</f>
        <v>0</v>
      </c>
      <c r="DC72" s="79">
        <f>SUMIF($CD$2:$DA$2,$DC$2,$CD72:$DA72)</f>
        <v>0</v>
      </c>
      <c r="DD72" s="79">
        <f>SUMIF($CD$2:$DA$2,$DD$2,$CD72:$DA72)</f>
        <v>0</v>
      </c>
      <c r="DE72" s="79">
        <f>BX72+CA72+BZ72+CC72+(DB72+DC72+DD72)</f>
        <v>4020</v>
      </c>
      <c r="DP72" s="131"/>
      <c r="DR72" s="79">
        <v>-4020</v>
      </c>
      <c r="EF72" s="79">
        <v>4020</v>
      </c>
      <c r="EG72" s="131">
        <f>-EF72</f>
        <v>-4020</v>
      </c>
      <c r="EJ72" s="79">
        <f>SUMIF($DK$2:$EI$2,$EJ$2,$DK72:$EI72)</f>
        <v>-4020</v>
      </c>
      <c r="EK72" s="79">
        <f>SUMIF($DK$2:$EI$2,$EK$2,$DK72:$EI72)</f>
        <v>0</v>
      </c>
      <c r="EL72" s="79">
        <f>SUMIF($DK$2:$EI$2,$EL$2,$DK72:$EI72)</f>
        <v>0</v>
      </c>
      <c r="EM72" s="79">
        <f>DE72+DH72+DG72+DJ72+(EJ72+EK72+EL72)</f>
        <v>0</v>
      </c>
      <c r="FI72" s="66">
        <f>SUMIF($ES$2:$FH$2,$FI$2,$ES72:$FH72)</f>
        <v>0</v>
      </c>
      <c r="FJ72" s="66">
        <f>SUMIF($ES$2:$FH$2,$FJ$2,$ES72:$FH72)</f>
        <v>0</v>
      </c>
      <c r="FK72" s="66">
        <f>SUMIF($ES$2:$FH$2,$FK$2,$ES72:$FH72)</f>
        <v>0</v>
      </c>
      <c r="FL72" s="173">
        <f>EM72+EO72+EP72+EQ72+(FK72+FI72+FJ72)</f>
        <v>0</v>
      </c>
    </row>
    <row r="73" spans="1:168" hidden="1" outlineLevel="1" x14ac:dyDescent="0.2">
      <c r="A73" s="76" t="s">
        <v>20</v>
      </c>
      <c r="B73" s="76" t="s">
        <v>34</v>
      </c>
      <c r="C73" s="76" t="s">
        <v>99</v>
      </c>
      <c r="D73" s="76" t="s">
        <v>111</v>
      </c>
      <c r="E73" s="77" t="s">
        <v>166</v>
      </c>
      <c r="F73" s="77" t="s">
        <v>710</v>
      </c>
      <c r="G73" s="77" t="str">
        <f>IF(S73&gt;0, "1", "0")</f>
        <v>1</v>
      </c>
      <c r="H73" s="77" t="str">
        <f>IF(AW73&gt;0, "1", "0")</f>
        <v>0</v>
      </c>
      <c r="I73" s="77" t="str">
        <f>IF(CC73&gt;0, "1", "0")</f>
        <v>0</v>
      </c>
      <c r="J73" s="77" t="str">
        <f>IF(DJ73&gt;0, "1", "0")</f>
        <v>0</v>
      </c>
      <c r="K73" s="77" t="str">
        <f>CONCATENATE(G73,H73,I73,J73)</f>
        <v>1000</v>
      </c>
      <c r="L73" s="77" t="str">
        <f>IFERROR(VLOOKUP(K73,Sheet2!$A$20:$B$23,2,FALSE),"X")</f>
        <v>01</v>
      </c>
      <c r="M73" s="77" t="str">
        <f>A73&amp;B73&amp;E73</f>
        <v>2760N/AConsultation</v>
      </c>
      <c r="N73" s="76" t="s">
        <v>161</v>
      </c>
      <c r="O73" s="76" t="s">
        <v>160</v>
      </c>
      <c r="P73" s="69" t="s">
        <v>168</v>
      </c>
      <c r="Q73" s="78">
        <v>43168</v>
      </c>
      <c r="R73" s="78">
        <v>43168</v>
      </c>
      <c r="S73" s="79">
        <v>1044</v>
      </c>
      <c r="AP73" s="79">
        <v>-1044</v>
      </c>
      <c r="AR73" s="79">
        <f>SUMIF($T$2:$AQ$2,$AR$2,$T73:$AQ73)</f>
        <v>-1044</v>
      </c>
      <c r="AS73" s="79">
        <f>SUMIF($T$2:$AQ$2,$AS$2,$T73:$AQ73)</f>
        <v>0</v>
      </c>
      <c r="AT73" s="79">
        <f>S73+(AR73+AS73)</f>
        <v>0</v>
      </c>
      <c r="AV73" s="79"/>
      <c r="BV73" s="79">
        <f>SUMIF($AX$2:$BU$2,$BV$2,$AX73:$BU73)</f>
        <v>0</v>
      </c>
      <c r="BW73" s="79">
        <f>SUMIF($AX$2:$BU$2,$BW$2,$AX73:$BU73)</f>
        <v>0</v>
      </c>
      <c r="BX73" s="79">
        <f>AT73+AV73+AW73+(BV73+BW73)</f>
        <v>0</v>
      </c>
      <c r="DB73" s="79">
        <f>SUMIF($CD$2:$DA$2,$DB$2,$CD73:$DA73)</f>
        <v>0</v>
      </c>
      <c r="DC73" s="79">
        <f>SUMIF($CD$2:$DA$2,$DC$2,$CD73:$DA73)</f>
        <v>0</v>
      </c>
      <c r="DD73" s="79">
        <f>SUMIF($CD$2:$DA$2,$DD$2,$CD73:$DA73)</f>
        <v>0</v>
      </c>
      <c r="DE73" s="79">
        <f>BX73+CA73+BZ73+CC73+(DB73+DC73+DD73)</f>
        <v>0</v>
      </c>
      <c r="DP73" s="131"/>
      <c r="EJ73" s="79">
        <f>SUMIF($DK$2:$EI$2,$EJ$2,$DK73:$EI73)</f>
        <v>0</v>
      </c>
      <c r="EK73" s="79">
        <f>SUMIF($DK$2:$EI$2,$EK$2,$DK73:$EI73)</f>
        <v>0</v>
      </c>
      <c r="EL73" s="79">
        <f>SUMIF($DK$2:$EI$2,$EL$2,$DK73:$EI73)</f>
        <v>0</v>
      </c>
      <c r="EM73" s="79">
        <f>DE73+DH73+DG73+DJ73+(EJ73+EK73+EL73)</f>
        <v>0</v>
      </c>
      <c r="FI73" s="66">
        <f>SUMIF($ES$2:$FH$2,$FI$2,$ES73:$FH73)</f>
        <v>0</v>
      </c>
      <c r="FJ73" s="66">
        <f>SUMIF($ES$2:$FH$2,$FJ$2,$ES73:$FH73)</f>
        <v>0</v>
      </c>
      <c r="FK73" s="66">
        <f>SUMIF($ES$2:$FH$2,$FK$2,$ES73:$FH73)</f>
        <v>0</v>
      </c>
      <c r="FL73" s="173">
        <f>EM73+EO73+EP73+EQ73+(FK73+FI73+FJ73)</f>
        <v>0</v>
      </c>
    </row>
    <row r="74" spans="1:168" hidden="1" collapsed="1" x14ac:dyDescent="0.2">
      <c r="G74" s="77"/>
      <c r="H74" s="77"/>
      <c r="I74" s="77"/>
      <c r="J74" s="77"/>
      <c r="K74" s="77"/>
      <c r="L74" s="77" t="s">
        <v>701</v>
      </c>
      <c r="M74" s="77" t="str">
        <f t="shared" si="20"/>
        <v/>
      </c>
      <c r="P74" s="18" t="s">
        <v>270</v>
      </c>
      <c r="Q74" s="78"/>
      <c r="R74" s="78"/>
      <c r="S74" s="14">
        <f>SUM(S69:S73)</f>
        <v>50064</v>
      </c>
      <c r="T74" s="14">
        <f t="shared" ref="T74:AT74" si="142">SUM(T69:T73)</f>
        <v>0</v>
      </c>
      <c r="U74" s="14">
        <f t="shared" si="142"/>
        <v>0</v>
      </c>
      <c r="V74" s="14">
        <f t="shared" si="142"/>
        <v>0</v>
      </c>
      <c r="W74" s="14">
        <f t="shared" si="142"/>
        <v>0</v>
      </c>
      <c r="X74" s="14">
        <f t="shared" si="142"/>
        <v>0</v>
      </c>
      <c r="Y74" s="14">
        <f t="shared" si="142"/>
        <v>0</v>
      </c>
      <c r="Z74" s="14">
        <f t="shared" si="142"/>
        <v>0</v>
      </c>
      <c r="AA74" s="14">
        <f t="shared" si="142"/>
        <v>0</v>
      </c>
      <c r="AB74" s="14">
        <f t="shared" si="142"/>
        <v>0</v>
      </c>
      <c r="AC74" s="14">
        <f t="shared" si="142"/>
        <v>0</v>
      </c>
      <c r="AD74" s="14">
        <f t="shared" si="142"/>
        <v>0</v>
      </c>
      <c r="AE74" s="14">
        <f t="shared" si="142"/>
        <v>0</v>
      </c>
      <c r="AF74" s="14">
        <f t="shared" si="142"/>
        <v>0</v>
      </c>
      <c r="AG74" s="14">
        <f t="shared" si="142"/>
        <v>0</v>
      </c>
      <c r="AH74" s="14">
        <f t="shared" si="142"/>
        <v>0</v>
      </c>
      <c r="AI74" s="14">
        <f t="shared" si="142"/>
        <v>0</v>
      </c>
      <c r="AJ74" s="14">
        <f t="shared" si="142"/>
        <v>0</v>
      </c>
      <c r="AK74" s="14">
        <f t="shared" si="142"/>
        <v>0</v>
      </c>
      <c r="AL74" s="14">
        <f t="shared" si="142"/>
        <v>0</v>
      </c>
      <c r="AM74" s="14">
        <f t="shared" si="142"/>
        <v>0</v>
      </c>
      <c r="AN74" s="14">
        <f t="shared" si="142"/>
        <v>0</v>
      </c>
      <c r="AO74" s="14">
        <f t="shared" si="142"/>
        <v>0</v>
      </c>
      <c r="AP74" s="14">
        <f t="shared" si="142"/>
        <v>-1044</v>
      </c>
      <c r="AQ74" s="14">
        <f t="shared" si="142"/>
        <v>0</v>
      </c>
      <c r="AR74" s="14">
        <f t="shared" si="142"/>
        <v>-1044</v>
      </c>
      <c r="AS74" s="14">
        <f t="shared" si="142"/>
        <v>0</v>
      </c>
      <c r="AT74" s="14">
        <f t="shared" si="142"/>
        <v>49020</v>
      </c>
      <c r="AU74" s="159"/>
      <c r="AV74" s="14">
        <f>SUM(AV69:AV73)</f>
        <v>0</v>
      </c>
      <c r="AW74" s="14">
        <f>SUM(AW69:AW73)</f>
        <v>0</v>
      </c>
      <c r="AX74" s="14">
        <f t="shared" ref="AX74:BX74" si="143">SUM(AX69:AX73)</f>
        <v>0</v>
      </c>
      <c r="AY74" s="14">
        <f t="shared" si="143"/>
        <v>0</v>
      </c>
      <c r="AZ74" s="14">
        <f t="shared" si="143"/>
        <v>-6250</v>
      </c>
      <c r="BA74" s="14">
        <f t="shared" si="143"/>
        <v>0</v>
      </c>
      <c r="BB74" s="14">
        <f t="shared" si="143"/>
        <v>0</v>
      </c>
      <c r="BC74" s="14">
        <f t="shared" si="143"/>
        <v>0</v>
      </c>
      <c r="BD74" s="14">
        <f t="shared" si="143"/>
        <v>0</v>
      </c>
      <c r="BE74" s="14">
        <f t="shared" si="143"/>
        <v>0</v>
      </c>
      <c r="BF74" s="14">
        <f t="shared" si="143"/>
        <v>0</v>
      </c>
      <c r="BG74" s="14">
        <f t="shared" si="143"/>
        <v>0</v>
      </c>
      <c r="BH74" s="14">
        <f t="shared" si="143"/>
        <v>0</v>
      </c>
      <c r="BI74" s="14">
        <f t="shared" si="143"/>
        <v>0</v>
      </c>
      <c r="BJ74" s="14">
        <f t="shared" si="143"/>
        <v>0</v>
      </c>
      <c r="BK74" s="14">
        <f t="shared" si="143"/>
        <v>0</v>
      </c>
      <c r="BL74" s="14">
        <f t="shared" si="143"/>
        <v>0</v>
      </c>
      <c r="BM74" s="14">
        <f t="shared" si="143"/>
        <v>0</v>
      </c>
      <c r="BN74" s="14">
        <f t="shared" si="143"/>
        <v>0</v>
      </c>
      <c r="BO74" s="14">
        <f t="shared" si="143"/>
        <v>0</v>
      </c>
      <c r="BP74" s="14">
        <f t="shared" si="143"/>
        <v>0</v>
      </c>
      <c r="BQ74" s="14">
        <f t="shared" si="143"/>
        <v>0</v>
      </c>
      <c r="BR74" s="14">
        <f t="shared" si="143"/>
        <v>0</v>
      </c>
      <c r="BS74" s="14">
        <f t="shared" si="143"/>
        <v>0</v>
      </c>
      <c r="BT74" s="14">
        <f t="shared" si="143"/>
        <v>0</v>
      </c>
      <c r="BU74" s="14">
        <f t="shared" si="143"/>
        <v>0</v>
      </c>
      <c r="BV74" s="14">
        <f t="shared" si="143"/>
        <v>-6250</v>
      </c>
      <c r="BW74" s="14">
        <f t="shared" si="143"/>
        <v>0</v>
      </c>
      <c r="BX74" s="14">
        <f t="shared" si="143"/>
        <v>42770</v>
      </c>
      <c r="BY74" s="159"/>
      <c r="BZ74" s="14">
        <f>SUM(BZ69:BZ73)</f>
        <v>0</v>
      </c>
      <c r="CA74" s="14">
        <f>SUM(CA69:CA73)</f>
        <v>0</v>
      </c>
      <c r="CB74" s="14"/>
      <c r="CC74" s="14">
        <f>SUM(CC69:CC73)</f>
        <v>0</v>
      </c>
      <c r="CD74" s="14">
        <f t="shared" ref="CD74:DE74" si="144">SUM(CD69:CD73)</f>
        <v>0</v>
      </c>
      <c r="CE74" s="14">
        <f t="shared" si="144"/>
        <v>0</v>
      </c>
      <c r="CF74" s="14">
        <f t="shared" si="144"/>
        <v>0</v>
      </c>
      <c r="CG74" s="14">
        <f t="shared" si="144"/>
        <v>0</v>
      </c>
      <c r="CH74" s="14">
        <f t="shared" si="144"/>
        <v>0</v>
      </c>
      <c r="CI74" s="14">
        <f t="shared" si="144"/>
        <v>0</v>
      </c>
      <c r="CJ74" s="14">
        <f t="shared" si="144"/>
        <v>0</v>
      </c>
      <c r="CK74" s="14">
        <f t="shared" si="144"/>
        <v>0</v>
      </c>
      <c r="CL74" s="14">
        <f t="shared" si="144"/>
        <v>0</v>
      </c>
      <c r="CM74" s="14">
        <f t="shared" si="144"/>
        <v>0</v>
      </c>
      <c r="CN74" s="14">
        <f t="shared" si="144"/>
        <v>0</v>
      </c>
      <c r="CO74" s="14">
        <f t="shared" si="144"/>
        <v>0</v>
      </c>
      <c r="CP74" s="14">
        <f t="shared" si="144"/>
        <v>0</v>
      </c>
      <c r="CQ74" s="14">
        <f t="shared" si="144"/>
        <v>0</v>
      </c>
      <c r="CR74" s="14">
        <f t="shared" si="144"/>
        <v>0</v>
      </c>
      <c r="CS74" s="14">
        <f t="shared" si="144"/>
        <v>0</v>
      </c>
      <c r="CT74" s="14">
        <f t="shared" si="144"/>
        <v>0</v>
      </c>
      <c r="CU74" s="14">
        <f t="shared" si="144"/>
        <v>0</v>
      </c>
      <c r="CV74" s="14">
        <f t="shared" si="144"/>
        <v>0</v>
      </c>
      <c r="CW74" s="14">
        <f t="shared" si="144"/>
        <v>0</v>
      </c>
      <c r="CX74" s="14">
        <f t="shared" si="144"/>
        <v>0</v>
      </c>
      <c r="CY74" s="14">
        <f t="shared" si="144"/>
        <v>0</v>
      </c>
      <c r="CZ74" s="14">
        <f t="shared" si="144"/>
        <v>0</v>
      </c>
      <c r="DA74" s="14">
        <f t="shared" si="144"/>
        <v>0</v>
      </c>
      <c r="DB74" s="14">
        <f t="shared" si="144"/>
        <v>0</v>
      </c>
      <c r="DC74" s="14">
        <f t="shared" ref="DC74" si="145">SUM(DC69:DC73)</f>
        <v>0</v>
      </c>
      <c r="DD74" s="14">
        <f t="shared" si="144"/>
        <v>0</v>
      </c>
      <c r="DE74" s="14">
        <f t="shared" si="144"/>
        <v>42770</v>
      </c>
      <c r="DF74" s="159"/>
      <c r="DG74" s="14">
        <f>SUM(DG69:DG73)</f>
        <v>0</v>
      </c>
      <c r="DH74" s="14">
        <f>SUM(DH69:DH73)</f>
        <v>0</v>
      </c>
      <c r="DI74" s="14"/>
      <c r="DJ74" s="14">
        <f>SUM(DJ69:DJ73)</f>
        <v>0</v>
      </c>
      <c r="DK74" s="14">
        <f t="shared" ref="DK74:FK74" si="146">SUM(DK69:DK73)</f>
        <v>0</v>
      </c>
      <c r="DL74" s="14">
        <f t="shared" si="146"/>
        <v>0</v>
      </c>
      <c r="DM74" s="14">
        <f t="shared" si="146"/>
        <v>0</v>
      </c>
      <c r="DN74" s="14">
        <f t="shared" si="146"/>
        <v>0</v>
      </c>
      <c r="DO74" s="14">
        <f t="shared" si="146"/>
        <v>0</v>
      </c>
      <c r="DP74" s="132">
        <f t="shared" si="146"/>
        <v>0</v>
      </c>
      <c r="DQ74" s="14">
        <f t="shared" si="146"/>
        <v>0</v>
      </c>
      <c r="DR74" s="14">
        <f t="shared" si="146"/>
        <v>-4020</v>
      </c>
      <c r="DS74" s="14">
        <f t="shared" si="146"/>
        <v>0</v>
      </c>
      <c r="DT74" s="14">
        <f t="shared" si="146"/>
        <v>0</v>
      </c>
      <c r="DU74" s="14">
        <f t="shared" si="146"/>
        <v>0</v>
      </c>
      <c r="DV74" s="14">
        <f t="shared" si="146"/>
        <v>0</v>
      </c>
      <c r="DW74" s="14">
        <f t="shared" si="146"/>
        <v>0</v>
      </c>
      <c r="DX74" s="14">
        <f t="shared" si="146"/>
        <v>0</v>
      </c>
      <c r="DY74" s="14">
        <f t="shared" si="146"/>
        <v>0</v>
      </c>
      <c r="DZ74" s="14">
        <f t="shared" si="146"/>
        <v>0</v>
      </c>
      <c r="EA74" s="14">
        <f t="shared" si="146"/>
        <v>0</v>
      </c>
      <c r="EB74" s="14">
        <f t="shared" si="146"/>
        <v>0</v>
      </c>
      <c r="EC74" s="14">
        <f t="shared" si="146"/>
        <v>0</v>
      </c>
      <c r="ED74" s="14">
        <f t="shared" si="146"/>
        <v>0</v>
      </c>
      <c r="EE74" s="14">
        <f t="shared" si="146"/>
        <v>0</v>
      </c>
      <c r="EF74" s="14">
        <f t="shared" si="146"/>
        <v>4020</v>
      </c>
      <c r="EG74" s="132">
        <f t="shared" si="146"/>
        <v>-4020</v>
      </c>
      <c r="EH74" s="14">
        <f t="shared" si="146"/>
        <v>0</v>
      </c>
      <c r="EI74" s="14">
        <f t="shared" si="146"/>
        <v>0</v>
      </c>
      <c r="EJ74" s="14">
        <f t="shared" si="146"/>
        <v>-4020</v>
      </c>
      <c r="EK74" s="14">
        <f t="shared" ref="EK74" si="147">SUM(EK69:EK73)</f>
        <v>0</v>
      </c>
      <c r="EL74" s="14">
        <f t="shared" si="146"/>
        <v>0</v>
      </c>
      <c r="EM74" s="14">
        <f t="shared" si="146"/>
        <v>38750</v>
      </c>
      <c r="EN74" s="14">
        <f t="shared" si="146"/>
        <v>0</v>
      </c>
      <c r="EO74" s="14">
        <f t="shared" si="146"/>
        <v>0</v>
      </c>
      <c r="EP74" s="14">
        <f t="shared" si="146"/>
        <v>0</v>
      </c>
      <c r="EQ74" s="14">
        <f t="shared" si="146"/>
        <v>0</v>
      </c>
      <c r="ER74" s="14">
        <f t="shared" si="146"/>
        <v>0</v>
      </c>
      <c r="ES74" s="68">
        <f t="shared" si="146"/>
        <v>0</v>
      </c>
      <c r="ET74" s="68">
        <f t="shared" si="146"/>
        <v>0</v>
      </c>
      <c r="EU74" s="68">
        <f t="shared" si="146"/>
        <v>0</v>
      </c>
      <c r="EV74" s="68">
        <f t="shared" ref="EV74" si="148">SUM(EV69:EV73)</f>
        <v>0</v>
      </c>
      <c r="EW74" s="68">
        <f t="shared" si="146"/>
        <v>0</v>
      </c>
      <c r="EX74" s="68">
        <f t="shared" si="146"/>
        <v>0</v>
      </c>
      <c r="EY74" s="68">
        <f t="shared" si="146"/>
        <v>0</v>
      </c>
      <c r="EZ74" s="68">
        <f t="shared" ref="EZ74:FB74" si="149">SUM(EZ69:EZ73)</f>
        <v>0</v>
      </c>
      <c r="FA74" s="68">
        <f t="shared" si="149"/>
        <v>0</v>
      </c>
      <c r="FB74" s="68">
        <f t="shared" si="149"/>
        <v>0</v>
      </c>
      <c r="FC74" s="68">
        <f t="shared" si="146"/>
        <v>0</v>
      </c>
      <c r="FD74" s="68">
        <f t="shared" si="146"/>
        <v>0</v>
      </c>
      <c r="FE74" s="68">
        <f t="shared" si="146"/>
        <v>0</v>
      </c>
      <c r="FF74" s="68">
        <f t="shared" si="146"/>
        <v>0</v>
      </c>
      <c r="FG74" s="68">
        <f t="shared" si="146"/>
        <v>0</v>
      </c>
      <c r="FH74" s="68">
        <f t="shared" si="146"/>
        <v>0</v>
      </c>
      <c r="FI74" s="68">
        <f t="shared" ref="FI74:FJ74" si="150">SUM(FI69:FI73)</f>
        <v>0</v>
      </c>
      <c r="FJ74" s="68">
        <f t="shared" si="150"/>
        <v>0</v>
      </c>
      <c r="FK74" s="68">
        <f t="shared" si="146"/>
        <v>0</v>
      </c>
      <c r="FL74" s="14">
        <f>EM74+EO74+EP74+EQ74+FK74</f>
        <v>38750</v>
      </c>
    </row>
    <row r="75" spans="1:168" hidden="1" x14ac:dyDescent="0.2">
      <c r="E75" s="77"/>
      <c r="F75" s="77"/>
      <c r="G75" s="77"/>
      <c r="H75" s="77"/>
      <c r="I75" s="77"/>
      <c r="J75" s="77"/>
      <c r="K75" s="77"/>
      <c r="L75" s="77" t="s">
        <v>701</v>
      </c>
      <c r="M75" s="77" t="str">
        <f t="shared" si="20"/>
        <v/>
      </c>
      <c r="Q75" s="78"/>
      <c r="R75" s="78"/>
      <c r="AV75" s="79"/>
      <c r="DP75" s="131"/>
    </row>
    <row r="76" spans="1:168" hidden="1" outlineLevel="1" x14ac:dyDescent="0.2">
      <c r="A76" s="88" t="s">
        <v>9</v>
      </c>
      <c r="B76" s="89" t="s">
        <v>640</v>
      </c>
      <c r="C76" s="88" t="s">
        <v>90</v>
      </c>
      <c r="D76" s="88" t="s">
        <v>564</v>
      </c>
      <c r="E76" s="89" t="s">
        <v>202</v>
      </c>
      <c r="F76" s="89" t="s">
        <v>711</v>
      </c>
      <c r="G76" s="77" t="str">
        <f t="shared" ref="G76:G85" si="151">IF(S76&gt;0, "1", "0")</f>
        <v>0</v>
      </c>
      <c r="H76" s="77" t="str">
        <f t="shared" ref="H76:H85" si="152">IF(AW76&gt;0, "1", "0")</f>
        <v>0</v>
      </c>
      <c r="I76" s="77" t="str">
        <f t="shared" ref="I76:I85" si="153">IF(CC76&gt;0, "1", "0")</f>
        <v>1</v>
      </c>
      <c r="J76" s="77" t="str">
        <f t="shared" ref="J76:J85" si="154">IF(DJ76&gt;0, "1", "0")</f>
        <v>0</v>
      </c>
      <c r="K76" s="77" t="str">
        <f t="shared" ref="K76:K85" si="155">CONCATENATE(G76,H76,I76,J76)</f>
        <v>0010</v>
      </c>
      <c r="L76" s="77" t="str">
        <f>IFERROR(VLOOKUP(K76,Sheet2!$A$20:$B$23,2,FALSE),"X")</f>
        <v>03</v>
      </c>
      <c r="M76" s="77" t="str">
        <f t="shared" ref="M76:M103" si="156">A76&amp;B76&amp;E76</f>
        <v>00300022Diagnostic Review 19-20</v>
      </c>
      <c r="N76" s="88"/>
      <c r="O76" s="88" t="s">
        <v>160</v>
      </c>
      <c r="P76" s="90" t="s">
        <v>168</v>
      </c>
      <c r="Q76" s="91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161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>
        <f t="shared" ref="BV76:BV101" si="157">SUMIF($AX$2:$BU$2,$BV$2,$AX76:$BU76)</f>
        <v>0</v>
      </c>
      <c r="BW76" s="92">
        <f t="shared" ref="BW76:BW101" si="158">SUMIF($AX$2:$BU$2,$BW$2,$AX76:$BU76)</f>
        <v>0</v>
      </c>
      <c r="BX76" s="92">
        <f t="shared" ref="BX76:BX85" si="159">AT76+AV76+AW76+(BV76+BW76)</f>
        <v>0</v>
      </c>
      <c r="BY76" s="161"/>
      <c r="BZ76" s="92"/>
      <c r="CA76" s="92"/>
      <c r="CB76" s="92"/>
      <c r="CC76" s="92">
        <v>11050</v>
      </c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>
        <v>-250</v>
      </c>
      <c r="CY76" s="92"/>
      <c r="CZ76" s="92"/>
      <c r="DA76" s="92"/>
      <c r="DB76" s="92">
        <f t="shared" ref="DB76:DB101" si="160">SUMIF($CD$2:$DA$2,$DB$2,$CD76:$DA76)</f>
        <v>0</v>
      </c>
      <c r="DC76" s="92">
        <f t="shared" ref="DC76:DC101" si="161">SUMIF($CD$2:$DA$2,$DC$2,$CD76:$DA76)</f>
        <v>-250</v>
      </c>
      <c r="DD76" s="92">
        <f t="shared" ref="DD76:DD101" si="162">SUMIF($CD$2:$DA$2,$DD$2,$CD76:$DA76)</f>
        <v>0</v>
      </c>
      <c r="DE76" s="92">
        <f t="shared" ref="DE76:DE85" si="163">BX76+CA76+BZ76+CC76+(DB76+DC76+DD76)</f>
        <v>10800</v>
      </c>
      <c r="DP76" s="131"/>
      <c r="EJ76" s="79">
        <f t="shared" ref="EJ76:EJ101" si="164">SUMIF($DK$2:$EI$2,$EJ$2,$DK76:$EI76)</f>
        <v>0</v>
      </c>
      <c r="EK76" s="79">
        <f t="shared" ref="EK76:EK101" si="165">SUMIF($DK$2:$EI$2,$EK$2,$DK76:$EI76)</f>
        <v>0</v>
      </c>
      <c r="EL76" s="79">
        <f t="shared" ref="EL76:EL101" si="166">SUMIF($DK$2:$EI$2,$EL$2,$DK76:$EI76)</f>
        <v>0</v>
      </c>
      <c r="EM76" s="79">
        <f t="shared" ref="EM76:EM103" si="167">DE76+DH76+DG76+DJ76+(EJ76+EK76+EL76)</f>
        <v>10800</v>
      </c>
      <c r="FI76" s="66">
        <f t="shared" ref="FI76:FI107" si="168">SUMIF($ES$2:$FH$2,$FI$2,$ES76:$FH76)</f>
        <v>0</v>
      </c>
      <c r="FJ76" s="66">
        <f t="shared" ref="FJ76:FJ107" si="169">SUMIF($ES$2:$FH$2,$FJ$2,$ES76:$FH76)</f>
        <v>0</v>
      </c>
      <c r="FK76" s="66">
        <f t="shared" ref="FK76:FK107" si="170">SUMIF($ES$2:$FH$2,$FK$2,$ES76:$FH76)</f>
        <v>0</v>
      </c>
      <c r="FL76" s="173">
        <f t="shared" ref="FL76:FL107" si="171">EM76+EO76+EP76+EQ76+(FK76+FI76+FJ76)</f>
        <v>10800</v>
      </c>
    </row>
    <row r="77" spans="1:168" hidden="1" outlineLevel="1" x14ac:dyDescent="0.2">
      <c r="A77" s="76" t="s">
        <v>9</v>
      </c>
      <c r="B77" s="77" t="s">
        <v>640</v>
      </c>
      <c r="C77" s="76" t="s">
        <v>90</v>
      </c>
      <c r="D77" s="76" t="s">
        <v>564</v>
      </c>
      <c r="E77" s="77" t="s">
        <v>201</v>
      </c>
      <c r="F77" s="77" t="s">
        <v>711</v>
      </c>
      <c r="G77" s="77" t="str">
        <f t="shared" si="151"/>
        <v>0</v>
      </c>
      <c r="H77" s="77" t="str">
        <f t="shared" si="152"/>
        <v>1</v>
      </c>
      <c r="I77" s="77" t="str">
        <f t="shared" si="153"/>
        <v>0</v>
      </c>
      <c r="J77" s="77" t="str">
        <f t="shared" si="154"/>
        <v>0</v>
      </c>
      <c r="K77" s="77" t="str">
        <f t="shared" si="155"/>
        <v>0100</v>
      </c>
      <c r="L77" s="77" t="str">
        <f>IFERROR(VLOOKUP(K77,Sheet2!$A$20:$B$23,2,FALSE),"X")</f>
        <v>02</v>
      </c>
      <c r="M77" s="77" t="str">
        <f t="shared" si="156"/>
        <v>00300022Diagnostic Review 18-19</v>
      </c>
      <c r="O77" s="76" t="s">
        <v>160</v>
      </c>
      <c r="P77" s="69" t="s">
        <v>168</v>
      </c>
      <c r="Q77" s="78"/>
      <c r="R77" s="78"/>
      <c r="AU77" s="158" t="s">
        <v>336</v>
      </c>
      <c r="AV77" s="79"/>
      <c r="AW77" s="79">
        <v>71825</v>
      </c>
      <c r="BV77" s="79">
        <f t="shared" si="157"/>
        <v>0</v>
      </c>
      <c r="BW77" s="79">
        <f t="shared" si="158"/>
        <v>0</v>
      </c>
      <c r="BX77" s="79">
        <f t="shared" si="159"/>
        <v>71825</v>
      </c>
      <c r="CR77" s="79">
        <v>-2844.44</v>
      </c>
      <c r="DB77" s="79">
        <f t="shared" si="160"/>
        <v>0</v>
      </c>
      <c r="DC77" s="79">
        <f t="shared" si="161"/>
        <v>-2844.44</v>
      </c>
      <c r="DD77" s="79">
        <f t="shared" si="162"/>
        <v>0</v>
      </c>
      <c r="DE77" s="79">
        <f t="shared" si="163"/>
        <v>68980.56</v>
      </c>
      <c r="DP77" s="131">
        <v>-53877.72</v>
      </c>
      <c r="EJ77" s="79">
        <f t="shared" si="164"/>
        <v>-53877.72</v>
      </c>
      <c r="EK77" s="79">
        <f t="shared" si="165"/>
        <v>0</v>
      </c>
      <c r="EL77" s="79">
        <f t="shared" si="166"/>
        <v>0</v>
      </c>
      <c r="EM77" s="79">
        <f t="shared" si="167"/>
        <v>15102.839999999997</v>
      </c>
      <c r="ES77" s="144">
        <v>-7273.62</v>
      </c>
      <c r="EU77" s="145">
        <v>-7579.22</v>
      </c>
      <c r="FI77" s="66">
        <f t="shared" si="168"/>
        <v>0</v>
      </c>
      <c r="FJ77" s="66">
        <f t="shared" si="169"/>
        <v>0</v>
      </c>
      <c r="FK77" s="66">
        <f t="shared" si="170"/>
        <v>-14852.84</v>
      </c>
      <c r="FL77" s="173">
        <f t="shared" si="171"/>
        <v>249.99999999999636</v>
      </c>
    </row>
    <row r="78" spans="1:168" hidden="1" outlineLevel="1" x14ac:dyDescent="0.2">
      <c r="A78" s="76" t="s">
        <v>9</v>
      </c>
      <c r="B78" s="76" t="s">
        <v>342</v>
      </c>
      <c r="C78" s="76" t="s">
        <v>90</v>
      </c>
      <c r="D78" s="76" t="s">
        <v>561</v>
      </c>
      <c r="E78" s="77" t="s">
        <v>201</v>
      </c>
      <c r="F78" s="77" t="s">
        <v>711</v>
      </c>
      <c r="G78" s="77" t="str">
        <f t="shared" si="151"/>
        <v>0</v>
      </c>
      <c r="H78" s="77" t="str">
        <f t="shared" si="152"/>
        <v>1</v>
      </c>
      <c r="I78" s="77" t="str">
        <f t="shared" si="153"/>
        <v>0</v>
      </c>
      <c r="J78" s="77" t="str">
        <f t="shared" si="154"/>
        <v>0</v>
      </c>
      <c r="K78" s="77" t="str">
        <f t="shared" si="155"/>
        <v>0100</v>
      </c>
      <c r="L78" s="77" t="str">
        <f>IFERROR(VLOOKUP(K78,Sheet2!$A$20:$B$23,2,FALSE),"X")</f>
        <v>02</v>
      </c>
      <c r="M78" s="77" t="str">
        <f t="shared" si="156"/>
        <v>00300024Diagnostic Review 18-19</v>
      </c>
      <c r="O78" s="76" t="s">
        <v>160</v>
      </c>
      <c r="P78" s="69" t="s">
        <v>168</v>
      </c>
      <c r="Q78" s="78"/>
      <c r="R78" s="78"/>
      <c r="AU78" s="158" t="s">
        <v>336</v>
      </c>
      <c r="AV78" s="79"/>
      <c r="AW78" s="79">
        <v>71825</v>
      </c>
      <c r="BV78" s="79">
        <f t="shared" si="157"/>
        <v>0</v>
      </c>
      <c r="BW78" s="79">
        <f t="shared" si="158"/>
        <v>0</v>
      </c>
      <c r="BX78" s="79">
        <f t="shared" si="159"/>
        <v>71825</v>
      </c>
      <c r="CR78" s="79">
        <v>-8162.66</v>
      </c>
      <c r="CX78" s="79">
        <v>-1500</v>
      </c>
      <c r="DB78" s="79">
        <f t="shared" si="160"/>
        <v>0</v>
      </c>
      <c r="DC78" s="79">
        <f t="shared" si="161"/>
        <v>-9662.66</v>
      </c>
      <c r="DD78" s="79">
        <f t="shared" si="162"/>
        <v>0</v>
      </c>
      <c r="DE78" s="79">
        <f t="shared" si="163"/>
        <v>62162.34</v>
      </c>
      <c r="DP78" s="131">
        <v>-48657.33</v>
      </c>
      <c r="EJ78" s="79">
        <f t="shared" si="164"/>
        <v>-48657.33</v>
      </c>
      <c r="EK78" s="79">
        <f t="shared" si="165"/>
        <v>0</v>
      </c>
      <c r="EL78" s="79">
        <f t="shared" si="166"/>
        <v>0</v>
      </c>
      <c r="EM78" s="79">
        <f t="shared" si="167"/>
        <v>13505.009999999995</v>
      </c>
      <c r="ES78" s="144">
        <v>-7273.62</v>
      </c>
      <c r="EU78" s="145">
        <v>-6231.39</v>
      </c>
      <c r="FI78" s="66">
        <f t="shared" si="168"/>
        <v>0</v>
      </c>
      <c r="FJ78" s="66">
        <f t="shared" si="169"/>
        <v>0</v>
      </c>
      <c r="FK78" s="66">
        <f t="shared" si="170"/>
        <v>-13505.01</v>
      </c>
      <c r="FL78" s="173">
        <f t="shared" si="171"/>
        <v>0</v>
      </c>
    </row>
    <row r="79" spans="1:168" hidden="1" outlineLevel="1" x14ac:dyDescent="0.2">
      <c r="A79" s="76" t="s">
        <v>9</v>
      </c>
      <c r="B79" s="76" t="s">
        <v>343</v>
      </c>
      <c r="C79" s="76" t="s">
        <v>90</v>
      </c>
      <c r="D79" s="76" t="s">
        <v>562</v>
      </c>
      <c r="E79" s="77" t="s">
        <v>201</v>
      </c>
      <c r="F79" s="77" t="s">
        <v>711</v>
      </c>
      <c r="G79" s="77" t="str">
        <f t="shared" si="151"/>
        <v>0</v>
      </c>
      <c r="H79" s="77" t="str">
        <f t="shared" si="152"/>
        <v>1</v>
      </c>
      <c r="I79" s="77" t="str">
        <f t="shared" si="153"/>
        <v>0</v>
      </c>
      <c r="J79" s="77" t="str">
        <f t="shared" si="154"/>
        <v>0</v>
      </c>
      <c r="K79" s="77" t="str">
        <f t="shared" si="155"/>
        <v>0100</v>
      </c>
      <c r="L79" s="77" t="str">
        <f>IFERROR(VLOOKUP(K79,Sheet2!$A$20:$B$23,2,FALSE),"X")</f>
        <v>02</v>
      </c>
      <c r="M79" s="77" t="str">
        <f t="shared" si="156"/>
        <v>00300186Diagnostic Review 18-19</v>
      </c>
      <c r="O79" s="76" t="s">
        <v>160</v>
      </c>
      <c r="P79" s="69" t="s">
        <v>168</v>
      </c>
      <c r="Q79" s="78"/>
      <c r="R79" s="78"/>
      <c r="AU79" s="158" t="s">
        <v>336</v>
      </c>
      <c r="AV79" s="79"/>
      <c r="AW79" s="79">
        <v>71825</v>
      </c>
      <c r="BV79" s="79">
        <f t="shared" si="157"/>
        <v>0</v>
      </c>
      <c r="BW79" s="79">
        <f t="shared" si="158"/>
        <v>0</v>
      </c>
      <c r="BX79" s="79">
        <f t="shared" si="159"/>
        <v>71825</v>
      </c>
      <c r="CR79" s="79">
        <v>-4380.04</v>
      </c>
      <c r="CV79" s="79">
        <v>-738.8</v>
      </c>
      <c r="CX79" s="79">
        <v>-1200</v>
      </c>
      <c r="DB79" s="79">
        <f t="shared" si="160"/>
        <v>0</v>
      </c>
      <c r="DC79" s="79">
        <f t="shared" si="161"/>
        <v>-6318.84</v>
      </c>
      <c r="DD79" s="79">
        <f t="shared" si="162"/>
        <v>0</v>
      </c>
      <c r="DE79" s="79">
        <f t="shared" si="163"/>
        <v>65506.16</v>
      </c>
      <c r="DP79" s="131">
        <v>-53122.25</v>
      </c>
      <c r="DQ79" s="79">
        <f>-2252.1</f>
        <v>-2252.1</v>
      </c>
      <c r="DU79" s="79">
        <v>-181.17</v>
      </c>
      <c r="EJ79" s="79">
        <f t="shared" si="164"/>
        <v>-53122.25</v>
      </c>
      <c r="EK79" s="79">
        <f t="shared" si="165"/>
        <v>-2433.27</v>
      </c>
      <c r="EL79" s="79">
        <f t="shared" si="166"/>
        <v>0</v>
      </c>
      <c r="EM79" s="79">
        <f t="shared" si="167"/>
        <v>9950.6400000000067</v>
      </c>
      <c r="EU79" s="146">
        <v>-9950.64</v>
      </c>
      <c r="FI79" s="66">
        <f t="shared" si="168"/>
        <v>0</v>
      </c>
      <c r="FJ79" s="66">
        <f t="shared" si="169"/>
        <v>0</v>
      </c>
      <c r="FK79" s="66">
        <f t="shared" si="170"/>
        <v>-9950.64</v>
      </c>
      <c r="FL79" s="173">
        <f t="shared" si="171"/>
        <v>0</v>
      </c>
    </row>
    <row r="80" spans="1:168" hidden="1" outlineLevel="1" x14ac:dyDescent="0.2">
      <c r="A80" s="76" t="s">
        <v>9</v>
      </c>
      <c r="B80" s="76" t="s">
        <v>344</v>
      </c>
      <c r="C80" s="76" t="s">
        <v>90</v>
      </c>
      <c r="D80" s="76" t="s">
        <v>563</v>
      </c>
      <c r="E80" s="77" t="s">
        <v>201</v>
      </c>
      <c r="F80" s="77" t="s">
        <v>711</v>
      </c>
      <c r="G80" s="77" t="str">
        <f t="shared" si="151"/>
        <v>0</v>
      </c>
      <c r="H80" s="77" t="str">
        <f t="shared" si="152"/>
        <v>1</v>
      </c>
      <c r="I80" s="77" t="str">
        <f t="shared" si="153"/>
        <v>0</v>
      </c>
      <c r="J80" s="77" t="str">
        <f t="shared" si="154"/>
        <v>0</v>
      </c>
      <c r="K80" s="77" t="str">
        <f t="shared" si="155"/>
        <v>0100</v>
      </c>
      <c r="L80" s="77" t="str">
        <f>IFERROR(VLOOKUP(K80,Sheet2!$A$20:$B$23,2,FALSE),"X")</f>
        <v>02</v>
      </c>
      <c r="M80" s="77" t="str">
        <f t="shared" si="156"/>
        <v>00302308Diagnostic Review 18-19</v>
      </c>
      <c r="O80" s="76" t="s">
        <v>160</v>
      </c>
      <c r="P80" s="69" t="s">
        <v>168</v>
      </c>
      <c r="Q80" s="78"/>
      <c r="R80" s="78"/>
      <c r="AU80" s="158" t="s">
        <v>336</v>
      </c>
      <c r="AV80" s="79"/>
      <c r="AW80" s="79">
        <v>71825</v>
      </c>
      <c r="BV80" s="79">
        <f t="shared" si="157"/>
        <v>0</v>
      </c>
      <c r="BW80" s="79">
        <f t="shared" si="158"/>
        <v>0</v>
      </c>
      <c r="BX80" s="79">
        <f t="shared" si="159"/>
        <v>71825</v>
      </c>
      <c r="CR80" s="79">
        <v>-2396.2199999999998</v>
      </c>
      <c r="CX80" s="79">
        <v>-550</v>
      </c>
      <c r="DB80" s="79">
        <f t="shared" si="160"/>
        <v>0</v>
      </c>
      <c r="DC80" s="79">
        <f t="shared" si="161"/>
        <v>-2946.22</v>
      </c>
      <c r="DD80" s="79">
        <f t="shared" si="162"/>
        <v>0</v>
      </c>
      <c r="DE80" s="79">
        <f t="shared" si="163"/>
        <v>68878.78</v>
      </c>
      <c r="DP80" s="131">
        <v>-54723.79</v>
      </c>
      <c r="DQ80" s="79">
        <v>-303.68</v>
      </c>
      <c r="DU80" s="79">
        <v>-24.29</v>
      </c>
      <c r="DW80" s="79">
        <v>-440.72</v>
      </c>
      <c r="EJ80" s="79">
        <f t="shared" si="164"/>
        <v>-54723.79</v>
      </c>
      <c r="EK80" s="79">
        <f t="shared" si="165"/>
        <v>-768.69</v>
      </c>
      <c r="EL80" s="79">
        <f t="shared" si="166"/>
        <v>0</v>
      </c>
      <c r="EM80" s="79">
        <f t="shared" si="167"/>
        <v>13386.299999999996</v>
      </c>
      <c r="EU80" s="146">
        <v>-13386.3</v>
      </c>
      <c r="FI80" s="66">
        <f t="shared" si="168"/>
        <v>0</v>
      </c>
      <c r="FJ80" s="66">
        <f t="shared" si="169"/>
        <v>0</v>
      </c>
      <c r="FK80" s="66">
        <f t="shared" si="170"/>
        <v>-13386.3</v>
      </c>
      <c r="FL80" s="173">
        <f t="shared" si="171"/>
        <v>0</v>
      </c>
    </row>
    <row r="81" spans="1:168" hidden="1" outlineLevel="1" x14ac:dyDescent="0.2">
      <c r="A81" s="76" t="s">
        <v>9</v>
      </c>
      <c r="B81" s="76" t="s">
        <v>345</v>
      </c>
      <c r="C81" s="76" t="s">
        <v>90</v>
      </c>
      <c r="D81" s="76" t="s">
        <v>346</v>
      </c>
      <c r="E81" s="77" t="s">
        <v>201</v>
      </c>
      <c r="F81" s="77" t="s">
        <v>711</v>
      </c>
      <c r="G81" s="77" t="str">
        <f t="shared" si="151"/>
        <v>0</v>
      </c>
      <c r="H81" s="77" t="str">
        <f t="shared" si="152"/>
        <v>1</v>
      </c>
      <c r="I81" s="77" t="str">
        <f t="shared" si="153"/>
        <v>0</v>
      </c>
      <c r="J81" s="77" t="str">
        <f t="shared" si="154"/>
        <v>0</v>
      </c>
      <c r="K81" s="77" t="str">
        <f t="shared" si="155"/>
        <v>0100</v>
      </c>
      <c r="L81" s="77" t="str">
        <f>IFERROR(VLOOKUP(K81,Sheet2!$A$20:$B$23,2,FALSE),"X")</f>
        <v>02</v>
      </c>
      <c r="M81" s="77" t="str">
        <f t="shared" si="156"/>
        <v>00304516Diagnostic Review 18-19</v>
      </c>
      <c r="O81" s="76" t="s">
        <v>160</v>
      </c>
      <c r="P81" s="69" t="s">
        <v>168</v>
      </c>
      <c r="Q81" s="78"/>
      <c r="R81" s="78"/>
      <c r="AU81" s="158" t="s">
        <v>336</v>
      </c>
      <c r="AV81" s="79"/>
      <c r="AW81" s="79">
        <v>44200</v>
      </c>
      <c r="BV81" s="79">
        <f t="shared" si="157"/>
        <v>0</v>
      </c>
      <c r="BW81" s="79">
        <f t="shared" si="158"/>
        <v>0</v>
      </c>
      <c r="BX81" s="79">
        <f t="shared" si="159"/>
        <v>44200</v>
      </c>
      <c r="DB81" s="79">
        <f t="shared" si="160"/>
        <v>0</v>
      </c>
      <c r="DC81" s="79">
        <f t="shared" si="161"/>
        <v>0</v>
      </c>
      <c r="DD81" s="79">
        <f t="shared" si="162"/>
        <v>0</v>
      </c>
      <c r="DE81" s="79">
        <f t="shared" si="163"/>
        <v>44200</v>
      </c>
      <c r="DP81" s="131">
        <v>-29700</v>
      </c>
      <c r="DQ81" s="79">
        <v>-1552.48</v>
      </c>
      <c r="DU81" s="79">
        <v>-124.2</v>
      </c>
      <c r="EJ81" s="79">
        <f t="shared" si="164"/>
        <v>-29700</v>
      </c>
      <c r="EK81" s="79">
        <f t="shared" si="165"/>
        <v>-1676.68</v>
      </c>
      <c r="EL81" s="79">
        <f t="shared" si="166"/>
        <v>0</v>
      </c>
      <c r="EM81" s="79">
        <f t="shared" si="167"/>
        <v>12823.32</v>
      </c>
      <c r="ES81" s="144">
        <v>-7273.62</v>
      </c>
      <c r="EU81" s="147">
        <v>-5549.7</v>
      </c>
      <c r="FI81" s="66">
        <f t="shared" si="168"/>
        <v>0</v>
      </c>
      <c r="FJ81" s="66">
        <f t="shared" si="169"/>
        <v>0</v>
      </c>
      <c r="FK81" s="66">
        <f t="shared" si="170"/>
        <v>-12823.32</v>
      </c>
      <c r="FL81" s="173">
        <f t="shared" si="171"/>
        <v>0</v>
      </c>
    </row>
    <row r="82" spans="1:168" hidden="1" outlineLevel="1" x14ac:dyDescent="0.2">
      <c r="A82" s="76" t="s">
        <v>9</v>
      </c>
      <c r="B82" s="76" t="s">
        <v>347</v>
      </c>
      <c r="C82" s="76" t="s">
        <v>90</v>
      </c>
      <c r="D82" s="76" t="s">
        <v>565</v>
      </c>
      <c r="E82" s="77" t="s">
        <v>201</v>
      </c>
      <c r="F82" s="77" t="s">
        <v>711</v>
      </c>
      <c r="G82" s="77" t="str">
        <f t="shared" si="151"/>
        <v>0</v>
      </c>
      <c r="H82" s="77" t="str">
        <f t="shared" si="152"/>
        <v>1</v>
      </c>
      <c r="I82" s="77" t="str">
        <f t="shared" si="153"/>
        <v>1</v>
      </c>
      <c r="J82" s="77" t="str">
        <f t="shared" si="154"/>
        <v>0</v>
      </c>
      <c r="K82" s="77" t="str">
        <f t="shared" si="155"/>
        <v>0110</v>
      </c>
      <c r="L82" s="77" t="str">
        <f>IFERROR(VLOOKUP(K82,Sheet2!$A$20:$B$23,2,FALSE),"X")</f>
        <v>X</v>
      </c>
      <c r="M82" s="77" t="str">
        <f t="shared" si="156"/>
        <v>00304536Diagnostic Review 18-19</v>
      </c>
      <c r="O82" s="76" t="s">
        <v>160</v>
      </c>
      <c r="P82" s="69" t="s">
        <v>168</v>
      </c>
      <c r="Q82" s="78"/>
      <c r="R82" s="78"/>
      <c r="AU82" s="158" t="s">
        <v>336</v>
      </c>
      <c r="AV82" s="79"/>
      <c r="AW82" s="79">
        <v>71825</v>
      </c>
      <c r="BV82" s="79">
        <f t="shared" si="157"/>
        <v>0</v>
      </c>
      <c r="BW82" s="79">
        <f t="shared" si="158"/>
        <v>0</v>
      </c>
      <c r="BX82" s="79">
        <f t="shared" si="159"/>
        <v>71825</v>
      </c>
      <c r="CC82" s="79">
        <v>11050</v>
      </c>
      <c r="CR82" s="79">
        <v>-2721.05</v>
      </c>
      <c r="CX82" s="79">
        <v>-550</v>
      </c>
      <c r="DB82" s="79">
        <f t="shared" si="160"/>
        <v>0</v>
      </c>
      <c r="DC82" s="79">
        <f t="shared" si="161"/>
        <v>-3271.05</v>
      </c>
      <c r="DD82" s="79">
        <f t="shared" si="162"/>
        <v>0</v>
      </c>
      <c r="DE82" s="79">
        <f t="shared" si="163"/>
        <v>79603.95</v>
      </c>
      <c r="DP82" s="131">
        <v>-54041.37</v>
      </c>
      <c r="EJ82" s="79">
        <f t="shared" si="164"/>
        <v>-54041.37</v>
      </c>
      <c r="EK82" s="79">
        <f t="shared" si="165"/>
        <v>0</v>
      </c>
      <c r="EL82" s="79">
        <f t="shared" si="166"/>
        <v>0</v>
      </c>
      <c r="EM82" s="79">
        <f t="shared" si="167"/>
        <v>25562.579999999994</v>
      </c>
      <c r="EU82" s="147">
        <v>-14512.58</v>
      </c>
      <c r="FI82" s="66">
        <f t="shared" si="168"/>
        <v>0</v>
      </c>
      <c r="FJ82" s="66">
        <f t="shared" si="169"/>
        <v>0</v>
      </c>
      <c r="FK82" s="66">
        <f t="shared" si="170"/>
        <v>-14512.58</v>
      </c>
      <c r="FL82" s="173">
        <f t="shared" si="171"/>
        <v>11049.999999999995</v>
      </c>
    </row>
    <row r="83" spans="1:168" hidden="1" outlineLevel="1" x14ac:dyDescent="0.2">
      <c r="A83" s="76" t="s">
        <v>9</v>
      </c>
      <c r="B83" s="76" t="s">
        <v>295</v>
      </c>
      <c r="C83" s="76" t="s">
        <v>90</v>
      </c>
      <c r="D83" s="76" t="s">
        <v>280</v>
      </c>
      <c r="E83" s="77" t="s">
        <v>201</v>
      </c>
      <c r="F83" s="77" t="s">
        <v>711</v>
      </c>
      <c r="G83" s="77" t="str">
        <f t="shared" si="151"/>
        <v>0</v>
      </c>
      <c r="H83" s="77" t="str">
        <f t="shared" si="152"/>
        <v>1</v>
      </c>
      <c r="I83" s="77" t="str">
        <f t="shared" si="153"/>
        <v>1</v>
      </c>
      <c r="J83" s="77" t="str">
        <f t="shared" si="154"/>
        <v>0</v>
      </c>
      <c r="K83" s="77" t="str">
        <f t="shared" si="155"/>
        <v>0110</v>
      </c>
      <c r="L83" s="77" t="str">
        <f>IFERROR(VLOOKUP(K83,Sheet2!$A$20:$B$23,2,FALSE),"X")</f>
        <v>X</v>
      </c>
      <c r="M83" s="77" t="str">
        <f t="shared" si="156"/>
        <v>00305982Diagnostic Review 18-19</v>
      </c>
      <c r="O83" s="76" t="s">
        <v>160</v>
      </c>
      <c r="P83" s="69" t="s">
        <v>168</v>
      </c>
      <c r="Q83" s="78"/>
      <c r="R83" s="78"/>
      <c r="AU83" s="158" t="s">
        <v>336</v>
      </c>
      <c r="AV83" s="79"/>
      <c r="AW83" s="79">
        <v>71825</v>
      </c>
      <c r="BV83" s="79">
        <f t="shared" si="157"/>
        <v>0</v>
      </c>
      <c r="BW83" s="79">
        <f t="shared" si="158"/>
        <v>0</v>
      </c>
      <c r="BX83" s="79">
        <f t="shared" si="159"/>
        <v>71825</v>
      </c>
      <c r="CC83" s="79">
        <v>11050</v>
      </c>
      <c r="CR83" s="79">
        <v>-2313.7399999999998</v>
      </c>
      <c r="DB83" s="79">
        <f t="shared" si="160"/>
        <v>0</v>
      </c>
      <c r="DC83" s="79">
        <f t="shared" si="161"/>
        <v>-2313.7399999999998</v>
      </c>
      <c r="DD83" s="79">
        <f t="shared" si="162"/>
        <v>0</v>
      </c>
      <c r="DE83" s="79">
        <f t="shared" si="163"/>
        <v>80561.259999999995</v>
      </c>
      <c r="DP83" s="131">
        <v>-54802</v>
      </c>
      <c r="EJ83" s="79">
        <f t="shared" si="164"/>
        <v>-54802</v>
      </c>
      <c r="EK83" s="79">
        <f t="shared" si="165"/>
        <v>0</v>
      </c>
      <c r="EL83" s="79">
        <f t="shared" si="166"/>
        <v>0</v>
      </c>
      <c r="EM83" s="79">
        <f t="shared" si="167"/>
        <v>25759.259999999995</v>
      </c>
      <c r="ES83" s="144">
        <v>-7273.62</v>
      </c>
      <c r="EU83" s="147">
        <v>-7435.64</v>
      </c>
      <c r="FI83" s="66">
        <f t="shared" si="168"/>
        <v>0</v>
      </c>
      <c r="FJ83" s="66">
        <f t="shared" si="169"/>
        <v>0</v>
      </c>
      <c r="FK83" s="66">
        <f t="shared" si="170"/>
        <v>-14709.26</v>
      </c>
      <c r="FL83" s="173">
        <f t="shared" si="171"/>
        <v>11049.999999999995</v>
      </c>
    </row>
    <row r="84" spans="1:168" hidden="1" outlineLevel="1" x14ac:dyDescent="0.2">
      <c r="A84" s="76" t="s">
        <v>9</v>
      </c>
      <c r="B84" s="76" t="s">
        <v>348</v>
      </c>
      <c r="C84" s="76" t="s">
        <v>90</v>
      </c>
      <c r="D84" s="76" t="s">
        <v>566</v>
      </c>
      <c r="E84" s="77" t="s">
        <v>201</v>
      </c>
      <c r="F84" s="77" t="s">
        <v>711</v>
      </c>
      <c r="G84" s="77" t="str">
        <f t="shared" si="151"/>
        <v>0</v>
      </c>
      <c r="H84" s="77" t="str">
        <f t="shared" si="152"/>
        <v>1</v>
      </c>
      <c r="I84" s="77" t="str">
        <f t="shared" si="153"/>
        <v>1</v>
      </c>
      <c r="J84" s="77" t="str">
        <f t="shared" si="154"/>
        <v>0</v>
      </c>
      <c r="K84" s="77" t="str">
        <f t="shared" si="155"/>
        <v>0110</v>
      </c>
      <c r="L84" s="77" t="str">
        <f>IFERROR(VLOOKUP(K84,Sheet2!$A$20:$B$23,2,FALSE),"X")</f>
        <v>X</v>
      </c>
      <c r="M84" s="77" t="str">
        <f t="shared" si="156"/>
        <v>00306534Diagnostic Review 18-19</v>
      </c>
      <c r="O84" s="76" t="s">
        <v>160</v>
      </c>
      <c r="P84" s="69" t="s">
        <v>168</v>
      </c>
      <c r="Q84" s="78"/>
      <c r="R84" s="78"/>
      <c r="AU84" s="158" t="s">
        <v>336</v>
      </c>
      <c r="AV84" s="79"/>
      <c r="AW84" s="79">
        <v>71825</v>
      </c>
      <c r="BV84" s="79">
        <f t="shared" si="157"/>
        <v>0</v>
      </c>
      <c r="BW84" s="79">
        <f t="shared" si="158"/>
        <v>0</v>
      </c>
      <c r="BX84" s="79">
        <f t="shared" si="159"/>
        <v>71825</v>
      </c>
      <c r="CC84" s="79">
        <v>11050</v>
      </c>
      <c r="CR84" s="79">
        <v>-6344.44</v>
      </c>
      <c r="CX84" s="79">
        <v>-450</v>
      </c>
      <c r="DB84" s="79">
        <f t="shared" si="160"/>
        <v>0</v>
      </c>
      <c r="DC84" s="79">
        <f t="shared" si="161"/>
        <v>-6794.44</v>
      </c>
      <c r="DD84" s="79">
        <f t="shared" si="162"/>
        <v>0</v>
      </c>
      <c r="DE84" s="79">
        <f t="shared" si="163"/>
        <v>76080.56</v>
      </c>
      <c r="DP84" s="131">
        <v>-50391.56</v>
      </c>
      <c r="EJ84" s="79">
        <f t="shared" si="164"/>
        <v>-50391.56</v>
      </c>
      <c r="EK84" s="79">
        <f t="shared" si="165"/>
        <v>0</v>
      </c>
      <c r="EL84" s="79">
        <f t="shared" si="166"/>
        <v>0</v>
      </c>
      <c r="EM84" s="79">
        <f t="shared" si="167"/>
        <v>25689</v>
      </c>
      <c r="EU84" s="146">
        <v>-14639</v>
      </c>
      <c r="FI84" s="66">
        <f t="shared" si="168"/>
        <v>0</v>
      </c>
      <c r="FJ84" s="66">
        <f t="shared" si="169"/>
        <v>0</v>
      </c>
      <c r="FK84" s="66">
        <f t="shared" si="170"/>
        <v>-14639</v>
      </c>
      <c r="FL84" s="173">
        <f t="shared" si="171"/>
        <v>11050</v>
      </c>
    </row>
    <row r="85" spans="1:168" hidden="1" outlineLevel="1" x14ac:dyDescent="0.2">
      <c r="A85" s="76" t="s">
        <v>9</v>
      </c>
      <c r="B85" s="76" t="s">
        <v>349</v>
      </c>
      <c r="C85" s="76" t="s">
        <v>90</v>
      </c>
      <c r="D85" s="76" t="s">
        <v>567</v>
      </c>
      <c r="E85" s="77" t="s">
        <v>201</v>
      </c>
      <c r="F85" s="77" t="s">
        <v>711</v>
      </c>
      <c r="G85" s="77" t="str">
        <f t="shared" si="151"/>
        <v>0</v>
      </c>
      <c r="H85" s="77" t="str">
        <f t="shared" si="152"/>
        <v>1</v>
      </c>
      <c r="I85" s="77" t="str">
        <f t="shared" si="153"/>
        <v>0</v>
      </c>
      <c r="J85" s="77" t="str">
        <f t="shared" si="154"/>
        <v>0</v>
      </c>
      <c r="K85" s="77" t="str">
        <f t="shared" si="155"/>
        <v>0100</v>
      </c>
      <c r="L85" s="77" t="str">
        <f>IFERROR(VLOOKUP(K85,Sheet2!$A$20:$B$23,2,FALSE),"X")</f>
        <v>02</v>
      </c>
      <c r="M85" s="77" t="str">
        <f t="shared" si="156"/>
        <v>00307500Diagnostic Review 18-19</v>
      </c>
      <c r="O85" s="76" t="s">
        <v>160</v>
      </c>
      <c r="P85" s="69" t="s">
        <v>168</v>
      </c>
      <c r="Q85" s="78"/>
      <c r="R85" s="129"/>
      <c r="AU85" s="158" t="s">
        <v>336</v>
      </c>
      <c r="AV85" s="79"/>
      <c r="AW85" s="79">
        <v>71825</v>
      </c>
      <c r="BV85" s="79">
        <f t="shared" si="157"/>
        <v>0</v>
      </c>
      <c r="BW85" s="79">
        <f t="shared" si="158"/>
        <v>0</v>
      </c>
      <c r="BX85" s="79">
        <f t="shared" si="159"/>
        <v>71825</v>
      </c>
      <c r="CR85" s="79">
        <v>-3486.85</v>
      </c>
      <c r="CX85" s="79">
        <v>-550</v>
      </c>
      <c r="DB85" s="79">
        <f t="shared" si="160"/>
        <v>0</v>
      </c>
      <c r="DC85" s="79">
        <f t="shared" si="161"/>
        <v>-4036.85</v>
      </c>
      <c r="DD85" s="79">
        <f t="shared" si="162"/>
        <v>0</v>
      </c>
      <c r="DE85" s="79">
        <f t="shared" si="163"/>
        <v>67788.149999999994</v>
      </c>
      <c r="DP85" s="131">
        <v>-53294.3</v>
      </c>
      <c r="EJ85" s="79">
        <f t="shared" si="164"/>
        <v>-53294.3</v>
      </c>
      <c r="EK85" s="79">
        <f t="shared" si="165"/>
        <v>0</v>
      </c>
      <c r="EL85" s="79">
        <f t="shared" si="166"/>
        <v>0</v>
      </c>
      <c r="EM85" s="79">
        <f t="shared" si="167"/>
        <v>14493.849999999991</v>
      </c>
      <c r="ES85" s="144">
        <v>-7273.62</v>
      </c>
      <c r="EU85" s="147">
        <v>-7220.23</v>
      </c>
      <c r="FI85" s="66">
        <f t="shared" si="168"/>
        <v>0</v>
      </c>
      <c r="FJ85" s="66">
        <f t="shared" si="169"/>
        <v>0</v>
      </c>
      <c r="FK85" s="66">
        <f t="shared" si="170"/>
        <v>-14493.849999999999</v>
      </c>
      <c r="FL85" s="173">
        <f t="shared" si="171"/>
        <v>0</v>
      </c>
    </row>
    <row r="86" spans="1:168" hidden="1" outlineLevel="1" x14ac:dyDescent="0.2">
      <c r="A86" s="76" t="s">
        <v>10</v>
      </c>
      <c r="B86" s="76" t="s">
        <v>371</v>
      </c>
      <c r="C86" s="76" t="s">
        <v>91</v>
      </c>
      <c r="D86" s="76" t="s">
        <v>568</v>
      </c>
      <c r="E86" s="77" t="s">
        <v>201</v>
      </c>
      <c r="F86" s="77" t="s">
        <v>711</v>
      </c>
      <c r="G86" s="77" t="str">
        <f t="shared" ref="G86:G92" si="172">IF(S86&gt;0, "1", "0")</f>
        <v>0</v>
      </c>
      <c r="H86" s="77" t="str">
        <f t="shared" ref="H86:H92" si="173">IF(AW86&gt;0, "1", "0")</f>
        <v>1</v>
      </c>
      <c r="I86" s="77" t="str">
        <f t="shared" ref="I86:I92" si="174">IF(CC86&gt;0, "1", "0")</f>
        <v>0</v>
      </c>
      <c r="J86" s="77" t="str">
        <f t="shared" ref="J86:J92" si="175">IF(DJ86&gt;0, "1", "0")</f>
        <v>0</v>
      </c>
      <c r="K86" s="77" t="str">
        <f t="shared" ref="K86:K92" si="176">CONCATENATE(G86,H86,I86,J86)</f>
        <v>0100</v>
      </c>
      <c r="L86" s="77" t="str">
        <f>IFERROR(VLOOKUP(K86,Sheet2!$A$20:$B$23,2,FALSE),"X")</f>
        <v>02</v>
      </c>
      <c r="M86" s="77" t="str">
        <f t="shared" si="156"/>
        <v>00500775Diagnostic Review 18-19</v>
      </c>
      <c r="O86" s="76" t="s">
        <v>160</v>
      </c>
      <c r="P86" s="69" t="s">
        <v>168</v>
      </c>
      <c r="Q86" s="78"/>
      <c r="R86" s="78"/>
      <c r="AU86" s="158" t="s">
        <v>336</v>
      </c>
      <c r="AV86" s="79"/>
      <c r="AW86" s="79">
        <v>60700</v>
      </c>
      <c r="BR86" s="79">
        <v>-28200</v>
      </c>
      <c r="BV86" s="79">
        <f t="shared" si="157"/>
        <v>-28200</v>
      </c>
      <c r="BW86" s="79">
        <f t="shared" si="158"/>
        <v>0</v>
      </c>
      <c r="BX86" s="79">
        <f t="shared" ref="BX86:BX92" si="177">AT86+AV86+AW86+(BV86+BW86)</f>
        <v>32500</v>
      </c>
      <c r="CL86" s="79">
        <v>-19000</v>
      </c>
      <c r="DB86" s="79">
        <f t="shared" si="160"/>
        <v>0</v>
      </c>
      <c r="DC86" s="79">
        <f t="shared" si="161"/>
        <v>-19000</v>
      </c>
      <c r="DD86" s="79">
        <f t="shared" si="162"/>
        <v>0</v>
      </c>
      <c r="DE86" s="79">
        <f t="shared" ref="DE86:DE92" si="178">BX86+CA86+BZ86+CC86+(DB86+DC86+DD86)</f>
        <v>13500</v>
      </c>
      <c r="DP86" s="131"/>
      <c r="EJ86" s="79">
        <f t="shared" si="164"/>
        <v>0</v>
      </c>
      <c r="EK86" s="79">
        <f t="shared" si="165"/>
        <v>0</v>
      </c>
      <c r="EL86" s="79">
        <f t="shared" si="166"/>
        <v>0</v>
      </c>
      <c r="EM86" s="79">
        <f t="shared" si="167"/>
        <v>13500</v>
      </c>
      <c r="FI86" s="66">
        <f t="shared" si="168"/>
        <v>0</v>
      </c>
      <c r="FJ86" s="66">
        <f t="shared" si="169"/>
        <v>0</v>
      </c>
      <c r="FK86" s="66">
        <f t="shared" si="170"/>
        <v>0</v>
      </c>
      <c r="FL86" s="173">
        <f t="shared" si="171"/>
        <v>13500</v>
      </c>
    </row>
    <row r="87" spans="1:168" hidden="1" outlineLevel="1" x14ac:dyDescent="0.2">
      <c r="A87" s="76" t="s">
        <v>11</v>
      </c>
      <c r="B87" s="76" t="s">
        <v>35</v>
      </c>
      <c r="C87" s="76" t="s">
        <v>92</v>
      </c>
      <c r="D87" s="76" t="s">
        <v>112</v>
      </c>
      <c r="E87" s="77" t="s">
        <v>200</v>
      </c>
      <c r="F87" s="77" t="s">
        <v>711</v>
      </c>
      <c r="G87" s="77" t="str">
        <f t="shared" si="172"/>
        <v>1</v>
      </c>
      <c r="H87" s="77" t="str">
        <f t="shared" si="173"/>
        <v>0</v>
      </c>
      <c r="I87" s="77" t="str">
        <f t="shared" si="174"/>
        <v>0</v>
      </c>
      <c r="J87" s="77" t="str">
        <f t="shared" si="175"/>
        <v>0</v>
      </c>
      <c r="K87" s="77" t="str">
        <f t="shared" si="176"/>
        <v>1000</v>
      </c>
      <c r="L87" s="77" t="str">
        <f>IFERROR(VLOOKUP(K87,Sheet2!$A$20:$B$23,2,FALSE),"X")</f>
        <v>01</v>
      </c>
      <c r="M87" s="77" t="str">
        <f t="shared" si="156"/>
        <v>00608334Diagnostic Review 17-18</v>
      </c>
      <c r="N87" s="76" t="s">
        <v>161</v>
      </c>
      <c r="O87" s="76" t="s">
        <v>160</v>
      </c>
      <c r="P87" s="69" t="s">
        <v>168</v>
      </c>
      <c r="Q87" s="78">
        <v>43168</v>
      </c>
      <c r="R87" s="78">
        <v>43168</v>
      </c>
      <c r="S87" s="79">
        <v>49859</v>
      </c>
      <c r="AR87" s="79">
        <f>SUMIF($T$2:$AQ$2,$AR$2,$T87:$AQ87)</f>
        <v>0</v>
      </c>
      <c r="AS87" s="79">
        <f>SUMIF($T$2:$AQ$2,$AS$2,$T87:$AQ87)</f>
        <v>0</v>
      </c>
      <c r="AT87" s="79">
        <f>S87+(AR87+AS87)</f>
        <v>49859</v>
      </c>
      <c r="AV87" s="79"/>
      <c r="BD87" s="79">
        <v>-42604</v>
      </c>
      <c r="BN87" s="79">
        <v>-1680</v>
      </c>
      <c r="BR87" s="79">
        <v>-5575</v>
      </c>
      <c r="BV87" s="79">
        <f t="shared" si="157"/>
        <v>-49859</v>
      </c>
      <c r="BW87" s="79">
        <f t="shared" si="158"/>
        <v>0</v>
      </c>
      <c r="BX87" s="79">
        <f t="shared" si="177"/>
        <v>0</v>
      </c>
      <c r="DB87" s="79">
        <f t="shared" si="160"/>
        <v>0</v>
      </c>
      <c r="DC87" s="79">
        <f t="shared" si="161"/>
        <v>0</v>
      </c>
      <c r="DD87" s="79">
        <f t="shared" si="162"/>
        <v>0</v>
      </c>
      <c r="DE87" s="79">
        <f t="shared" si="178"/>
        <v>0</v>
      </c>
      <c r="DP87" s="131"/>
      <c r="EJ87" s="79">
        <f t="shared" si="164"/>
        <v>0</v>
      </c>
      <c r="EK87" s="79">
        <f t="shared" si="165"/>
        <v>0</v>
      </c>
      <c r="EL87" s="79">
        <f t="shared" si="166"/>
        <v>0</v>
      </c>
      <c r="EM87" s="79">
        <f t="shared" si="167"/>
        <v>0</v>
      </c>
      <c r="FI87" s="66">
        <f t="shared" si="168"/>
        <v>0</v>
      </c>
      <c r="FJ87" s="66">
        <f t="shared" si="169"/>
        <v>0</v>
      </c>
      <c r="FK87" s="66">
        <f t="shared" si="170"/>
        <v>0</v>
      </c>
      <c r="FL87" s="173">
        <f t="shared" si="171"/>
        <v>0</v>
      </c>
    </row>
    <row r="88" spans="1:168" hidden="1" outlineLevel="1" x14ac:dyDescent="0.2">
      <c r="A88" s="88" t="s">
        <v>12</v>
      </c>
      <c r="B88" s="89" t="s">
        <v>651</v>
      </c>
      <c r="C88" s="88" t="s">
        <v>93</v>
      </c>
      <c r="D88" s="88" t="s">
        <v>662</v>
      </c>
      <c r="E88" s="89" t="s">
        <v>202</v>
      </c>
      <c r="F88" s="89" t="s">
        <v>711</v>
      </c>
      <c r="G88" s="77" t="str">
        <f t="shared" si="172"/>
        <v>0</v>
      </c>
      <c r="H88" s="77" t="str">
        <f t="shared" si="173"/>
        <v>0</v>
      </c>
      <c r="I88" s="77" t="str">
        <f t="shared" si="174"/>
        <v>1</v>
      </c>
      <c r="J88" s="77" t="str">
        <f t="shared" si="175"/>
        <v>0</v>
      </c>
      <c r="K88" s="77" t="str">
        <f t="shared" si="176"/>
        <v>0010</v>
      </c>
      <c r="L88" s="77" t="str">
        <f>IFERROR(VLOOKUP(K88,Sheet2!$A$20:$B$23,2,FALSE),"X")</f>
        <v>03</v>
      </c>
      <c r="M88" s="77" t="str">
        <f t="shared" si="156"/>
        <v>00703931Diagnostic Review 19-20</v>
      </c>
      <c r="N88" s="88"/>
      <c r="O88" s="88" t="s">
        <v>160</v>
      </c>
      <c r="P88" s="90" t="s">
        <v>168</v>
      </c>
      <c r="Q88" s="91"/>
      <c r="R88" s="91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>
        <f>SUMIF($T$2:$AQ$2,$AR$2,$T88:$AQ88)</f>
        <v>0</v>
      </c>
      <c r="AS88" s="92">
        <f>SUMIF($T$2:$AQ$2,$AS$2,$T88:$AQ88)</f>
        <v>0</v>
      </c>
      <c r="AT88" s="92">
        <f>S88+(AR88+AS88)</f>
        <v>0</v>
      </c>
      <c r="AU88" s="161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>
        <f t="shared" si="157"/>
        <v>0</v>
      </c>
      <c r="BW88" s="92">
        <f t="shared" si="158"/>
        <v>0</v>
      </c>
      <c r="BX88" s="92">
        <f t="shared" si="177"/>
        <v>0</v>
      </c>
      <c r="BY88" s="161"/>
      <c r="BZ88" s="92"/>
      <c r="CA88" s="92"/>
      <c r="CB88" s="92"/>
      <c r="CC88" s="92">
        <v>38675</v>
      </c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>
        <f t="shared" si="160"/>
        <v>0</v>
      </c>
      <c r="DC88" s="92">
        <f t="shared" si="161"/>
        <v>0</v>
      </c>
      <c r="DD88" s="92">
        <f t="shared" si="162"/>
        <v>0</v>
      </c>
      <c r="DE88" s="92">
        <f t="shared" si="178"/>
        <v>38675</v>
      </c>
      <c r="DM88" s="79">
        <v>-23250</v>
      </c>
      <c r="DP88" s="131"/>
      <c r="DS88" s="79">
        <v>-2441.25</v>
      </c>
      <c r="EH88" s="92">
        <v>-10513.13</v>
      </c>
      <c r="EJ88" s="79">
        <f t="shared" si="164"/>
        <v>0</v>
      </c>
      <c r="EK88" s="79">
        <f t="shared" si="165"/>
        <v>-36204.379999999997</v>
      </c>
      <c r="EL88" s="79">
        <f t="shared" si="166"/>
        <v>0</v>
      </c>
      <c r="EM88" s="79">
        <f t="shared" si="167"/>
        <v>2470.6200000000026</v>
      </c>
      <c r="EY88" s="144">
        <v>-2471</v>
      </c>
      <c r="FI88" s="66">
        <f t="shared" si="168"/>
        <v>0</v>
      </c>
      <c r="FJ88" s="66">
        <f t="shared" si="169"/>
        <v>0</v>
      </c>
      <c r="FK88" s="66">
        <f t="shared" si="170"/>
        <v>-2471</v>
      </c>
      <c r="FL88" s="173">
        <f t="shared" si="171"/>
        <v>-0.37999999999738066</v>
      </c>
    </row>
    <row r="89" spans="1:168" hidden="1" outlineLevel="1" x14ac:dyDescent="0.2">
      <c r="A89" s="76" t="s">
        <v>13</v>
      </c>
      <c r="B89" s="76" t="s">
        <v>350</v>
      </c>
      <c r="C89" s="76" t="s">
        <v>94</v>
      </c>
      <c r="D89" s="76" t="s">
        <v>569</v>
      </c>
      <c r="E89" s="77" t="s">
        <v>201</v>
      </c>
      <c r="F89" s="77" t="s">
        <v>711</v>
      </c>
      <c r="G89" s="77" t="str">
        <f t="shared" si="172"/>
        <v>0</v>
      </c>
      <c r="H89" s="77" t="str">
        <f t="shared" si="173"/>
        <v>1</v>
      </c>
      <c r="I89" s="77" t="str">
        <f t="shared" si="174"/>
        <v>0</v>
      </c>
      <c r="J89" s="77" t="str">
        <f t="shared" si="175"/>
        <v>0</v>
      </c>
      <c r="K89" s="77" t="str">
        <f t="shared" si="176"/>
        <v>0100</v>
      </c>
      <c r="L89" s="77" t="str">
        <f>IFERROR(VLOOKUP(K89,Sheet2!$A$20:$B$23,2,FALSE),"X")</f>
        <v>02</v>
      </c>
      <c r="M89" s="77" t="str">
        <f t="shared" si="156"/>
        <v>01201514Diagnostic Review 18-19</v>
      </c>
      <c r="O89" s="76" t="s">
        <v>160</v>
      </c>
      <c r="P89" s="69" t="s">
        <v>168</v>
      </c>
      <c r="Q89" s="78"/>
      <c r="R89" s="78"/>
      <c r="AU89" s="158" t="s">
        <v>336</v>
      </c>
      <c r="AV89" s="79"/>
      <c r="AW89" s="79">
        <v>8840</v>
      </c>
      <c r="BV89" s="79">
        <f t="shared" si="157"/>
        <v>0</v>
      </c>
      <c r="BW89" s="79">
        <f t="shared" si="158"/>
        <v>0</v>
      </c>
      <c r="BX89" s="79">
        <f t="shared" si="177"/>
        <v>8840</v>
      </c>
      <c r="CT89" s="79">
        <v>-5460</v>
      </c>
      <c r="DB89" s="79">
        <f t="shared" si="160"/>
        <v>0</v>
      </c>
      <c r="DC89" s="79">
        <f t="shared" si="161"/>
        <v>-5460</v>
      </c>
      <c r="DD89" s="79">
        <f t="shared" si="162"/>
        <v>0</v>
      </c>
      <c r="DE89" s="79">
        <f t="shared" si="178"/>
        <v>3380</v>
      </c>
      <c r="DP89" s="131"/>
      <c r="EJ89" s="79">
        <f t="shared" si="164"/>
        <v>0</v>
      </c>
      <c r="EK89" s="79">
        <f t="shared" si="165"/>
        <v>0</v>
      </c>
      <c r="EL89" s="79">
        <f t="shared" si="166"/>
        <v>0</v>
      </c>
      <c r="EM89" s="79">
        <f t="shared" si="167"/>
        <v>3380</v>
      </c>
      <c r="FI89" s="66">
        <f t="shared" si="168"/>
        <v>0</v>
      </c>
      <c r="FJ89" s="66">
        <f t="shared" si="169"/>
        <v>0</v>
      </c>
      <c r="FK89" s="66">
        <f t="shared" si="170"/>
        <v>0</v>
      </c>
      <c r="FL89" s="173">
        <f t="shared" si="171"/>
        <v>3380</v>
      </c>
    </row>
    <row r="90" spans="1:168" hidden="1" outlineLevel="1" x14ac:dyDescent="0.2">
      <c r="A90" s="76" t="s">
        <v>14</v>
      </c>
      <c r="B90" s="76" t="s">
        <v>351</v>
      </c>
      <c r="C90" s="76" t="s">
        <v>95</v>
      </c>
      <c r="D90" s="76" t="s">
        <v>570</v>
      </c>
      <c r="E90" s="77" t="s">
        <v>201</v>
      </c>
      <c r="F90" s="77" t="s">
        <v>711</v>
      </c>
      <c r="G90" s="77" t="str">
        <f t="shared" si="172"/>
        <v>0</v>
      </c>
      <c r="H90" s="77" t="str">
        <f t="shared" si="173"/>
        <v>1</v>
      </c>
      <c r="I90" s="77" t="str">
        <f t="shared" si="174"/>
        <v>0</v>
      </c>
      <c r="J90" s="77" t="str">
        <f t="shared" si="175"/>
        <v>0</v>
      </c>
      <c r="K90" s="77" t="str">
        <f t="shared" si="176"/>
        <v>0100</v>
      </c>
      <c r="L90" s="77" t="str">
        <f>IFERROR(VLOOKUP(K90,Sheet2!$A$20:$B$23,2,FALSE),"X")</f>
        <v>02</v>
      </c>
      <c r="M90" s="77" t="str">
        <f t="shared" si="156"/>
        <v>01233054Diagnostic Review 18-19</v>
      </c>
      <c r="O90" s="76" t="s">
        <v>160</v>
      </c>
      <c r="P90" s="69" t="s">
        <v>168</v>
      </c>
      <c r="Q90" s="78"/>
      <c r="R90" s="78"/>
      <c r="AU90" s="158" t="s">
        <v>336</v>
      </c>
      <c r="AV90" s="79"/>
      <c r="AW90" s="79">
        <v>19035</v>
      </c>
      <c r="BV90" s="79">
        <f t="shared" si="157"/>
        <v>0</v>
      </c>
      <c r="BW90" s="79">
        <f t="shared" si="158"/>
        <v>0</v>
      </c>
      <c r="BX90" s="79">
        <f t="shared" si="177"/>
        <v>19035</v>
      </c>
      <c r="CD90" s="79">
        <v>-1862</v>
      </c>
      <c r="CT90" s="79">
        <v>-7712</v>
      </c>
      <c r="DB90" s="79">
        <f t="shared" si="160"/>
        <v>-1862</v>
      </c>
      <c r="DC90" s="79">
        <f t="shared" si="161"/>
        <v>-7712</v>
      </c>
      <c r="DD90" s="79">
        <f t="shared" si="162"/>
        <v>0</v>
      </c>
      <c r="DE90" s="79">
        <f t="shared" si="178"/>
        <v>9461</v>
      </c>
      <c r="DP90" s="131"/>
      <c r="EJ90" s="79">
        <f t="shared" si="164"/>
        <v>0</v>
      </c>
      <c r="EK90" s="79">
        <f t="shared" si="165"/>
        <v>0</v>
      </c>
      <c r="EL90" s="79">
        <f t="shared" si="166"/>
        <v>0</v>
      </c>
      <c r="EM90" s="79">
        <f t="shared" si="167"/>
        <v>9461</v>
      </c>
      <c r="FI90" s="66">
        <f t="shared" si="168"/>
        <v>0</v>
      </c>
      <c r="FJ90" s="66">
        <f t="shared" si="169"/>
        <v>0</v>
      </c>
      <c r="FK90" s="66">
        <f t="shared" si="170"/>
        <v>0</v>
      </c>
      <c r="FL90" s="173">
        <f t="shared" si="171"/>
        <v>9461</v>
      </c>
    </row>
    <row r="91" spans="1:168" hidden="1" outlineLevel="1" x14ac:dyDescent="0.2">
      <c r="A91" s="76" t="s">
        <v>14</v>
      </c>
      <c r="B91" s="76" t="s">
        <v>352</v>
      </c>
      <c r="C91" s="76" t="s">
        <v>95</v>
      </c>
      <c r="D91" s="76" t="s">
        <v>571</v>
      </c>
      <c r="E91" s="77" t="s">
        <v>201</v>
      </c>
      <c r="F91" s="77" t="s">
        <v>711</v>
      </c>
      <c r="G91" s="77" t="str">
        <f t="shared" si="172"/>
        <v>0</v>
      </c>
      <c r="H91" s="77" t="str">
        <f t="shared" si="173"/>
        <v>1</v>
      </c>
      <c r="I91" s="77" t="str">
        <f t="shared" si="174"/>
        <v>0</v>
      </c>
      <c r="J91" s="77" t="str">
        <f t="shared" si="175"/>
        <v>0</v>
      </c>
      <c r="K91" s="77" t="str">
        <f t="shared" si="176"/>
        <v>0100</v>
      </c>
      <c r="L91" s="77" t="str">
        <f>IFERROR(VLOOKUP(K91,Sheet2!$A$20:$B$23,2,FALSE),"X")</f>
        <v>02</v>
      </c>
      <c r="M91" s="77" t="str">
        <f t="shared" si="156"/>
        <v>01237837Diagnostic Review 18-19</v>
      </c>
      <c r="O91" s="76" t="s">
        <v>160</v>
      </c>
      <c r="P91" s="69" t="s">
        <v>168</v>
      </c>
      <c r="Q91" s="78"/>
      <c r="R91" s="78"/>
      <c r="AU91" s="158" t="s">
        <v>336</v>
      </c>
      <c r="AV91" s="79"/>
      <c r="AW91" s="79">
        <v>19035</v>
      </c>
      <c r="BV91" s="79">
        <f t="shared" si="157"/>
        <v>0</v>
      </c>
      <c r="BW91" s="79">
        <f t="shared" si="158"/>
        <v>0</v>
      </c>
      <c r="BX91" s="79">
        <f t="shared" si="177"/>
        <v>19035</v>
      </c>
      <c r="CG91" s="79">
        <v>-986.97</v>
      </c>
      <c r="CJ91" s="79">
        <v>-5257.97</v>
      </c>
      <c r="CN91" s="79">
        <v>-4288.7700000000004</v>
      </c>
      <c r="DB91" s="79">
        <f t="shared" si="160"/>
        <v>0</v>
      </c>
      <c r="DC91" s="79">
        <f t="shared" si="161"/>
        <v>-10533.710000000001</v>
      </c>
      <c r="DD91" s="79">
        <f t="shared" si="162"/>
        <v>0</v>
      </c>
      <c r="DE91" s="79">
        <f t="shared" si="178"/>
        <v>8501.2899999999991</v>
      </c>
      <c r="DP91" s="131"/>
      <c r="EJ91" s="79">
        <f t="shared" si="164"/>
        <v>0</v>
      </c>
      <c r="EK91" s="79">
        <f t="shared" si="165"/>
        <v>0</v>
      </c>
      <c r="EL91" s="79">
        <f t="shared" si="166"/>
        <v>0</v>
      </c>
      <c r="EM91" s="79">
        <f t="shared" si="167"/>
        <v>8501.2899999999991</v>
      </c>
      <c r="FI91" s="66">
        <f t="shared" si="168"/>
        <v>0</v>
      </c>
      <c r="FJ91" s="66">
        <f t="shared" si="169"/>
        <v>0</v>
      </c>
      <c r="FK91" s="66">
        <f t="shared" si="170"/>
        <v>0</v>
      </c>
      <c r="FL91" s="173">
        <f t="shared" si="171"/>
        <v>8501.2899999999991</v>
      </c>
    </row>
    <row r="92" spans="1:168" hidden="1" outlineLevel="1" x14ac:dyDescent="0.2">
      <c r="A92" s="76" t="s">
        <v>14</v>
      </c>
      <c r="B92" s="77" t="s">
        <v>34</v>
      </c>
      <c r="C92" s="76" t="s">
        <v>95</v>
      </c>
      <c r="D92" s="76" t="s">
        <v>111</v>
      </c>
      <c r="E92" s="77" t="s">
        <v>202</v>
      </c>
      <c r="F92" s="77" t="s">
        <v>711</v>
      </c>
      <c r="G92" s="77" t="str">
        <f t="shared" si="172"/>
        <v>0</v>
      </c>
      <c r="H92" s="77" t="str">
        <f t="shared" si="173"/>
        <v>0</v>
      </c>
      <c r="I92" s="77" t="str">
        <f t="shared" si="174"/>
        <v>0</v>
      </c>
      <c r="J92" s="77" t="str">
        <f t="shared" si="175"/>
        <v>0</v>
      </c>
      <c r="K92" s="77" t="str">
        <f t="shared" si="176"/>
        <v>0000</v>
      </c>
      <c r="L92" s="77" t="str">
        <f>IFERROR(VLOOKUP(K92,Sheet2!$A$20:$B$23,2,FALSE),"X")</f>
        <v>X</v>
      </c>
      <c r="M92" s="77" t="str">
        <f t="shared" si="156"/>
        <v>0123N/ADiagnostic Review 19-20</v>
      </c>
      <c r="O92" s="76" t="s">
        <v>160</v>
      </c>
      <c r="P92" s="69" t="s">
        <v>168</v>
      </c>
      <c r="Q92" s="78">
        <v>43168</v>
      </c>
      <c r="R92" s="78">
        <v>43168</v>
      </c>
      <c r="AR92" s="79">
        <f>SUMIF($T$2:$AQ$2,$AR$2,$T92:$AQ92)</f>
        <v>0</v>
      </c>
      <c r="AS92" s="79">
        <f>SUMIF($T$2:$AQ$2,$AS$2,$T92:$AQ92)</f>
        <v>0</v>
      </c>
      <c r="AT92" s="79">
        <f>S92+(AR92+AS92)</f>
        <v>0</v>
      </c>
      <c r="AV92" s="79"/>
      <c r="BV92" s="79">
        <f t="shared" si="157"/>
        <v>0</v>
      </c>
      <c r="BW92" s="79">
        <f t="shared" si="158"/>
        <v>0</v>
      </c>
      <c r="BX92" s="79">
        <f t="shared" si="177"/>
        <v>0</v>
      </c>
      <c r="DB92" s="79">
        <f t="shared" si="160"/>
        <v>0</v>
      </c>
      <c r="DC92" s="79">
        <f t="shared" si="161"/>
        <v>0</v>
      </c>
      <c r="DD92" s="79">
        <f t="shared" si="162"/>
        <v>0</v>
      </c>
      <c r="DE92" s="79">
        <f t="shared" si="178"/>
        <v>0</v>
      </c>
      <c r="DP92" s="131"/>
      <c r="EJ92" s="79">
        <f t="shared" si="164"/>
        <v>0</v>
      </c>
      <c r="EK92" s="79">
        <f t="shared" si="165"/>
        <v>0</v>
      </c>
      <c r="EL92" s="79">
        <f t="shared" si="166"/>
        <v>0</v>
      </c>
      <c r="EM92" s="79">
        <f t="shared" si="167"/>
        <v>0</v>
      </c>
      <c r="FI92" s="66">
        <f t="shared" si="168"/>
        <v>0</v>
      </c>
      <c r="FJ92" s="66">
        <f t="shared" si="169"/>
        <v>0</v>
      </c>
      <c r="FK92" s="66">
        <f t="shared" si="170"/>
        <v>0</v>
      </c>
      <c r="FL92" s="173">
        <f t="shared" si="171"/>
        <v>0</v>
      </c>
    </row>
    <row r="93" spans="1:168" hidden="1" outlineLevel="1" x14ac:dyDescent="0.2">
      <c r="A93" s="76" t="s">
        <v>15</v>
      </c>
      <c r="B93" s="76" t="s">
        <v>372</v>
      </c>
      <c r="C93" s="76" t="s">
        <v>296</v>
      </c>
      <c r="D93" s="76" t="s">
        <v>625</v>
      </c>
      <c r="E93" s="77" t="s">
        <v>201</v>
      </c>
      <c r="F93" s="77" t="s">
        <v>711</v>
      </c>
      <c r="G93" s="77" t="str">
        <f t="shared" ref="G93:G101" si="179">IF(S93&gt;0, "1", "0")</f>
        <v>0</v>
      </c>
      <c r="H93" s="77" t="str">
        <f t="shared" ref="H93:H101" si="180">IF(AW93&gt;0, "1", "0")</f>
        <v>1</v>
      </c>
      <c r="I93" s="77" t="str">
        <f t="shared" ref="I93:I101" si="181">IF(CC93&gt;0, "1", "0")</f>
        <v>0</v>
      </c>
      <c r="J93" s="77" t="str">
        <f t="shared" ref="J93:J101" si="182">IF(DJ93&gt;0, "1", "0")</f>
        <v>0</v>
      </c>
      <c r="K93" s="77" t="str">
        <f t="shared" ref="K93:K101" si="183">CONCATENATE(G93,H93,I93,J93)</f>
        <v>0100</v>
      </c>
      <c r="L93" s="77" t="str">
        <f>IFERROR(VLOOKUP(K93,Sheet2!$A$20:$B$23,2,FALSE),"X")</f>
        <v>02</v>
      </c>
      <c r="M93" s="77" t="str">
        <f t="shared" si="156"/>
        <v>01800213Diagnostic Review 18-19</v>
      </c>
      <c r="O93" s="76" t="s">
        <v>160</v>
      </c>
      <c r="P93" s="69" t="s">
        <v>168</v>
      </c>
      <c r="Q93" s="78"/>
      <c r="R93" s="78"/>
      <c r="AU93" s="158" t="s">
        <v>336</v>
      </c>
      <c r="AV93" s="79"/>
      <c r="AW93" s="79">
        <v>16278</v>
      </c>
      <c r="BV93" s="79">
        <f t="shared" si="157"/>
        <v>0</v>
      </c>
      <c r="BW93" s="79">
        <f t="shared" si="158"/>
        <v>0</v>
      </c>
      <c r="BX93" s="79">
        <f t="shared" ref="BX93:BX98" si="184">AT93+AV93+AW93+(BV93+BW93)</f>
        <v>16278</v>
      </c>
      <c r="CH93" s="79">
        <v>-15000</v>
      </c>
      <c r="DB93" s="79">
        <f t="shared" si="160"/>
        <v>0</v>
      </c>
      <c r="DC93" s="79">
        <f t="shared" si="161"/>
        <v>-15000</v>
      </c>
      <c r="DD93" s="79">
        <f t="shared" si="162"/>
        <v>0</v>
      </c>
      <c r="DE93" s="79">
        <f t="shared" ref="DE93:DE98" si="185">BX93+CA93+BZ93+CC93+(DB93+DC93+DD93)</f>
        <v>1278</v>
      </c>
      <c r="DP93" s="131"/>
      <c r="EJ93" s="79">
        <f t="shared" si="164"/>
        <v>0</v>
      </c>
      <c r="EK93" s="79">
        <f t="shared" si="165"/>
        <v>0</v>
      </c>
      <c r="EL93" s="79">
        <f t="shared" si="166"/>
        <v>0</v>
      </c>
      <c r="EM93" s="79">
        <f t="shared" si="167"/>
        <v>1278</v>
      </c>
      <c r="FI93" s="66">
        <f t="shared" si="168"/>
        <v>0</v>
      </c>
      <c r="FJ93" s="66">
        <f t="shared" si="169"/>
        <v>0</v>
      </c>
      <c r="FK93" s="66">
        <f t="shared" si="170"/>
        <v>0</v>
      </c>
      <c r="FL93" s="173">
        <f t="shared" si="171"/>
        <v>1278</v>
      </c>
    </row>
    <row r="94" spans="1:168" hidden="1" outlineLevel="1" x14ac:dyDescent="0.2">
      <c r="A94" s="76" t="s">
        <v>15</v>
      </c>
      <c r="B94" s="76" t="s">
        <v>38</v>
      </c>
      <c r="C94" s="76" t="s">
        <v>296</v>
      </c>
      <c r="D94" s="76" t="s">
        <v>572</v>
      </c>
      <c r="E94" s="77" t="s">
        <v>200</v>
      </c>
      <c r="F94" s="77" t="s">
        <v>711</v>
      </c>
      <c r="G94" s="77" t="str">
        <f t="shared" si="179"/>
        <v>1</v>
      </c>
      <c r="H94" s="77" t="str">
        <f t="shared" si="180"/>
        <v>0</v>
      </c>
      <c r="I94" s="77" t="str">
        <f t="shared" si="181"/>
        <v>0</v>
      </c>
      <c r="J94" s="77" t="str">
        <f t="shared" si="182"/>
        <v>0</v>
      </c>
      <c r="K94" s="77" t="str">
        <f t="shared" si="183"/>
        <v>1000</v>
      </c>
      <c r="L94" s="77" t="str">
        <f>IFERROR(VLOOKUP(K94,Sheet2!$A$20:$B$23,2,FALSE),"X")</f>
        <v>01</v>
      </c>
      <c r="M94" s="77" t="str">
        <f t="shared" si="156"/>
        <v>01800219Diagnostic Review 17-18</v>
      </c>
      <c r="N94" s="76" t="s">
        <v>161</v>
      </c>
      <c r="O94" s="76" t="s">
        <v>160</v>
      </c>
      <c r="P94" s="69" t="s">
        <v>168</v>
      </c>
      <c r="Q94" s="78">
        <v>43168</v>
      </c>
      <c r="R94" s="78">
        <v>43168</v>
      </c>
      <c r="S94" s="79">
        <v>31313.4</v>
      </c>
      <c r="AR94" s="79">
        <f>SUMIF($T$2:$AQ$2,$AR$2,$T94:$AQ94)</f>
        <v>0</v>
      </c>
      <c r="AS94" s="79">
        <f>SUMIF($T$2:$AQ$2,$AS$2,$T94:$AQ94)</f>
        <v>0</v>
      </c>
      <c r="AT94" s="79">
        <f>S94+(AR94+AS94)</f>
        <v>31313.4</v>
      </c>
      <c r="AV94" s="79"/>
      <c r="BB94" s="79">
        <v>-27625</v>
      </c>
      <c r="BV94" s="79">
        <f t="shared" si="157"/>
        <v>-27625</v>
      </c>
      <c r="BW94" s="79">
        <f t="shared" si="158"/>
        <v>0</v>
      </c>
      <c r="BX94" s="79">
        <f t="shared" si="184"/>
        <v>3688.4000000000015</v>
      </c>
      <c r="DB94" s="79">
        <f t="shared" si="160"/>
        <v>0</v>
      </c>
      <c r="DC94" s="79">
        <f t="shared" si="161"/>
        <v>0</v>
      </c>
      <c r="DD94" s="79">
        <f t="shared" si="162"/>
        <v>0</v>
      </c>
      <c r="DE94" s="79">
        <f t="shared" si="185"/>
        <v>3688.4000000000015</v>
      </c>
      <c r="DP94" s="131"/>
      <c r="EJ94" s="79">
        <f t="shared" si="164"/>
        <v>0</v>
      </c>
      <c r="EK94" s="79">
        <f t="shared" si="165"/>
        <v>0</v>
      </c>
      <c r="EL94" s="79">
        <f t="shared" si="166"/>
        <v>0</v>
      </c>
      <c r="EM94" s="79">
        <f t="shared" si="167"/>
        <v>3688.4000000000015</v>
      </c>
      <c r="FI94" s="66">
        <f t="shared" si="168"/>
        <v>0</v>
      </c>
      <c r="FJ94" s="66">
        <f t="shared" si="169"/>
        <v>0</v>
      </c>
      <c r="FK94" s="66">
        <f t="shared" si="170"/>
        <v>0</v>
      </c>
      <c r="FL94" s="173">
        <f t="shared" si="171"/>
        <v>3688.4000000000015</v>
      </c>
    </row>
    <row r="95" spans="1:168" hidden="1" outlineLevel="1" x14ac:dyDescent="0.2">
      <c r="A95" s="76" t="s">
        <v>15</v>
      </c>
      <c r="B95" s="76" t="s">
        <v>373</v>
      </c>
      <c r="C95" s="76" t="s">
        <v>296</v>
      </c>
      <c r="D95" s="76" t="s">
        <v>573</v>
      </c>
      <c r="E95" s="77" t="s">
        <v>201</v>
      </c>
      <c r="F95" s="77" t="s">
        <v>711</v>
      </c>
      <c r="G95" s="77" t="str">
        <f t="shared" si="179"/>
        <v>0</v>
      </c>
      <c r="H95" s="77" t="str">
        <f t="shared" si="180"/>
        <v>1</v>
      </c>
      <c r="I95" s="77" t="str">
        <f t="shared" si="181"/>
        <v>0</v>
      </c>
      <c r="J95" s="77" t="str">
        <f t="shared" si="182"/>
        <v>0</v>
      </c>
      <c r="K95" s="77" t="str">
        <f t="shared" si="183"/>
        <v>0100</v>
      </c>
      <c r="L95" s="77" t="str">
        <f>IFERROR(VLOOKUP(K95,Sheet2!$A$20:$B$23,2,FALSE),"X")</f>
        <v>02</v>
      </c>
      <c r="M95" s="77" t="str">
        <f t="shared" si="156"/>
        <v>01800458Diagnostic Review 18-19</v>
      </c>
      <c r="O95" s="76" t="s">
        <v>160</v>
      </c>
      <c r="P95" s="69" t="s">
        <v>168</v>
      </c>
      <c r="Q95" s="78"/>
      <c r="R95" s="78"/>
      <c r="AU95" s="158" t="s">
        <v>336</v>
      </c>
      <c r="AV95" s="79"/>
      <c r="AW95" s="79">
        <v>18991</v>
      </c>
      <c r="BV95" s="79">
        <f t="shared" si="157"/>
        <v>0</v>
      </c>
      <c r="BW95" s="79">
        <f t="shared" si="158"/>
        <v>0</v>
      </c>
      <c r="BX95" s="79">
        <f t="shared" si="184"/>
        <v>18991</v>
      </c>
      <c r="CH95" s="79">
        <v>-17500</v>
      </c>
      <c r="DB95" s="79">
        <f t="shared" si="160"/>
        <v>0</v>
      </c>
      <c r="DC95" s="79">
        <f t="shared" si="161"/>
        <v>-17500</v>
      </c>
      <c r="DD95" s="79">
        <f t="shared" si="162"/>
        <v>0</v>
      </c>
      <c r="DE95" s="79">
        <f t="shared" si="185"/>
        <v>1491</v>
      </c>
      <c r="DP95" s="131"/>
      <c r="EJ95" s="79">
        <f t="shared" si="164"/>
        <v>0</v>
      </c>
      <c r="EK95" s="79">
        <f t="shared" si="165"/>
        <v>0</v>
      </c>
      <c r="EL95" s="79">
        <f t="shared" si="166"/>
        <v>0</v>
      </c>
      <c r="EM95" s="79">
        <f t="shared" si="167"/>
        <v>1491</v>
      </c>
      <c r="FI95" s="66">
        <f t="shared" si="168"/>
        <v>0</v>
      </c>
      <c r="FJ95" s="66">
        <f t="shared" si="169"/>
        <v>0</v>
      </c>
      <c r="FK95" s="66">
        <f t="shared" si="170"/>
        <v>0</v>
      </c>
      <c r="FL95" s="173">
        <f t="shared" si="171"/>
        <v>1491</v>
      </c>
    </row>
    <row r="96" spans="1:168" hidden="1" outlineLevel="1" x14ac:dyDescent="0.2">
      <c r="A96" s="76" t="s">
        <v>15</v>
      </c>
      <c r="B96" s="76" t="s">
        <v>374</v>
      </c>
      <c r="C96" s="76" t="s">
        <v>296</v>
      </c>
      <c r="D96" s="76" t="s">
        <v>574</v>
      </c>
      <c r="E96" s="77" t="s">
        <v>201</v>
      </c>
      <c r="F96" s="77" t="s">
        <v>711</v>
      </c>
      <c r="G96" s="77" t="str">
        <f t="shared" si="179"/>
        <v>0</v>
      </c>
      <c r="H96" s="77" t="str">
        <f t="shared" si="180"/>
        <v>1</v>
      </c>
      <c r="I96" s="77" t="str">
        <f t="shared" si="181"/>
        <v>0</v>
      </c>
      <c r="J96" s="77" t="str">
        <f t="shared" si="182"/>
        <v>0</v>
      </c>
      <c r="K96" s="77" t="str">
        <f t="shared" si="183"/>
        <v>0100</v>
      </c>
      <c r="L96" s="77" t="str">
        <f>IFERROR(VLOOKUP(K96,Sheet2!$A$20:$B$23,2,FALSE),"X")</f>
        <v>02</v>
      </c>
      <c r="M96" s="77" t="str">
        <f t="shared" si="156"/>
        <v>01802095Diagnostic Review 18-19</v>
      </c>
      <c r="O96" s="76" t="s">
        <v>160</v>
      </c>
      <c r="P96" s="69" t="s">
        <v>168</v>
      </c>
      <c r="Q96" s="78"/>
      <c r="R96" s="78"/>
      <c r="AU96" s="158" t="s">
        <v>336</v>
      </c>
      <c r="AV96" s="79"/>
      <c r="AW96" s="79">
        <v>16278</v>
      </c>
      <c r="BV96" s="79">
        <f t="shared" si="157"/>
        <v>0</v>
      </c>
      <c r="BW96" s="79">
        <f t="shared" si="158"/>
        <v>0</v>
      </c>
      <c r="BX96" s="79">
        <f t="shared" si="184"/>
        <v>16278</v>
      </c>
      <c r="CH96" s="79">
        <v>-15000</v>
      </c>
      <c r="DB96" s="79">
        <f t="shared" si="160"/>
        <v>0</v>
      </c>
      <c r="DC96" s="79">
        <f t="shared" si="161"/>
        <v>-15000</v>
      </c>
      <c r="DD96" s="79">
        <f t="shared" si="162"/>
        <v>0</v>
      </c>
      <c r="DE96" s="79">
        <f t="shared" si="185"/>
        <v>1278</v>
      </c>
      <c r="DP96" s="131"/>
      <c r="EJ96" s="79">
        <f t="shared" si="164"/>
        <v>0</v>
      </c>
      <c r="EK96" s="79">
        <f t="shared" si="165"/>
        <v>0</v>
      </c>
      <c r="EL96" s="79">
        <f t="shared" si="166"/>
        <v>0</v>
      </c>
      <c r="EM96" s="79">
        <f t="shared" si="167"/>
        <v>1278</v>
      </c>
      <c r="FI96" s="66">
        <f t="shared" si="168"/>
        <v>0</v>
      </c>
      <c r="FJ96" s="66">
        <f t="shared" si="169"/>
        <v>0</v>
      </c>
      <c r="FK96" s="66">
        <f t="shared" si="170"/>
        <v>0</v>
      </c>
      <c r="FL96" s="173">
        <f t="shared" si="171"/>
        <v>1278</v>
      </c>
    </row>
    <row r="97" spans="1:169" hidden="1" outlineLevel="1" x14ac:dyDescent="0.2">
      <c r="A97" s="76" t="s">
        <v>15</v>
      </c>
      <c r="B97" s="76" t="s">
        <v>39</v>
      </c>
      <c r="C97" s="76" t="s">
        <v>296</v>
      </c>
      <c r="D97" s="76" t="s">
        <v>115</v>
      </c>
      <c r="E97" s="77" t="s">
        <v>200</v>
      </c>
      <c r="F97" s="77" t="s">
        <v>711</v>
      </c>
      <c r="G97" s="77" t="str">
        <f t="shared" si="179"/>
        <v>1</v>
      </c>
      <c r="H97" s="77" t="str">
        <f t="shared" si="180"/>
        <v>0</v>
      </c>
      <c r="I97" s="77" t="str">
        <f t="shared" si="181"/>
        <v>0</v>
      </c>
      <c r="J97" s="77" t="str">
        <f t="shared" si="182"/>
        <v>0</v>
      </c>
      <c r="K97" s="77" t="str">
        <f t="shared" si="183"/>
        <v>1000</v>
      </c>
      <c r="L97" s="77" t="str">
        <f>IFERROR(VLOOKUP(K97,Sheet2!$A$20:$B$23,2,FALSE),"X")</f>
        <v>01</v>
      </c>
      <c r="M97" s="77" t="str">
        <f t="shared" si="156"/>
        <v>01803471Diagnostic Review 17-18</v>
      </c>
      <c r="N97" s="76" t="s">
        <v>161</v>
      </c>
      <c r="O97" s="76" t="s">
        <v>160</v>
      </c>
      <c r="P97" s="69" t="s">
        <v>168</v>
      </c>
      <c r="Q97" s="78">
        <v>43168</v>
      </c>
      <c r="R97" s="78">
        <v>43168</v>
      </c>
      <c r="S97" s="79">
        <v>47407.6</v>
      </c>
      <c r="AR97" s="79">
        <f>SUMIF($T$2:$AQ$2,$AR$2,$T97:$AQ97)</f>
        <v>0</v>
      </c>
      <c r="AS97" s="79">
        <f>SUMIF($T$2:$AQ$2,$AS$2,$T97:$AQ97)</f>
        <v>0</v>
      </c>
      <c r="AT97" s="79">
        <f>S97+(AR97+AS97)</f>
        <v>47407.6</v>
      </c>
      <c r="AV97" s="79"/>
      <c r="BB97" s="79">
        <v>-23205</v>
      </c>
      <c r="BV97" s="79">
        <f t="shared" si="157"/>
        <v>-23205</v>
      </c>
      <c r="BW97" s="79">
        <f t="shared" si="158"/>
        <v>0</v>
      </c>
      <c r="BX97" s="79">
        <f t="shared" si="184"/>
        <v>24202.6</v>
      </c>
      <c r="DB97" s="79">
        <f t="shared" si="160"/>
        <v>0</v>
      </c>
      <c r="DC97" s="79">
        <f t="shared" si="161"/>
        <v>0</v>
      </c>
      <c r="DD97" s="79">
        <f t="shared" si="162"/>
        <v>0</v>
      </c>
      <c r="DE97" s="79">
        <f t="shared" si="185"/>
        <v>24202.6</v>
      </c>
      <c r="DP97" s="131"/>
      <c r="EJ97" s="79">
        <f t="shared" si="164"/>
        <v>0</v>
      </c>
      <c r="EK97" s="79">
        <f t="shared" si="165"/>
        <v>0</v>
      </c>
      <c r="EL97" s="79">
        <f t="shared" si="166"/>
        <v>0</v>
      </c>
      <c r="EM97" s="79">
        <f t="shared" si="167"/>
        <v>24202.6</v>
      </c>
      <c r="FI97" s="66">
        <f t="shared" si="168"/>
        <v>0</v>
      </c>
      <c r="FJ97" s="66">
        <f t="shared" si="169"/>
        <v>0</v>
      </c>
      <c r="FK97" s="66">
        <f t="shared" si="170"/>
        <v>0</v>
      </c>
      <c r="FL97" s="173">
        <f t="shared" si="171"/>
        <v>24202.6</v>
      </c>
    </row>
    <row r="98" spans="1:169" hidden="1" outlineLevel="1" x14ac:dyDescent="0.2">
      <c r="A98" s="76" t="s">
        <v>15</v>
      </c>
      <c r="B98" s="76" t="s">
        <v>375</v>
      </c>
      <c r="C98" s="76" t="s">
        <v>296</v>
      </c>
      <c r="D98" s="76" t="s">
        <v>575</v>
      </c>
      <c r="E98" s="77" t="s">
        <v>201</v>
      </c>
      <c r="F98" s="77" t="s">
        <v>711</v>
      </c>
      <c r="G98" s="77" t="str">
        <f t="shared" si="179"/>
        <v>0</v>
      </c>
      <c r="H98" s="77" t="str">
        <f t="shared" si="180"/>
        <v>1</v>
      </c>
      <c r="I98" s="77" t="str">
        <f t="shared" si="181"/>
        <v>0</v>
      </c>
      <c r="J98" s="77" t="str">
        <f t="shared" si="182"/>
        <v>0</v>
      </c>
      <c r="K98" s="77" t="str">
        <f t="shared" si="183"/>
        <v>0100</v>
      </c>
      <c r="L98" s="77" t="str">
        <f>IFERROR(VLOOKUP(K98,Sheet2!$A$20:$B$23,2,FALSE),"X")</f>
        <v>02</v>
      </c>
      <c r="M98" s="77" t="str">
        <f t="shared" si="156"/>
        <v>01806758Diagnostic Review 18-19</v>
      </c>
      <c r="O98" s="76" t="s">
        <v>160</v>
      </c>
      <c r="P98" s="69" t="s">
        <v>168</v>
      </c>
      <c r="Q98" s="78"/>
      <c r="R98" s="78"/>
      <c r="AU98" s="158" t="s">
        <v>336</v>
      </c>
      <c r="AV98" s="79"/>
      <c r="AW98" s="79">
        <v>16278</v>
      </c>
      <c r="BV98" s="79">
        <f t="shared" si="157"/>
        <v>0</v>
      </c>
      <c r="BW98" s="79">
        <f t="shared" si="158"/>
        <v>0</v>
      </c>
      <c r="BX98" s="79">
        <f t="shared" si="184"/>
        <v>16278</v>
      </c>
      <c r="CH98" s="79">
        <v>-15000</v>
      </c>
      <c r="DB98" s="79">
        <f t="shared" si="160"/>
        <v>0</v>
      </c>
      <c r="DC98" s="79">
        <f t="shared" si="161"/>
        <v>-15000</v>
      </c>
      <c r="DD98" s="79">
        <f t="shared" si="162"/>
        <v>0</v>
      </c>
      <c r="DE98" s="79">
        <f t="shared" si="185"/>
        <v>1278</v>
      </c>
      <c r="DP98" s="131"/>
      <c r="EJ98" s="79">
        <f t="shared" si="164"/>
        <v>0</v>
      </c>
      <c r="EK98" s="79">
        <f t="shared" si="165"/>
        <v>0</v>
      </c>
      <c r="EL98" s="79">
        <f t="shared" si="166"/>
        <v>0</v>
      </c>
      <c r="EM98" s="79">
        <f t="shared" si="167"/>
        <v>1278</v>
      </c>
      <c r="FI98" s="66">
        <f t="shared" si="168"/>
        <v>0</v>
      </c>
      <c r="FJ98" s="66">
        <f t="shared" si="169"/>
        <v>0</v>
      </c>
      <c r="FK98" s="66">
        <f t="shared" si="170"/>
        <v>0</v>
      </c>
      <c r="FL98" s="173">
        <f t="shared" si="171"/>
        <v>1278</v>
      </c>
    </row>
    <row r="99" spans="1:169" hidden="1" outlineLevel="1" x14ac:dyDescent="0.2">
      <c r="A99" s="76" t="s">
        <v>51</v>
      </c>
      <c r="B99" s="77" t="s">
        <v>451</v>
      </c>
      <c r="C99" s="76" t="s">
        <v>614</v>
      </c>
      <c r="D99" s="76" t="s">
        <v>576</v>
      </c>
      <c r="E99" s="77" t="s">
        <v>202</v>
      </c>
      <c r="F99" s="77" t="s">
        <v>711</v>
      </c>
      <c r="G99" s="77" t="str">
        <f t="shared" si="179"/>
        <v>0</v>
      </c>
      <c r="H99" s="77" t="str">
        <f t="shared" si="180"/>
        <v>0</v>
      </c>
      <c r="I99" s="77" t="str">
        <f t="shared" si="181"/>
        <v>0</v>
      </c>
      <c r="J99" s="77" t="str">
        <f t="shared" si="182"/>
        <v>0</v>
      </c>
      <c r="K99" s="77" t="str">
        <f t="shared" si="183"/>
        <v>0000</v>
      </c>
      <c r="L99" s="77" t="str">
        <f>IFERROR(VLOOKUP(K99,Sheet2!$A$20:$B$23,2,FALSE),"X")</f>
        <v>X</v>
      </c>
      <c r="M99" s="77" t="str">
        <f t="shared" si="156"/>
        <v>02206679Diagnostic Review 19-20</v>
      </c>
      <c r="O99" s="76" t="s">
        <v>160</v>
      </c>
      <c r="P99" s="69" t="s">
        <v>168</v>
      </c>
      <c r="Q99" s="78">
        <v>43168</v>
      </c>
      <c r="R99" s="78">
        <v>43168</v>
      </c>
      <c r="AR99" s="79">
        <f>SUMIF($T$2:$AQ$2,$AR$2,$T99:$AQ99)</f>
        <v>0</v>
      </c>
      <c r="AS99" s="79">
        <f>SUMIF($T$2:$AQ$2,$AS$2,$T99:$AQ99)</f>
        <v>0</v>
      </c>
      <c r="AT99" s="79">
        <f>S99+(AR99+AS99)</f>
        <v>0</v>
      </c>
      <c r="AV99" s="79"/>
      <c r="BV99" s="79">
        <f t="shared" si="157"/>
        <v>0</v>
      </c>
      <c r="BW99" s="79">
        <f t="shared" si="158"/>
        <v>0</v>
      </c>
      <c r="BX99" s="79">
        <f>AT99+AV99+AW99+(BV99+BW99)</f>
        <v>0</v>
      </c>
      <c r="DB99" s="79">
        <f t="shared" si="160"/>
        <v>0</v>
      </c>
      <c r="DC99" s="79">
        <f t="shared" si="161"/>
        <v>0</v>
      </c>
      <c r="DD99" s="79">
        <f t="shared" si="162"/>
        <v>0</v>
      </c>
      <c r="DE99" s="79">
        <f>BX99+CA99+BZ99+CC99+(DB99+DC99+DD99)</f>
        <v>0</v>
      </c>
      <c r="DP99" s="131"/>
      <c r="EJ99" s="79">
        <f t="shared" si="164"/>
        <v>0</v>
      </c>
      <c r="EK99" s="79">
        <f t="shared" si="165"/>
        <v>0</v>
      </c>
      <c r="EL99" s="79">
        <f t="shared" si="166"/>
        <v>0</v>
      </c>
      <c r="EM99" s="79">
        <f t="shared" si="167"/>
        <v>0</v>
      </c>
      <c r="FI99" s="66">
        <f t="shared" si="168"/>
        <v>0</v>
      </c>
      <c r="FJ99" s="66">
        <f t="shared" si="169"/>
        <v>0</v>
      </c>
      <c r="FK99" s="66">
        <f t="shared" si="170"/>
        <v>0</v>
      </c>
      <c r="FL99" s="173">
        <f t="shared" si="171"/>
        <v>0</v>
      </c>
    </row>
    <row r="100" spans="1:169" hidden="1" outlineLevel="1" x14ac:dyDescent="0.2">
      <c r="A100" s="88" t="s">
        <v>455</v>
      </c>
      <c r="B100" s="88" t="s">
        <v>641</v>
      </c>
      <c r="C100" s="88" t="s">
        <v>460</v>
      </c>
      <c r="D100" s="88" t="s">
        <v>654</v>
      </c>
      <c r="E100" s="89" t="s">
        <v>202</v>
      </c>
      <c r="F100" s="89" t="s">
        <v>711</v>
      </c>
      <c r="G100" s="77" t="str">
        <f t="shared" si="179"/>
        <v>0</v>
      </c>
      <c r="H100" s="77" t="str">
        <f t="shared" si="180"/>
        <v>0</v>
      </c>
      <c r="I100" s="77" t="str">
        <f t="shared" si="181"/>
        <v>1</v>
      </c>
      <c r="J100" s="77" t="str">
        <f t="shared" si="182"/>
        <v>0</v>
      </c>
      <c r="K100" s="77" t="str">
        <f t="shared" si="183"/>
        <v>0010</v>
      </c>
      <c r="L100" s="77" t="str">
        <f>IFERROR(VLOOKUP(K100,Sheet2!$A$20:$B$23,2,FALSE),"X")</f>
        <v>03</v>
      </c>
      <c r="M100" s="77" t="str">
        <f t="shared" si="156"/>
        <v>04800934Diagnostic Review 19-20</v>
      </c>
      <c r="N100" s="88"/>
      <c r="O100" s="88" t="s">
        <v>160</v>
      </c>
      <c r="P100" s="90" t="s">
        <v>168</v>
      </c>
      <c r="Q100" s="91"/>
      <c r="R100" s="91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161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>
        <f t="shared" si="157"/>
        <v>0</v>
      </c>
      <c r="BW100" s="92">
        <f t="shared" si="158"/>
        <v>0</v>
      </c>
      <c r="BX100" s="92">
        <f>AT100+AV100+AW100+(BV100+BW100)</f>
        <v>0</v>
      </c>
      <c r="BY100" s="161"/>
      <c r="BZ100" s="92"/>
      <c r="CA100" s="92"/>
      <c r="CB100" s="92"/>
      <c r="CC100" s="92">
        <v>50026.447500000002</v>
      </c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>
        <f t="shared" si="160"/>
        <v>0</v>
      </c>
      <c r="DC100" s="92">
        <f t="shared" si="161"/>
        <v>0</v>
      </c>
      <c r="DD100" s="92">
        <f t="shared" si="162"/>
        <v>0</v>
      </c>
      <c r="DE100" s="92">
        <f>BX100+CA100+BZ100+CC100+(DB100+DC100+DD100)</f>
        <v>50026.447500000002</v>
      </c>
      <c r="DP100" s="131"/>
      <c r="EE100" s="79">
        <v>-15000</v>
      </c>
      <c r="EJ100" s="79">
        <f t="shared" si="164"/>
        <v>0</v>
      </c>
      <c r="EK100" s="79">
        <f t="shared" si="165"/>
        <v>-15000</v>
      </c>
      <c r="EL100" s="79">
        <f t="shared" si="166"/>
        <v>0</v>
      </c>
      <c r="EM100" s="79">
        <f t="shared" si="167"/>
        <v>35026.447500000002</v>
      </c>
      <c r="EW100" s="144">
        <v>-18660</v>
      </c>
      <c r="EY100" s="144">
        <v>-16366.45</v>
      </c>
      <c r="FI100" s="66">
        <f t="shared" si="168"/>
        <v>0</v>
      </c>
      <c r="FJ100" s="66">
        <f t="shared" si="169"/>
        <v>0</v>
      </c>
      <c r="FK100" s="66">
        <f t="shared" si="170"/>
        <v>-35026.449999999997</v>
      </c>
      <c r="FL100" s="173">
        <f t="shared" si="171"/>
        <v>-2.4999999950523488E-3</v>
      </c>
    </row>
    <row r="101" spans="1:169" hidden="1" outlineLevel="1" x14ac:dyDescent="0.2">
      <c r="A101" s="76" t="s">
        <v>377</v>
      </c>
      <c r="B101" s="76" t="s">
        <v>353</v>
      </c>
      <c r="C101" s="76" t="s">
        <v>601</v>
      </c>
      <c r="D101" s="76" t="s">
        <v>577</v>
      </c>
      <c r="E101" s="77" t="s">
        <v>201</v>
      </c>
      <c r="F101" s="77" t="s">
        <v>711</v>
      </c>
      <c r="G101" s="77" t="str">
        <f t="shared" si="179"/>
        <v>0</v>
      </c>
      <c r="H101" s="77" t="str">
        <f t="shared" si="180"/>
        <v>1</v>
      </c>
      <c r="I101" s="77" t="str">
        <f t="shared" si="181"/>
        <v>0</v>
      </c>
      <c r="J101" s="77" t="str">
        <f t="shared" si="182"/>
        <v>0</v>
      </c>
      <c r="K101" s="77" t="str">
        <f t="shared" si="183"/>
        <v>0100</v>
      </c>
      <c r="L101" s="77" t="str">
        <f>IFERROR(VLOOKUP(K101,Sheet2!$A$20:$B$23,2,FALSE),"X")</f>
        <v>02</v>
      </c>
      <c r="M101" s="77" t="str">
        <f t="shared" si="156"/>
        <v>05004085Diagnostic Review 18-19</v>
      </c>
      <c r="O101" s="76" t="s">
        <v>160</v>
      </c>
      <c r="P101" s="69" t="s">
        <v>168</v>
      </c>
      <c r="Q101" s="78"/>
      <c r="R101" s="78"/>
      <c r="AU101" s="158" t="s">
        <v>336</v>
      </c>
      <c r="AV101" s="79"/>
      <c r="AW101" s="79">
        <v>35748</v>
      </c>
      <c r="BV101" s="79">
        <f t="shared" si="157"/>
        <v>0</v>
      </c>
      <c r="BW101" s="79">
        <f t="shared" si="158"/>
        <v>0</v>
      </c>
      <c r="BX101" s="79">
        <f>AT101+AV101+AW101+(BV101+BW101)</f>
        <v>35748</v>
      </c>
      <c r="BY101" s="158" t="s">
        <v>341</v>
      </c>
      <c r="CA101" s="79">
        <v>5504</v>
      </c>
      <c r="CD101" s="79">
        <v>-26984</v>
      </c>
      <c r="CH101" s="79">
        <v>-151.9</v>
      </c>
      <c r="CJ101" s="79">
        <v>-1155</v>
      </c>
      <c r="CL101" s="79">
        <v>-32.229999999999997</v>
      </c>
      <c r="CN101" s="79">
        <v>-1234.4100000000001</v>
      </c>
      <c r="CP101" s="79">
        <v>-531.05999999999995</v>
      </c>
      <c r="CT101" s="79">
        <v>-5659.4</v>
      </c>
      <c r="DB101" s="79">
        <f t="shared" si="160"/>
        <v>-26984</v>
      </c>
      <c r="DC101" s="79">
        <f t="shared" si="161"/>
        <v>-8764</v>
      </c>
      <c r="DD101" s="79">
        <f t="shared" si="162"/>
        <v>0</v>
      </c>
      <c r="DE101" s="79">
        <f>BX101+CA101+BZ101+CC101+(DB101+DC101+DD101)</f>
        <v>5504</v>
      </c>
      <c r="DP101" s="131"/>
      <c r="EJ101" s="79">
        <f t="shared" si="164"/>
        <v>0</v>
      </c>
      <c r="EK101" s="79">
        <f t="shared" si="165"/>
        <v>0</v>
      </c>
      <c r="EL101" s="79">
        <f t="shared" si="166"/>
        <v>0</v>
      </c>
      <c r="EM101" s="79">
        <f t="shared" si="167"/>
        <v>5504</v>
      </c>
      <c r="FI101" s="66">
        <f t="shared" si="168"/>
        <v>0</v>
      </c>
      <c r="FJ101" s="66">
        <f t="shared" si="169"/>
        <v>0</v>
      </c>
      <c r="FK101" s="66">
        <f t="shared" si="170"/>
        <v>0</v>
      </c>
      <c r="FL101" s="173">
        <f t="shared" si="171"/>
        <v>5504</v>
      </c>
    </row>
    <row r="102" spans="1:169" s="118" customFormat="1" hidden="1" outlineLevel="1" x14ac:dyDescent="0.2">
      <c r="A102" s="118" t="s">
        <v>770</v>
      </c>
      <c r="B102" s="118" t="s">
        <v>771</v>
      </c>
      <c r="C102" s="118" t="s">
        <v>773</v>
      </c>
      <c r="D102" s="118" t="s">
        <v>772</v>
      </c>
      <c r="E102" s="119" t="s">
        <v>203</v>
      </c>
      <c r="F102" s="119"/>
      <c r="G102" s="119"/>
      <c r="H102" s="119"/>
      <c r="I102" s="119"/>
      <c r="J102" s="119"/>
      <c r="K102" s="119"/>
      <c r="L102" s="119"/>
      <c r="M102" s="119" t="str">
        <f t="shared" si="156"/>
        <v>05506339Diagnostic Review 20-21</v>
      </c>
      <c r="O102" s="119" t="s">
        <v>160</v>
      </c>
      <c r="P102" s="120"/>
      <c r="Q102" s="121"/>
      <c r="R102" s="121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60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60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60"/>
      <c r="DG102" s="122"/>
      <c r="DH102" s="122"/>
      <c r="DI102" s="122"/>
      <c r="DJ102" s="122">
        <v>20000</v>
      </c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31"/>
      <c r="EH102" s="122"/>
      <c r="EI102" s="122"/>
      <c r="EJ102" s="122"/>
      <c r="EK102" s="122"/>
      <c r="EL102" s="122"/>
      <c r="EM102" s="122">
        <f t="shared" si="167"/>
        <v>20000</v>
      </c>
      <c r="EN102" s="122"/>
      <c r="EO102" s="122"/>
      <c r="EP102" s="122"/>
      <c r="EQ102" s="122">
        <v>10000</v>
      </c>
      <c r="ER102" s="122"/>
      <c r="ES102" s="126"/>
      <c r="ET102" s="126"/>
      <c r="EU102" s="126"/>
      <c r="EV102" s="6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66">
        <f t="shared" si="168"/>
        <v>0</v>
      </c>
      <c r="FJ102" s="66">
        <f t="shared" si="169"/>
        <v>0</v>
      </c>
      <c r="FK102" s="66">
        <f t="shared" si="170"/>
        <v>0</v>
      </c>
      <c r="FL102" s="173">
        <f t="shared" si="171"/>
        <v>30000</v>
      </c>
      <c r="FM102" s="123"/>
    </row>
    <row r="103" spans="1:169" hidden="1" outlineLevel="1" x14ac:dyDescent="0.2">
      <c r="A103" s="76" t="s">
        <v>22</v>
      </c>
      <c r="B103" s="76" t="s">
        <v>50</v>
      </c>
      <c r="C103" s="76" t="s">
        <v>101</v>
      </c>
      <c r="D103" s="76" t="s">
        <v>126</v>
      </c>
      <c r="E103" s="77" t="s">
        <v>200</v>
      </c>
      <c r="F103" s="77" t="s">
        <v>711</v>
      </c>
      <c r="G103" s="77" t="str">
        <f>IF(S103&gt;0, "1", "0")</f>
        <v>1</v>
      </c>
      <c r="H103" s="77" t="str">
        <f>IF(AW103&gt;0, "1", "0")</f>
        <v>0</v>
      </c>
      <c r="I103" s="77" t="str">
        <f>IF(CC103&gt;0, "1", "0")</f>
        <v>0</v>
      </c>
      <c r="J103" s="77" t="str">
        <f>IF(DJ103&gt;0, "1", "0")</f>
        <v>0</v>
      </c>
      <c r="K103" s="77" t="str">
        <f>CONCATENATE(G103,H103,I103,J103)</f>
        <v>1000</v>
      </c>
      <c r="L103" s="77" t="str">
        <f>IFERROR(VLOOKUP(K103,Sheet2!$A$20:$B$23,2,FALSE),"X")</f>
        <v>01</v>
      </c>
      <c r="M103" s="77" t="str">
        <f t="shared" si="156"/>
        <v>07407880Diagnostic Review 17-18</v>
      </c>
      <c r="N103" s="76" t="s">
        <v>161</v>
      </c>
      <c r="O103" s="76" t="s">
        <v>160</v>
      </c>
      <c r="P103" s="69" t="s">
        <v>168</v>
      </c>
      <c r="Q103" s="78">
        <v>43173</v>
      </c>
      <c r="R103" s="78">
        <v>43173</v>
      </c>
      <c r="S103" s="79">
        <v>49590</v>
      </c>
      <c r="AR103" s="79">
        <f>SUMIF($T$2:$AQ$2,$AR$2,$T103:$AQ103)</f>
        <v>0</v>
      </c>
      <c r="AS103" s="79">
        <f>SUMIF($T$2:$AQ$2,$AS$2,$T103:$AQ103)</f>
        <v>0</v>
      </c>
      <c r="AT103" s="79">
        <f>S103+(AR103+AS103)</f>
        <v>49590</v>
      </c>
      <c r="AV103" s="79"/>
      <c r="AZ103" s="79">
        <v>-49590</v>
      </c>
      <c r="BV103" s="79">
        <f>SUMIF($AX$2:$BU$2,$BV$2,$AX103:$BU103)</f>
        <v>-49590</v>
      </c>
      <c r="BW103" s="79">
        <f>SUMIF($AX$2:$BU$2,$BW$2,$AX103:$BU103)</f>
        <v>0</v>
      </c>
      <c r="BX103" s="79">
        <f>AT103+AV103+AW103+(BV103+BW103)</f>
        <v>0</v>
      </c>
      <c r="DB103" s="79">
        <f>SUMIF($CD$2:$DA$2,$DB$2,$CD103:$DA103)</f>
        <v>0</v>
      </c>
      <c r="DC103" s="79">
        <f>SUMIF($CD$2:$DA$2,$DC$2,$CD103:$DA103)</f>
        <v>0</v>
      </c>
      <c r="DD103" s="79">
        <f>SUMIF($CD$2:$DA$2,$DD$2,$CD103:$DA103)</f>
        <v>0</v>
      </c>
      <c r="DE103" s="79">
        <f>BX103+CA103+BZ103+CC103+(DB103+DC103+DD103)</f>
        <v>0</v>
      </c>
      <c r="DP103" s="131"/>
      <c r="EJ103" s="79">
        <f>SUMIF($DK$2:$EI$2,$EJ$2,$DK103:$EI103)</f>
        <v>0</v>
      </c>
      <c r="EK103" s="79">
        <f>SUMIF($DK$2:$EI$2,$EK$2,$DK103:$EI103)</f>
        <v>0</v>
      </c>
      <c r="EL103" s="79">
        <f>SUMIF($DK$2:$EI$2,$EL$2,$DK103:$EI103)</f>
        <v>0</v>
      </c>
      <c r="EM103" s="79">
        <f t="shared" si="167"/>
        <v>0</v>
      </c>
      <c r="FI103" s="66">
        <f t="shared" si="168"/>
        <v>0</v>
      </c>
      <c r="FJ103" s="66">
        <f t="shared" si="169"/>
        <v>0</v>
      </c>
      <c r="FK103" s="66">
        <f t="shared" si="170"/>
        <v>0</v>
      </c>
      <c r="FL103" s="173">
        <f t="shared" si="171"/>
        <v>0</v>
      </c>
    </row>
    <row r="104" spans="1:169" hidden="1" outlineLevel="1" x14ac:dyDescent="0.2">
      <c r="A104" s="76" t="s">
        <v>378</v>
      </c>
      <c r="B104" s="76" t="s">
        <v>354</v>
      </c>
      <c r="C104" s="76" t="s">
        <v>615</v>
      </c>
      <c r="D104" s="76" t="s">
        <v>578</v>
      </c>
      <c r="E104" s="77" t="s">
        <v>201</v>
      </c>
      <c r="F104" s="77" t="s">
        <v>711</v>
      </c>
      <c r="G104" s="77" t="str">
        <f>IF(S104&gt;0, "1", "0")</f>
        <v>0</v>
      </c>
      <c r="H104" s="77" t="str">
        <f>IF(AW104&gt;0, "1", "0")</f>
        <v>1</v>
      </c>
      <c r="I104" s="77" t="str">
        <f>IF(CC104&gt;0, "1", "0")</f>
        <v>0</v>
      </c>
      <c r="J104" s="77" t="str">
        <f>IF(DJ104&gt;0, "1", "0")</f>
        <v>0</v>
      </c>
      <c r="K104" s="77" t="str">
        <f>CONCATENATE(G104,H104,I104,J104)</f>
        <v>0100</v>
      </c>
      <c r="L104" s="77" t="str">
        <f>IFERROR(VLOOKUP(K104,Sheet2!$A$20:$B$23,2,FALSE),"X")</f>
        <v>02</v>
      </c>
      <c r="M104" s="77" t="str">
        <f t="shared" ref="M104:M131" si="186">A104&amp;B104&amp;E104</f>
        <v>08702155Diagnostic Review 18-19</v>
      </c>
      <c r="O104" s="76" t="s">
        <v>160</v>
      </c>
      <c r="P104" s="69" t="s">
        <v>168</v>
      </c>
      <c r="Q104" s="78"/>
      <c r="R104" s="78"/>
      <c r="AU104" s="158" t="s">
        <v>336</v>
      </c>
      <c r="AV104" s="79"/>
      <c r="AW104" s="79">
        <v>54281</v>
      </c>
      <c r="BT104" s="79">
        <v>-21000</v>
      </c>
      <c r="BV104" s="79">
        <f>SUMIF($AX$2:$BU$2,$BV$2,$AX104:$BU104)</f>
        <v>-21000</v>
      </c>
      <c r="BW104" s="79">
        <f>SUMIF($AX$2:$BU$2,$BW$2,$AX104:$BU104)</f>
        <v>0</v>
      </c>
      <c r="BX104" s="79">
        <f>AT104+AV104+AW104+(BV104+BW104)</f>
        <v>33281</v>
      </c>
      <c r="CJ104" s="79">
        <v>-21920</v>
      </c>
      <c r="DB104" s="79">
        <f>SUMIF($CD$2:$DA$2,$DB$2,$CD104:$DA104)</f>
        <v>0</v>
      </c>
      <c r="DC104" s="79">
        <f>SUMIF($CD$2:$DA$2,$DC$2,$CD104:$DA104)</f>
        <v>-21920</v>
      </c>
      <c r="DD104" s="79">
        <f>SUMIF($CD$2:$DA$2,$DD$2,$CD104:$DA104)</f>
        <v>0</v>
      </c>
      <c r="DE104" s="79">
        <f>BX104+CA104+BZ104+CC104+(DB104+DC104+DD104)</f>
        <v>11361</v>
      </c>
      <c r="DM104" s="79">
        <v>-3750</v>
      </c>
      <c r="DP104" s="131"/>
      <c r="EJ104" s="79">
        <f>SUMIF($DK$2:$EI$2,$EJ$2,$DK104:$EI104)</f>
        <v>0</v>
      </c>
      <c r="EK104" s="79">
        <f>SUMIF($DK$2:$EI$2,$EK$2,$DK104:$EI104)</f>
        <v>-3750</v>
      </c>
      <c r="EL104" s="79">
        <f>SUMIF($DK$2:$EI$2,$EL$2,$DK104:$EI104)</f>
        <v>0</v>
      </c>
      <c r="EM104" s="79">
        <f t="shared" ref="EM104:EM131" si="187">DE104+DH104+DG104+DJ104+(EJ104+EK104+EL104)</f>
        <v>7611</v>
      </c>
      <c r="FI104" s="66">
        <f t="shared" si="168"/>
        <v>0</v>
      </c>
      <c r="FJ104" s="66">
        <f t="shared" si="169"/>
        <v>0</v>
      </c>
      <c r="FK104" s="66">
        <f t="shared" si="170"/>
        <v>0</v>
      </c>
      <c r="FL104" s="173">
        <f t="shared" si="171"/>
        <v>7611</v>
      </c>
    </row>
    <row r="105" spans="1:169" hidden="1" outlineLevel="1" x14ac:dyDescent="0.2">
      <c r="A105" s="76" t="s">
        <v>378</v>
      </c>
      <c r="B105" s="76" t="s">
        <v>355</v>
      </c>
      <c r="C105" s="76" t="s">
        <v>615</v>
      </c>
      <c r="D105" s="76" t="s">
        <v>579</v>
      </c>
      <c r="E105" s="77" t="s">
        <v>201</v>
      </c>
      <c r="F105" s="77" t="s">
        <v>711</v>
      </c>
      <c r="G105" s="77" t="str">
        <f>IF(S105&gt;0, "1", "0")</f>
        <v>0</v>
      </c>
      <c r="H105" s="77" t="str">
        <f>IF(AW105&gt;0, "1", "0")</f>
        <v>1</v>
      </c>
      <c r="I105" s="77" t="str">
        <f>IF(CC105&gt;0, "1", "0")</f>
        <v>0</v>
      </c>
      <c r="J105" s="77" t="str">
        <f>IF(DJ105&gt;0, "1", "0")</f>
        <v>0</v>
      </c>
      <c r="K105" s="77" t="str">
        <f>CONCATENATE(G105,H105,I105,J105)</f>
        <v>0100</v>
      </c>
      <c r="L105" s="77" t="str">
        <f>IFERROR(VLOOKUP(K105,Sheet2!$A$20:$B$23,2,FALSE),"X")</f>
        <v>02</v>
      </c>
      <c r="M105" s="77" t="str">
        <f t="shared" si="186"/>
        <v>08702166Diagnostic Review 18-19</v>
      </c>
      <c r="O105" s="76" t="s">
        <v>160</v>
      </c>
      <c r="P105" s="69" t="s">
        <v>168</v>
      </c>
      <c r="Q105" s="78"/>
      <c r="R105" s="78"/>
      <c r="AU105" s="158" t="s">
        <v>336</v>
      </c>
      <c r="AV105" s="79"/>
      <c r="AW105" s="79">
        <v>28283</v>
      </c>
      <c r="BT105" s="79">
        <v>-18000</v>
      </c>
      <c r="BV105" s="79">
        <f>SUMIF($AX$2:$BU$2,$BV$2,$AX105:$BU105)</f>
        <v>-18000</v>
      </c>
      <c r="BW105" s="79">
        <f>SUMIF($AX$2:$BU$2,$BW$2,$AX105:$BU105)</f>
        <v>0</v>
      </c>
      <c r="BX105" s="79">
        <f>AT105+AV105+AW105+(BV105+BW105)</f>
        <v>10283</v>
      </c>
      <c r="CT105" s="79">
        <v>-9405.4500000000007</v>
      </c>
      <c r="DB105" s="79">
        <f>SUMIF($CD$2:$DA$2,$DB$2,$CD105:$DA105)</f>
        <v>0</v>
      </c>
      <c r="DC105" s="79">
        <f>SUMIF($CD$2:$DA$2,$DC$2,$CD105:$DA105)</f>
        <v>-9405.4500000000007</v>
      </c>
      <c r="DD105" s="79">
        <f>SUMIF($CD$2:$DA$2,$DD$2,$CD105:$DA105)</f>
        <v>0</v>
      </c>
      <c r="DE105" s="79">
        <f>BX105+CA105+BZ105+CC105+(DB105+DC105+DD105)</f>
        <v>877.54999999999927</v>
      </c>
      <c r="DP105" s="131"/>
      <c r="EJ105" s="79">
        <f>SUMIF($DK$2:$EI$2,$EJ$2,$DK105:$EI105)</f>
        <v>0</v>
      </c>
      <c r="EK105" s="79">
        <f>SUMIF($DK$2:$EI$2,$EK$2,$DK105:$EI105)</f>
        <v>0</v>
      </c>
      <c r="EL105" s="79">
        <f>SUMIF($DK$2:$EI$2,$EL$2,$DK105:$EI105)</f>
        <v>0</v>
      </c>
      <c r="EM105" s="79">
        <f t="shared" si="187"/>
        <v>877.54999999999927</v>
      </c>
      <c r="FI105" s="66">
        <f t="shared" si="168"/>
        <v>0</v>
      </c>
      <c r="FJ105" s="66">
        <f t="shared" si="169"/>
        <v>0</v>
      </c>
      <c r="FK105" s="66">
        <f t="shared" si="170"/>
        <v>0</v>
      </c>
      <c r="FL105" s="173">
        <f t="shared" si="171"/>
        <v>877.54999999999927</v>
      </c>
    </row>
    <row r="106" spans="1:169" hidden="1" outlineLevel="1" x14ac:dyDescent="0.2">
      <c r="A106" s="76" t="s">
        <v>23</v>
      </c>
      <c r="B106" s="76" t="s">
        <v>54</v>
      </c>
      <c r="C106" s="76" t="s">
        <v>507</v>
      </c>
      <c r="D106" s="76" t="s">
        <v>130</v>
      </c>
      <c r="E106" s="77" t="s">
        <v>201</v>
      </c>
      <c r="F106" s="77" t="s">
        <v>711</v>
      </c>
      <c r="G106" s="77" t="str">
        <f>IF(S106&gt;0, "1", "0")</f>
        <v>0</v>
      </c>
      <c r="H106" s="77" t="str">
        <f>IF(AW106&gt;0, "1", "0")</f>
        <v>1</v>
      </c>
      <c r="I106" s="77" t="str">
        <f>IF(CC106&gt;0, "1", "0")</f>
        <v>0</v>
      </c>
      <c r="J106" s="77" t="str">
        <f>IF(DJ106&gt;0, "1", "0")</f>
        <v>0</v>
      </c>
      <c r="K106" s="77" t="str">
        <f>CONCATENATE(G106,H106,I106,J106)</f>
        <v>0100</v>
      </c>
      <c r="L106" s="77" t="str">
        <f>IFERROR(VLOOKUP(K106,Sheet2!$A$20:$B$23,2,FALSE),"X")</f>
        <v>02</v>
      </c>
      <c r="M106" s="77" t="str">
        <f t="shared" si="186"/>
        <v>08800650Diagnostic Review 18-19</v>
      </c>
      <c r="O106" s="76" t="s">
        <v>160</v>
      </c>
      <c r="P106" s="69" t="s">
        <v>168</v>
      </c>
      <c r="Q106" s="78"/>
      <c r="R106" s="78"/>
      <c r="AU106" s="158" t="s">
        <v>336</v>
      </c>
      <c r="AV106" s="79"/>
      <c r="AW106" s="79">
        <v>18296</v>
      </c>
      <c r="BV106" s="79">
        <f>SUMIF($AX$2:$BU$2,$BV$2,$AX106:$BU106)</f>
        <v>0</v>
      </c>
      <c r="BW106" s="79">
        <f>SUMIF($AX$2:$BU$2,$BW$2,$AX106:$BU106)</f>
        <v>0</v>
      </c>
      <c r="BX106" s="79">
        <f>AT106+AV106+AW106+(BV106+BW106)</f>
        <v>18296</v>
      </c>
      <c r="DB106" s="79">
        <f>SUMIF($CD$2:$DA$2,$DB$2,$CD106:$DA106)</f>
        <v>0</v>
      </c>
      <c r="DC106" s="79">
        <f>SUMIF($CD$2:$DA$2,$DC$2,$CD106:$DA106)</f>
        <v>0</v>
      </c>
      <c r="DD106" s="79">
        <f>SUMIF($CD$2:$DA$2,$DD$2,$CD106:$DA106)</f>
        <v>0</v>
      </c>
      <c r="DE106" s="79">
        <f>BX106+CA106+BZ106+CC106+(DB106+DC106+DD106)</f>
        <v>18296</v>
      </c>
      <c r="DP106" s="131"/>
      <c r="EJ106" s="79">
        <f>SUMIF($DK$2:$EI$2,$EJ$2,$DK106:$EI106)</f>
        <v>0</v>
      </c>
      <c r="EK106" s="79">
        <f>SUMIF($DK$2:$EI$2,$EK$2,$DK106:$EI106)</f>
        <v>0</v>
      </c>
      <c r="EL106" s="79">
        <f>SUMIF($DK$2:$EI$2,$EL$2,$DK106:$EI106)</f>
        <v>0</v>
      </c>
      <c r="EM106" s="79">
        <f t="shared" si="187"/>
        <v>18296</v>
      </c>
      <c r="FI106" s="66">
        <f t="shared" si="168"/>
        <v>0</v>
      </c>
      <c r="FJ106" s="66">
        <f t="shared" si="169"/>
        <v>0</v>
      </c>
      <c r="FK106" s="66">
        <f t="shared" si="170"/>
        <v>0</v>
      </c>
      <c r="FL106" s="173">
        <f t="shared" si="171"/>
        <v>18296</v>
      </c>
    </row>
    <row r="107" spans="1:169" s="118" customFormat="1" hidden="1" outlineLevel="1" x14ac:dyDescent="0.2">
      <c r="A107" s="118" t="s">
        <v>23</v>
      </c>
      <c r="B107" s="119" t="s">
        <v>383</v>
      </c>
      <c r="C107" s="118" t="s">
        <v>507</v>
      </c>
      <c r="D107" s="118" t="s">
        <v>762</v>
      </c>
      <c r="E107" s="119" t="s">
        <v>203</v>
      </c>
      <c r="F107" s="119"/>
      <c r="G107" s="119"/>
      <c r="H107" s="119"/>
      <c r="I107" s="119"/>
      <c r="J107" s="119"/>
      <c r="K107" s="119"/>
      <c r="L107" s="119"/>
      <c r="M107" s="119" t="str">
        <f t="shared" si="186"/>
        <v>08803000Diagnostic Review 20-21</v>
      </c>
      <c r="O107" s="118" t="s">
        <v>160</v>
      </c>
      <c r="P107" s="120"/>
      <c r="Q107" s="121"/>
      <c r="R107" s="121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60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60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60"/>
      <c r="DG107" s="122"/>
      <c r="DH107" s="122"/>
      <c r="DI107" s="122"/>
      <c r="DJ107" s="122">
        <v>25000</v>
      </c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31"/>
      <c r="EH107" s="122"/>
      <c r="EI107" s="122"/>
      <c r="EJ107" s="122"/>
      <c r="EK107" s="122"/>
      <c r="EL107" s="122"/>
      <c r="EM107" s="122">
        <f t="shared" si="187"/>
        <v>25000</v>
      </c>
      <c r="EN107" s="122"/>
      <c r="EO107" s="122"/>
      <c r="EP107" s="122"/>
      <c r="EQ107" s="122">
        <v>40000</v>
      </c>
      <c r="ER107" s="122"/>
      <c r="ES107" s="126"/>
      <c r="ET107" s="126"/>
      <c r="EU107" s="126"/>
      <c r="EV107" s="6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66">
        <f t="shared" si="168"/>
        <v>0</v>
      </c>
      <c r="FJ107" s="66">
        <f t="shared" si="169"/>
        <v>0</v>
      </c>
      <c r="FK107" s="66">
        <f t="shared" si="170"/>
        <v>0</v>
      </c>
      <c r="FL107" s="173">
        <f t="shared" si="171"/>
        <v>65000</v>
      </c>
      <c r="FM107" s="123"/>
    </row>
    <row r="108" spans="1:169" hidden="1" outlineLevel="1" x14ac:dyDescent="0.2">
      <c r="A108" s="88" t="s">
        <v>23</v>
      </c>
      <c r="B108" s="88" t="s">
        <v>647</v>
      </c>
      <c r="C108" s="88" t="s">
        <v>507</v>
      </c>
      <c r="D108" s="88" t="s">
        <v>658</v>
      </c>
      <c r="E108" s="89" t="s">
        <v>202</v>
      </c>
      <c r="F108" s="89" t="s">
        <v>711</v>
      </c>
      <c r="G108" s="77" t="str">
        <f t="shared" ref="G108:G115" si="188">IF(S108&gt;0, "1", "0")</f>
        <v>0</v>
      </c>
      <c r="H108" s="77" t="str">
        <f t="shared" ref="H108:H115" si="189">IF(AW108&gt;0, "1", "0")</f>
        <v>0</v>
      </c>
      <c r="I108" s="77" t="str">
        <f t="shared" ref="I108:I115" si="190">IF(CC108&gt;0, "1", "0")</f>
        <v>1</v>
      </c>
      <c r="J108" s="77" t="str">
        <f t="shared" ref="J108:J115" si="191">IF(DJ108&gt;0, "1", "0")</f>
        <v>0</v>
      </c>
      <c r="K108" s="77" t="str">
        <f t="shared" ref="K108:K115" si="192">CONCATENATE(G108,H108,I108,J108)</f>
        <v>0010</v>
      </c>
      <c r="L108" s="77" t="str">
        <f>IFERROR(VLOOKUP(K108,Sheet2!$A$20:$B$23,2,FALSE),"X")</f>
        <v>03</v>
      </c>
      <c r="M108" s="77" t="str">
        <f t="shared" si="186"/>
        <v>08804140Diagnostic Review 19-20</v>
      </c>
      <c r="N108" s="88"/>
      <c r="O108" s="88" t="s">
        <v>160</v>
      </c>
      <c r="P108" s="90" t="s">
        <v>168</v>
      </c>
      <c r="Q108" s="91"/>
      <c r="R108" s="91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161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>
        <f t="shared" ref="BV108:BV121" si="193">SUMIF($AX$2:$BU$2,$BV$2,$AX108:$BU108)</f>
        <v>0</v>
      </c>
      <c r="BW108" s="92">
        <f t="shared" ref="BW108:BW121" si="194">SUMIF($AX$2:$BU$2,$BW$2,$AX108:$BU108)</f>
        <v>0</v>
      </c>
      <c r="BX108" s="92">
        <f t="shared" ref="BX108:BX115" si="195">AT108+AV108+AW108+(BV108+BW108)</f>
        <v>0</v>
      </c>
      <c r="BY108" s="161"/>
      <c r="BZ108" s="92"/>
      <c r="CA108" s="92"/>
      <c r="CB108" s="92"/>
      <c r="CC108" s="92">
        <v>21454</v>
      </c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>
        <f t="shared" ref="DB108:DB121" si="196">SUMIF($CD$2:$DA$2,$DB$2,$CD108:$DA108)</f>
        <v>0</v>
      </c>
      <c r="DC108" s="92">
        <f t="shared" ref="DC108:DC121" si="197">SUMIF($CD$2:$DA$2,$DC$2,$CD108:$DA108)</f>
        <v>0</v>
      </c>
      <c r="DD108" s="92">
        <f t="shared" ref="DD108:DD121" si="198">SUMIF($CD$2:$DA$2,$DD$2,$CD108:$DA108)</f>
        <v>0</v>
      </c>
      <c r="DE108" s="92">
        <f t="shared" ref="DE108:DE115" si="199">BX108+CA108+BZ108+CC108+(DB108+DC108+DD108)</f>
        <v>21454</v>
      </c>
      <c r="DP108" s="131"/>
      <c r="EJ108" s="79">
        <f t="shared" ref="EJ108:EJ121" si="200">SUMIF($DK$2:$EI$2,$EJ$2,$DK108:$EI108)</f>
        <v>0</v>
      </c>
      <c r="EK108" s="79">
        <f t="shared" ref="EK108:EK121" si="201">SUMIF($DK$2:$EI$2,$EK$2,$DK108:$EI108)</f>
        <v>0</v>
      </c>
      <c r="EL108" s="79">
        <f t="shared" ref="EL108:EL121" si="202">SUMIF($DK$2:$EI$2,$EL$2,$DK108:$EI108)</f>
        <v>0</v>
      </c>
      <c r="EM108" s="79">
        <f t="shared" si="187"/>
        <v>21454</v>
      </c>
      <c r="EX108" s="144">
        <v>-2883.97</v>
      </c>
      <c r="FI108" s="66">
        <f t="shared" ref="FI108:FI139" si="203">SUMIF($ES$2:$FH$2,$FI$2,$ES108:$FH108)</f>
        <v>0</v>
      </c>
      <c r="FJ108" s="66">
        <f t="shared" ref="FJ108:FJ139" si="204">SUMIF($ES$2:$FH$2,$FJ$2,$ES108:$FH108)</f>
        <v>0</v>
      </c>
      <c r="FK108" s="66">
        <f t="shared" ref="FK108:FK139" si="205">SUMIF($ES$2:$FH$2,$FK$2,$ES108:$FH108)</f>
        <v>-2883.97</v>
      </c>
      <c r="FL108" s="173">
        <f t="shared" ref="FL108:FL139" si="206">EM108+EO108+EP108+EQ108+(FK108+FI108+FJ108)</f>
        <v>18570.03</v>
      </c>
    </row>
    <row r="109" spans="1:169" hidden="1" outlineLevel="1" x14ac:dyDescent="0.2">
      <c r="A109" s="76" t="s">
        <v>23</v>
      </c>
      <c r="B109" s="76" t="s">
        <v>66</v>
      </c>
      <c r="C109" s="76" t="s">
        <v>507</v>
      </c>
      <c r="D109" s="76" t="s">
        <v>139</v>
      </c>
      <c r="E109" s="77" t="s">
        <v>201</v>
      </c>
      <c r="F109" s="77" t="s">
        <v>711</v>
      </c>
      <c r="G109" s="77" t="str">
        <f t="shared" si="188"/>
        <v>0</v>
      </c>
      <c r="H109" s="77" t="str">
        <f t="shared" si="189"/>
        <v>1</v>
      </c>
      <c r="I109" s="77" t="str">
        <f t="shared" si="190"/>
        <v>0</v>
      </c>
      <c r="J109" s="77" t="str">
        <f t="shared" si="191"/>
        <v>0</v>
      </c>
      <c r="K109" s="77" t="str">
        <f t="shared" si="192"/>
        <v>0100</v>
      </c>
      <c r="L109" s="77" t="str">
        <f>IFERROR(VLOOKUP(K109,Sheet2!$A$20:$B$23,2,FALSE),"X")</f>
        <v>02</v>
      </c>
      <c r="M109" s="77" t="str">
        <f t="shared" si="186"/>
        <v>08804782Diagnostic Review 18-19</v>
      </c>
      <c r="O109" s="76" t="s">
        <v>160</v>
      </c>
      <c r="P109" s="69" t="s">
        <v>168</v>
      </c>
      <c r="Q109" s="78"/>
      <c r="R109" s="78"/>
      <c r="AU109" s="158" t="s">
        <v>336</v>
      </c>
      <c r="AV109" s="79"/>
      <c r="AW109" s="79">
        <v>18296</v>
      </c>
      <c r="BV109" s="79">
        <f t="shared" si="193"/>
        <v>0</v>
      </c>
      <c r="BW109" s="79">
        <f t="shared" si="194"/>
        <v>0</v>
      </c>
      <c r="BX109" s="79">
        <f t="shared" si="195"/>
        <v>18296</v>
      </c>
      <c r="DB109" s="79">
        <f t="shared" si="196"/>
        <v>0</v>
      </c>
      <c r="DC109" s="79">
        <f t="shared" si="197"/>
        <v>0</v>
      </c>
      <c r="DD109" s="79">
        <f t="shared" si="198"/>
        <v>0</v>
      </c>
      <c r="DE109" s="79">
        <f t="shared" si="199"/>
        <v>18296</v>
      </c>
      <c r="DP109" s="131"/>
      <c r="EJ109" s="79">
        <f t="shared" si="200"/>
        <v>0</v>
      </c>
      <c r="EK109" s="79">
        <f t="shared" si="201"/>
        <v>0</v>
      </c>
      <c r="EL109" s="79">
        <f t="shared" si="202"/>
        <v>0</v>
      </c>
      <c r="EM109" s="79">
        <f t="shared" si="187"/>
        <v>18296</v>
      </c>
      <c r="FI109" s="66">
        <f t="shared" si="203"/>
        <v>0</v>
      </c>
      <c r="FJ109" s="66">
        <f t="shared" si="204"/>
        <v>0</v>
      </c>
      <c r="FK109" s="66">
        <f t="shared" si="205"/>
        <v>0</v>
      </c>
      <c r="FL109" s="173">
        <f t="shared" si="206"/>
        <v>18296</v>
      </c>
    </row>
    <row r="110" spans="1:169" hidden="1" outlineLevel="1" x14ac:dyDescent="0.2">
      <c r="A110" s="76" t="s">
        <v>23</v>
      </c>
      <c r="B110" s="76" t="s">
        <v>356</v>
      </c>
      <c r="C110" s="76" t="s">
        <v>507</v>
      </c>
      <c r="D110" s="76" t="s">
        <v>580</v>
      </c>
      <c r="E110" s="77" t="s">
        <v>201</v>
      </c>
      <c r="F110" s="77" t="s">
        <v>711</v>
      </c>
      <c r="G110" s="77" t="str">
        <f t="shared" si="188"/>
        <v>0</v>
      </c>
      <c r="H110" s="77" t="str">
        <f t="shared" si="189"/>
        <v>1</v>
      </c>
      <c r="I110" s="77" t="str">
        <f t="shared" si="190"/>
        <v>0</v>
      </c>
      <c r="J110" s="77" t="str">
        <f t="shared" si="191"/>
        <v>0</v>
      </c>
      <c r="K110" s="77" t="str">
        <f t="shared" si="192"/>
        <v>0100</v>
      </c>
      <c r="L110" s="77" t="str">
        <f>IFERROR(VLOOKUP(K110,Sheet2!$A$20:$B$23,2,FALSE),"X")</f>
        <v>02</v>
      </c>
      <c r="M110" s="77" t="str">
        <f t="shared" si="186"/>
        <v>08805578Diagnostic Review 18-19</v>
      </c>
      <c r="O110" s="76" t="s">
        <v>160</v>
      </c>
      <c r="P110" s="69" t="s">
        <v>168</v>
      </c>
      <c r="Q110" s="78"/>
      <c r="R110" s="78"/>
      <c r="AU110" s="158" t="s">
        <v>336</v>
      </c>
      <c r="AV110" s="79"/>
      <c r="AW110" s="79">
        <v>18296</v>
      </c>
      <c r="BV110" s="79">
        <f t="shared" si="193"/>
        <v>0</v>
      </c>
      <c r="BW110" s="79">
        <f t="shared" si="194"/>
        <v>0</v>
      </c>
      <c r="BX110" s="79">
        <f t="shared" si="195"/>
        <v>18296</v>
      </c>
      <c r="DB110" s="79">
        <f t="shared" si="196"/>
        <v>0</v>
      </c>
      <c r="DC110" s="79">
        <f t="shared" si="197"/>
        <v>0</v>
      </c>
      <c r="DD110" s="79">
        <f t="shared" si="198"/>
        <v>0</v>
      </c>
      <c r="DE110" s="79">
        <f t="shared" si="199"/>
        <v>18296</v>
      </c>
      <c r="DP110" s="131"/>
      <c r="EJ110" s="79">
        <f t="shared" si="200"/>
        <v>0</v>
      </c>
      <c r="EK110" s="79">
        <f t="shared" si="201"/>
        <v>0</v>
      </c>
      <c r="EL110" s="79">
        <f t="shared" si="202"/>
        <v>0</v>
      </c>
      <c r="EM110" s="79">
        <f t="shared" si="187"/>
        <v>18296</v>
      </c>
      <c r="FI110" s="66">
        <f t="shared" si="203"/>
        <v>0</v>
      </c>
      <c r="FJ110" s="66">
        <f t="shared" si="204"/>
        <v>0</v>
      </c>
      <c r="FK110" s="66">
        <f t="shared" si="205"/>
        <v>0</v>
      </c>
      <c r="FL110" s="173">
        <f t="shared" si="206"/>
        <v>18296</v>
      </c>
    </row>
    <row r="111" spans="1:169" hidden="1" outlineLevel="1" x14ac:dyDescent="0.2">
      <c r="A111" s="76" t="s">
        <v>23</v>
      </c>
      <c r="B111" s="76" t="s">
        <v>69</v>
      </c>
      <c r="C111" s="76" t="s">
        <v>507</v>
      </c>
      <c r="D111" s="76" t="s">
        <v>581</v>
      </c>
      <c r="E111" s="77" t="s">
        <v>201</v>
      </c>
      <c r="F111" s="77" t="s">
        <v>711</v>
      </c>
      <c r="G111" s="77" t="str">
        <f t="shared" si="188"/>
        <v>0</v>
      </c>
      <c r="H111" s="77" t="str">
        <f t="shared" si="189"/>
        <v>1</v>
      </c>
      <c r="I111" s="77" t="str">
        <f t="shared" si="190"/>
        <v>0</v>
      </c>
      <c r="J111" s="77" t="str">
        <f t="shared" si="191"/>
        <v>0</v>
      </c>
      <c r="K111" s="77" t="str">
        <f t="shared" si="192"/>
        <v>0100</v>
      </c>
      <c r="L111" s="77" t="str">
        <f>IFERROR(VLOOKUP(K111,Sheet2!$A$20:$B$23,2,FALSE),"X")</f>
        <v>02</v>
      </c>
      <c r="M111" s="77" t="str">
        <f t="shared" si="186"/>
        <v>08806002Diagnostic Review 18-19</v>
      </c>
      <c r="O111" s="76" t="s">
        <v>160</v>
      </c>
      <c r="P111" s="69" t="s">
        <v>168</v>
      </c>
      <c r="Q111" s="78"/>
      <c r="R111" s="78"/>
      <c r="AU111" s="158" t="s">
        <v>336</v>
      </c>
      <c r="AV111" s="79"/>
      <c r="AW111" s="79">
        <v>18296</v>
      </c>
      <c r="BV111" s="79">
        <f t="shared" si="193"/>
        <v>0</v>
      </c>
      <c r="BW111" s="79">
        <f t="shared" si="194"/>
        <v>0</v>
      </c>
      <c r="BX111" s="79">
        <f t="shared" si="195"/>
        <v>18296</v>
      </c>
      <c r="DB111" s="79">
        <f t="shared" si="196"/>
        <v>0</v>
      </c>
      <c r="DC111" s="79">
        <f t="shared" si="197"/>
        <v>0</v>
      </c>
      <c r="DD111" s="79">
        <f t="shared" si="198"/>
        <v>0</v>
      </c>
      <c r="DE111" s="79">
        <f t="shared" si="199"/>
        <v>18296</v>
      </c>
      <c r="DP111" s="131"/>
      <c r="EJ111" s="79">
        <f t="shared" si="200"/>
        <v>0</v>
      </c>
      <c r="EK111" s="79">
        <f t="shared" si="201"/>
        <v>0</v>
      </c>
      <c r="EL111" s="79">
        <f t="shared" si="202"/>
        <v>0</v>
      </c>
      <c r="EM111" s="79">
        <f t="shared" si="187"/>
        <v>18296</v>
      </c>
      <c r="FI111" s="66">
        <f t="shared" si="203"/>
        <v>0</v>
      </c>
      <c r="FJ111" s="66">
        <f t="shared" si="204"/>
        <v>0</v>
      </c>
      <c r="FK111" s="66">
        <f t="shared" si="205"/>
        <v>0</v>
      </c>
      <c r="FL111" s="173">
        <f t="shared" si="206"/>
        <v>18296</v>
      </c>
    </row>
    <row r="112" spans="1:169" hidden="1" outlineLevel="1" x14ac:dyDescent="0.2">
      <c r="A112" s="76" t="s">
        <v>23</v>
      </c>
      <c r="B112" s="76" t="s">
        <v>70</v>
      </c>
      <c r="C112" s="76" t="s">
        <v>507</v>
      </c>
      <c r="D112" s="76" t="s">
        <v>582</v>
      </c>
      <c r="E112" s="77" t="s">
        <v>201</v>
      </c>
      <c r="F112" s="77" t="s">
        <v>711</v>
      </c>
      <c r="G112" s="77" t="str">
        <f t="shared" si="188"/>
        <v>0</v>
      </c>
      <c r="H112" s="77" t="str">
        <f t="shared" si="189"/>
        <v>1</v>
      </c>
      <c r="I112" s="77" t="str">
        <f t="shared" si="190"/>
        <v>0</v>
      </c>
      <c r="J112" s="77" t="str">
        <f t="shared" si="191"/>
        <v>0</v>
      </c>
      <c r="K112" s="77" t="str">
        <f t="shared" si="192"/>
        <v>0100</v>
      </c>
      <c r="L112" s="77" t="str">
        <f>IFERROR(VLOOKUP(K112,Sheet2!$A$20:$B$23,2,FALSE),"X")</f>
        <v>02</v>
      </c>
      <c r="M112" s="77" t="str">
        <f t="shared" si="186"/>
        <v>08807698Diagnostic Review 18-19</v>
      </c>
      <c r="O112" s="76" t="s">
        <v>160</v>
      </c>
      <c r="P112" s="69" t="s">
        <v>168</v>
      </c>
      <c r="Q112" s="78"/>
      <c r="R112" s="78"/>
      <c r="AU112" s="158" t="s">
        <v>336</v>
      </c>
      <c r="AV112" s="79"/>
      <c r="AW112" s="79">
        <v>18296</v>
      </c>
      <c r="BV112" s="79">
        <f t="shared" si="193"/>
        <v>0</v>
      </c>
      <c r="BW112" s="79">
        <f t="shared" si="194"/>
        <v>0</v>
      </c>
      <c r="BX112" s="79">
        <f t="shared" si="195"/>
        <v>18296</v>
      </c>
      <c r="DB112" s="79">
        <f t="shared" si="196"/>
        <v>0</v>
      </c>
      <c r="DC112" s="79">
        <f t="shared" si="197"/>
        <v>0</v>
      </c>
      <c r="DD112" s="79">
        <f t="shared" si="198"/>
        <v>0</v>
      </c>
      <c r="DE112" s="79">
        <f t="shared" si="199"/>
        <v>18296</v>
      </c>
      <c r="DP112" s="131"/>
      <c r="EJ112" s="79">
        <f t="shared" si="200"/>
        <v>0</v>
      </c>
      <c r="EK112" s="79">
        <f t="shared" si="201"/>
        <v>0</v>
      </c>
      <c r="EL112" s="79">
        <f t="shared" si="202"/>
        <v>0</v>
      </c>
      <c r="EM112" s="79">
        <f t="shared" si="187"/>
        <v>18296</v>
      </c>
      <c r="FI112" s="66">
        <f t="shared" si="203"/>
        <v>0</v>
      </c>
      <c r="FJ112" s="66">
        <f t="shared" si="204"/>
        <v>0</v>
      </c>
      <c r="FK112" s="66">
        <f t="shared" si="205"/>
        <v>0</v>
      </c>
      <c r="FL112" s="173">
        <f t="shared" si="206"/>
        <v>18296</v>
      </c>
    </row>
    <row r="113" spans="1:169" hidden="1" outlineLevel="1" x14ac:dyDescent="0.2">
      <c r="A113" s="76" t="s">
        <v>23</v>
      </c>
      <c r="B113" s="76" t="s">
        <v>398</v>
      </c>
      <c r="C113" s="76" t="s">
        <v>507</v>
      </c>
      <c r="D113" s="76" t="s">
        <v>521</v>
      </c>
      <c r="E113" s="77" t="s">
        <v>201</v>
      </c>
      <c r="F113" s="77" t="s">
        <v>711</v>
      </c>
      <c r="G113" s="77" t="str">
        <f t="shared" si="188"/>
        <v>0</v>
      </c>
      <c r="H113" s="77" t="str">
        <f t="shared" si="189"/>
        <v>1</v>
      </c>
      <c r="I113" s="77" t="str">
        <f t="shared" si="190"/>
        <v>0</v>
      </c>
      <c r="J113" s="77" t="str">
        <f t="shared" si="191"/>
        <v>0</v>
      </c>
      <c r="K113" s="77" t="str">
        <f t="shared" si="192"/>
        <v>0100</v>
      </c>
      <c r="L113" s="77" t="str">
        <f>IFERROR(VLOOKUP(K113,Sheet2!$A$20:$B$23,2,FALSE),"X")</f>
        <v>02</v>
      </c>
      <c r="M113" s="77" t="str">
        <f t="shared" si="186"/>
        <v>08808145Diagnostic Review 18-19</v>
      </c>
      <c r="O113" s="76" t="s">
        <v>160</v>
      </c>
      <c r="P113" s="69" t="s">
        <v>168</v>
      </c>
      <c r="Q113" s="78"/>
      <c r="R113" s="78"/>
      <c r="AU113" s="158" t="s">
        <v>336</v>
      </c>
      <c r="AV113" s="79"/>
      <c r="AW113" s="79">
        <v>7837</v>
      </c>
      <c r="BV113" s="79">
        <f t="shared" si="193"/>
        <v>0</v>
      </c>
      <c r="BW113" s="79">
        <f t="shared" si="194"/>
        <v>0</v>
      </c>
      <c r="BX113" s="79">
        <f t="shared" si="195"/>
        <v>7837</v>
      </c>
      <c r="DB113" s="79">
        <f t="shared" si="196"/>
        <v>0</v>
      </c>
      <c r="DC113" s="79">
        <f t="shared" si="197"/>
        <v>0</v>
      </c>
      <c r="DD113" s="79">
        <f t="shared" si="198"/>
        <v>0</v>
      </c>
      <c r="DE113" s="79">
        <f t="shared" si="199"/>
        <v>7837</v>
      </c>
      <c r="DP113" s="131"/>
      <c r="EJ113" s="79">
        <f t="shared" si="200"/>
        <v>0</v>
      </c>
      <c r="EK113" s="79">
        <f t="shared" si="201"/>
        <v>0</v>
      </c>
      <c r="EL113" s="79">
        <f t="shared" si="202"/>
        <v>0</v>
      </c>
      <c r="EM113" s="79">
        <f t="shared" si="187"/>
        <v>7837</v>
      </c>
      <c r="FI113" s="66">
        <f t="shared" si="203"/>
        <v>0</v>
      </c>
      <c r="FJ113" s="66">
        <f t="shared" si="204"/>
        <v>0</v>
      </c>
      <c r="FK113" s="66">
        <f t="shared" si="205"/>
        <v>0</v>
      </c>
      <c r="FL113" s="173">
        <f t="shared" si="206"/>
        <v>7837</v>
      </c>
    </row>
    <row r="114" spans="1:169" hidden="1" outlineLevel="1" x14ac:dyDescent="0.2">
      <c r="A114" s="76" t="s">
        <v>23</v>
      </c>
      <c r="B114" s="76" t="s">
        <v>55</v>
      </c>
      <c r="C114" s="76" t="s">
        <v>507</v>
      </c>
      <c r="D114" s="76" t="s">
        <v>131</v>
      </c>
      <c r="E114" s="77" t="s">
        <v>201</v>
      </c>
      <c r="F114" s="77" t="s">
        <v>711</v>
      </c>
      <c r="G114" s="77" t="str">
        <f t="shared" si="188"/>
        <v>0</v>
      </c>
      <c r="H114" s="77" t="str">
        <f t="shared" si="189"/>
        <v>1</v>
      </c>
      <c r="I114" s="77" t="str">
        <f t="shared" si="190"/>
        <v>0</v>
      </c>
      <c r="J114" s="77" t="str">
        <f t="shared" si="191"/>
        <v>0</v>
      </c>
      <c r="K114" s="77" t="str">
        <f t="shared" si="192"/>
        <v>0100</v>
      </c>
      <c r="L114" s="77" t="str">
        <f>IFERROR(VLOOKUP(K114,Sheet2!$A$20:$B$23,2,FALSE),"X")</f>
        <v>02</v>
      </c>
      <c r="M114" s="77" t="str">
        <f t="shared" si="186"/>
        <v>08809496Diagnostic Review 18-19</v>
      </c>
      <c r="O114" s="76" t="s">
        <v>160</v>
      </c>
      <c r="P114" s="69" t="s">
        <v>168</v>
      </c>
      <c r="Q114" s="78"/>
      <c r="R114" s="78"/>
      <c r="AU114" s="158" t="s">
        <v>336</v>
      </c>
      <c r="AV114" s="79"/>
      <c r="AW114" s="79">
        <v>18296</v>
      </c>
      <c r="BV114" s="79">
        <f t="shared" si="193"/>
        <v>0</v>
      </c>
      <c r="BW114" s="79">
        <f t="shared" si="194"/>
        <v>0</v>
      </c>
      <c r="BX114" s="79">
        <f t="shared" si="195"/>
        <v>18296</v>
      </c>
      <c r="DB114" s="79">
        <f t="shared" si="196"/>
        <v>0</v>
      </c>
      <c r="DC114" s="79">
        <f t="shared" si="197"/>
        <v>0</v>
      </c>
      <c r="DD114" s="79">
        <f t="shared" si="198"/>
        <v>0</v>
      </c>
      <c r="DE114" s="79">
        <f t="shared" si="199"/>
        <v>18296</v>
      </c>
      <c r="DP114" s="131"/>
      <c r="EJ114" s="79">
        <f t="shared" si="200"/>
        <v>0</v>
      </c>
      <c r="EK114" s="79">
        <f t="shared" si="201"/>
        <v>0</v>
      </c>
      <c r="EL114" s="79">
        <f t="shared" si="202"/>
        <v>0</v>
      </c>
      <c r="EM114" s="79">
        <f t="shared" si="187"/>
        <v>18296</v>
      </c>
      <c r="FI114" s="66">
        <f t="shared" si="203"/>
        <v>0</v>
      </c>
      <c r="FJ114" s="66">
        <f t="shared" si="204"/>
        <v>0</v>
      </c>
      <c r="FK114" s="66">
        <f t="shared" si="205"/>
        <v>0</v>
      </c>
      <c r="FL114" s="173">
        <f t="shared" si="206"/>
        <v>18296</v>
      </c>
    </row>
    <row r="115" spans="1:169" hidden="1" outlineLevel="1" x14ac:dyDescent="0.2">
      <c r="A115" s="76" t="s">
        <v>23</v>
      </c>
      <c r="B115" s="77" t="s">
        <v>34</v>
      </c>
      <c r="C115" s="76" t="s">
        <v>507</v>
      </c>
      <c r="D115" s="76" t="s">
        <v>111</v>
      </c>
      <c r="E115" s="77" t="s">
        <v>202</v>
      </c>
      <c r="F115" s="77" t="s">
        <v>711</v>
      </c>
      <c r="G115" s="77" t="str">
        <f t="shared" si="188"/>
        <v>0</v>
      </c>
      <c r="H115" s="77" t="str">
        <f t="shared" si="189"/>
        <v>0</v>
      </c>
      <c r="I115" s="77" t="str">
        <f t="shared" si="190"/>
        <v>0</v>
      </c>
      <c r="J115" s="77" t="str">
        <f t="shared" si="191"/>
        <v>0</v>
      </c>
      <c r="K115" s="77" t="str">
        <f t="shared" si="192"/>
        <v>0000</v>
      </c>
      <c r="L115" s="77" t="str">
        <f>IFERROR(VLOOKUP(K115,Sheet2!$A$20:$B$23,2,FALSE),"X")</f>
        <v>X</v>
      </c>
      <c r="M115" s="77" t="str">
        <f t="shared" si="186"/>
        <v>0880N/ADiagnostic Review 19-20</v>
      </c>
      <c r="O115" s="76" t="s">
        <v>160</v>
      </c>
      <c r="P115" s="69" t="s">
        <v>168</v>
      </c>
      <c r="Q115" s="78">
        <v>43168</v>
      </c>
      <c r="R115" s="78">
        <v>43168</v>
      </c>
      <c r="AR115" s="79">
        <f>SUMIF($T$2:$AQ$2,$AR$2,$T115:$AQ115)</f>
        <v>0</v>
      </c>
      <c r="AS115" s="79">
        <f>SUMIF($T$2:$AQ$2,$AS$2,$T115:$AQ115)</f>
        <v>0</v>
      </c>
      <c r="AT115" s="79">
        <f>S115+(AR115+AS115)</f>
        <v>0</v>
      </c>
      <c r="AV115" s="79"/>
      <c r="BV115" s="79">
        <f t="shared" si="193"/>
        <v>0</v>
      </c>
      <c r="BW115" s="79">
        <f t="shared" si="194"/>
        <v>0</v>
      </c>
      <c r="BX115" s="79">
        <f t="shared" si="195"/>
        <v>0</v>
      </c>
      <c r="BY115" s="158" t="s">
        <v>341</v>
      </c>
      <c r="CA115" s="79">
        <v>125892</v>
      </c>
      <c r="DB115" s="79">
        <f t="shared" si="196"/>
        <v>0</v>
      </c>
      <c r="DC115" s="79">
        <f t="shared" si="197"/>
        <v>0</v>
      </c>
      <c r="DD115" s="79">
        <f t="shared" si="198"/>
        <v>0</v>
      </c>
      <c r="DE115" s="79">
        <f t="shared" si="199"/>
        <v>125892</v>
      </c>
      <c r="DG115" s="79">
        <v>48057.199200000003</v>
      </c>
      <c r="DP115" s="131"/>
      <c r="EJ115" s="79">
        <f t="shared" si="200"/>
        <v>0</v>
      </c>
      <c r="EK115" s="79">
        <f t="shared" si="201"/>
        <v>0</v>
      </c>
      <c r="EL115" s="79">
        <f t="shared" si="202"/>
        <v>0</v>
      </c>
      <c r="EM115" s="79">
        <f t="shared" si="187"/>
        <v>173949.1992</v>
      </c>
      <c r="FI115" s="66">
        <f t="shared" si="203"/>
        <v>0</v>
      </c>
      <c r="FJ115" s="66">
        <f t="shared" si="204"/>
        <v>0</v>
      </c>
      <c r="FK115" s="66">
        <f t="shared" si="205"/>
        <v>0</v>
      </c>
      <c r="FL115" s="173">
        <f t="shared" si="206"/>
        <v>173949.1992</v>
      </c>
    </row>
    <row r="116" spans="1:169" hidden="1" outlineLevel="1" x14ac:dyDescent="0.2">
      <c r="A116" s="88" t="s">
        <v>230</v>
      </c>
      <c r="B116" s="89" t="s">
        <v>646</v>
      </c>
      <c r="C116" s="88" t="s">
        <v>232</v>
      </c>
      <c r="D116" s="88" t="s">
        <v>657</v>
      </c>
      <c r="E116" s="89" t="s">
        <v>202</v>
      </c>
      <c r="F116" s="89" t="s">
        <v>711</v>
      </c>
      <c r="G116" s="77" t="str">
        <f t="shared" ref="G116:G121" si="207">IF(S116&gt;0, "1", "0")</f>
        <v>0</v>
      </c>
      <c r="H116" s="77" t="str">
        <f t="shared" ref="H116:H121" si="208">IF(AW116&gt;0, "1", "0")</f>
        <v>0</v>
      </c>
      <c r="I116" s="77" t="str">
        <f t="shared" ref="I116:I121" si="209">IF(CC116&gt;0, "1", "0")</f>
        <v>1</v>
      </c>
      <c r="J116" s="77" t="str">
        <f t="shared" ref="J116:J121" si="210">IF(DJ116&gt;0, "1", "0")</f>
        <v>0</v>
      </c>
      <c r="K116" s="77" t="str">
        <f t="shared" ref="K116:K121" si="211">CONCATENATE(G116,H116,I116,J116)</f>
        <v>0010</v>
      </c>
      <c r="L116" s="77" t="str">
        <f>IFERROR(VLOOKUP(K116,Sheet2!$A$20:$B$23,2,FALSE),"X")</f>
        <v>03</v>
      </c>
      <c r="M116" s="77" t="str">
        <f t="shared" si="186"/>
        <v>10100871Diagnostic Review 19-20</v>
      </c>
      <c r="N116" s="88"/>
      <c r="O116" s="88" t="s">
        <v>160</v>
      </c>
      <c r="P116" s="90" t="s">
        <v>168</v>
      </c>
      <c r="Q116" s="91"/>
      <c r="R116" s="91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>
        <f>SUMIF($T$2:$AQ$2,$AR$2,$T116:$AQ116)</f>
        <v>0</v>
      </c>
      <c r="AS116" s="92">
        <f>SUMIF($T$2:$AQ$2,$AS$2,$T116:$AQ116)</f>
        <v>0</v>
      </c>
      <c r="AT116" s="92">
        <f>S116+(AR116+AS116)</f>
        <v>0</v>
      </c>
      <c r="AU116" s="161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>
        <f t="shared" si="193"/>
        <v>0</v>
      </c>
      <c r="BW116" s="92">
        <f t="shared" si="194"/>
        <v>0</v>
      </c>
      <c r="BX116" s="92">
        <f t="shared" ref="BX116:BX121" si="212">AT116+AV116+AW116+(BV116+BW116)</f>
        <v>0</v>
      </c>
      <c r="BY116" s="161"/>
      <c r="BZ116" s="92"/>
      <c r="CA116" s="92"/>
      <c r="CB116" s="92"/>
      <c r="CC116" s="92">
        <v>15313.30616</v>
      </c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>
        <f t="shared" si="196"/>
        <v>0</v>
      </c>
      <c r="DC116" s="92">
        <f t="shared" si="197"/>
        <v>0</v>
      </c>
      <c r="DD116" s="92">
        <f t="shared" si="198"/>
        <v>0</v>
      </c>
      <c r="DE116" s="92">
        <f t="shared" ref="DE116:DE121" si="213">BX116+CA116+BZ116+CC116+(DB116+DC116+DD116)</f>
        <v>15313.30616</v>
      </c>
      <c r="DP116" s="131"/>
      <c r="EI116" s="79">
        <v>-927.52</v>
      </c>
      <c r="EJ116" s="79">
        <f t="shared" si="200"/>
        <v>0</v>
      </c>
      <c r="EK116" s="79">
        <f t="shared" si="201"/>
        <v>0</v>
      </c>
      <c r="EL116" s="79">
        <f t="shared" si="202"/>
        <v>-927.52</v>
      </c>
      <c r="EM116" s="79">
        <f t="shared" si="187"/>
        <v>14385.78616</v>
      </c>
      <c r="ES116" s="144">
        <v>-279.72000000000003</v>
      </c>
      <c r="EU116" s="66">
        <v>-72.430000000000007</v>
      </c>
      <c r="EW116" s="144">
        <v>-4488.7700000000004</v>
      </c>
      <c r="FC116" s="66">
        <v>-6703.03</v>
      </c>
      <c r="FD116" s="66">
        <v>-165.65</v>
      </c>
      <c r="FI116" s="66">
        <f t="shared" si="203"/>
        <v>0</v>
      </c>
      <c r="FJ116" s="66">
        <f t="shared" si="204"/>
        <v>0</v>
      </c>
      <c r="FK116" s="66">
        <f t="shared" si="205"/>
        <v>-11709.6</v>
      </c>
      <c r="FL116" s="173">
        <f t="shared" si="206"/>
        <v>2676.1861599999993</v>
      </c>
    </row>
    <row r="117" spans="1:169" hidden="1" outlineLevel="1" x14ac:dyDescent="0.2">
      <c r="A117" s="76" t="s">
        <v>230</v>
      </c>
      <c r="B117" s="76" t="s">
        <v>357</v>
      </c>
      <c r="C117" s="76" t="s">
        <v>232</v>
      </c>
      <c r="D117" s="76" t="s">
        <v>583</v>
      </c>
      <c r="E117" s="77" t="s">
        <v>201</v>
      </c>
      <c r="F117" s="77" t="s">
        <v>711</v>
      </c>
      <c r="G117" s="77" t="str">
        <f t="shared" si="207"/>
        <v>0</v>
      </c>
      <c r="H117" s="77" t="str">
        <f t="shared" si="208"/>
        <v>1</v>
      </c>
      <c r="I117" s="77" t="str">
        <f t="shared" si="209"/>
        <v>0</v>
      </c>
      <c r="J117" s="77" t="str">
        <f t="shared" si="210"/>
        <v>0</v>
      </c>
      <c r="K117" s="77" t="str">
        <f t="shared" si="211"/>
        <v>0100</v>
      </c>
      <c r="L117" s="77" t="str">
        <f>IFERROR(VLOOKUP(K117,Sheet2!$A$20:$B$23,2,FALSE),"X")</f>
        <v>02</v>
      </c>
      <c r="M117" s="77" t="str">
        <f t="shared" si="186"/>
        <v>10101625Diagnostic Review 18-19</v>
      </c>
      <c r="O117" s="76" t="s">
        <v>160</v>
      </c>
      <c r="P117" s="69" t="s">
        <v>168</v>
      </c>
      <c r="Q117" s="78"/>
      <c r="R117" s="78"/>
      <c r="AU117" s="158" t="s">
        <v>336</v>
      </c>
      <c r="AV117" s="79"/>
      <c r="AW117" s="79">
        <f>61882+2172</f>
        <v>64054</v>
      </c>
      <c r="BR117" s="79">
        <v>-228</v>
      </c>
      <c r="BV117" s="79">
        <f t="shared" si="193"/>
        <v>-228</v>
      </c>
      <c r="BW117" s="79">
        <f t="shared" si="194"/>
        <v>0</v>
      </c>
      <c r="BX117" s="79">
        <f t="shared" si="212"/>
        <v>63826</v>
      </c>
      <c r="CG117" s="79">
        <v>-28390</v>
      </c>
      <c r="CP117" s="79">
        <f>-583.29-696.73-1448.76-24619.75</f>
        <v>-27348.53</v>
      </c>
      <c r="CR117" s="79">
        <v>-959.94</v>
      </c>
      <c r="DB117" s="79">
        <f t="shared" si="196"/>
        <v>0</v>
      </c>
      <c r="DC117" s="79">
        <f t="shared" si="197"/>
        <v>-56698.47</v>
      </c>
      <c r="DD117" s="79">
        <f t="shared" si="198"/>
        <v>0</v>
      </c>
      <c r="DE117" s="79">
        <f t="shared" si="213"/>
        <v>7127.5299999999988</v>
      </c>
      <c r="DP117" s="131"/>
      <c r="EJ117" s="79">
        <f t="shared" si="200"/>
        <v>0</v>
      </c>
      <c r="EK117" s="79">
        <f t="shared" si="201"/>
        <v>0</v>
      </c>
      <c r="EL117" s="79">
        <f t="shared" si="202"/>
        <v>0</v>
      </c>
      <c r="EM117" s="79">
        <f t="shared" si="187"/>
        <v>7127.5299999999988</v>
      </c>
      <c r="FI117" s="66">
        <f t="shared" si="203"/>
        <v>0</v>
      </c>
      <c r="FJ117" s="66">
        <f t="shared" si="204"/>
        <v>0</v>
      </c>
      <c r="FK117" s="66">
        <f t="shared" si="205"/>
        <v>0</v>
      </c>
      <c r="FL117" s="173">
        <f t="shared" si="206"/>
        <v>7127.5299999999988</v>
      </c>
    </row>
    <row r="118" spans="1:169" hidden="1" outlineLevel="1" x14ac:dyDescent="0.2">
      <c r="A118" s="76" t="s">
        <v>230</v>
      </c>
      <c r="B118" s="76" t="s">
        <v>358</v>
      </c>
      <c r="C118" s="76" t="s">
        <v>232</v>
      </c>
      <c r="D118" s="76" t="s">
        <v>584</v>
      </c>
      <c r="E118" s="77" t="s">
        <v>201</v>
      </c>
      <c r="F118" s="77" t="s">
        <v>711</v>
      </c>
      <c r="G118" s="77" t="str">
        <f t="shared" si="207"/>
        <v>0</v>
      </c>
      <c r="H118" s="77" t="str">
        <f t="shared" si="208"/>
        <v>1</v>
      </c>
      <c r="I118" s="77" t="str">
        <f t="shared" si="209"/>
        <v>0</v>
      </c>
      <c r="J118" s="77" t="str">
        <f t="shared" si="210"/>
        <v>0</v>
      </c>
      <c r="K118" s="77" t="str">
        <f t="shared" si="211"/>
        <v>0100</v>
      </c>
      <c r="L118" s="77" t="str">
        <f>IFERROR(VLOOKUP(K118,Sheet2!$A$20:$B$23,2,FALSE),"X")</f>
        <v>02</v>
      </c>
      <c r="M118" s="77" t="str">
        <f t="shared" si="186"/>
        <v>10103218Diagnostic Review 18-19</v>
      </c>
      <c r="O118" s="76" t="s">
        <v>160</v>
      </c>
      <c r="P118" s="69" t="s">
        <v>168</v>
      </c>
      <c r="Q118" s="78"/>
      <c r="R118" s="78"/>
      <c r="AU118" s="158" t="s">
        <v>336</v>
      </c>
      <c r="AV118" s="79"/>
      <c r="AW118" s="79">
        <f>61882+2172</f>
        <v>64054</v>
      </c>
      <c r="BR118" s="79">
        <v>-978</v>
      </c>
      <c r="BV118" s="79">
        <f t="shared" si="193"/>
        <v>-978</v>
      </c>
      <c r="BW118" s="79">
        <f t="shared" si="194"/>
        <v>0</v>
      </c>
      <c r="BX118" s="79">
        <f t="shared" si="212"/>
        <v>63076</v>
      </c>
      <c r="CG118" s="79">
        <v>-27451</v>
      </c>
      <c r="CP118" s="79">
        <f>-629.6-1164.95-1192.32-25296.92</f>
        <v>-28283.789999999997</v>
      </c>
      <c r="CR118" s="79">
        <v>-1100.99</v>
      </c>
      <c r="DB118" s="79">
        <f t="shared" si="196"/>
        <v>0</v>
      </c>
      <c r="DC118" s="79">
        <f t="shared" si="197"/>
        <v>-56835.779999999992</v>
      </c>
      <c r="DD118" s="79">
        <f t="shared" si="198"/>
        <v>0</v>
      </c>
      <c r="DE118" s="79">
        <f t="shared" si="213"/>
        <v>6240.2200000000084</v>
      </c>
      <c r="DP118" s="131"/>
      <c r="EJ118" s="79">
        <f t="shared" si="200"/>
        <v>0</v>
      </c>
      <c r="EK118" s="79">
        <f t="shared" si="201"/>
        <v>0</v>
      </c>
      <c r="EL118" s="79">
        <f t="shared" si="202"/>
        <v>0</v>
      </c>
      <c r="EM118" s="79">
        <f t="shared" si="187"/>
        <v>6240.2200000000084</v>
      </c>
      <c r="FI118" s="66">
        <f t="shared" si="203"/>
        <v>0</v>
      </c>
      <c r="FJ118" s="66">
        <f t="shared" si="204"/>
        <v>0</v>
      </c>
      <c r="FK118" s="66">
        <f t="shared" si="205"/>
        <v>0</v>
      </c>
      <c r="FL118" s="173">
        <f t="shared" si="206"/>
        <v>6240.2200000000084</v>
      </c>
    </row>
    <row r="119" spans="1:169" hidden="1" outlineLevel="1" x14ac:dyDescent="0.2">
      <c r="A119" s="76" t="s">
        <v>230</v>
      </c>
      <c r="B119" s="76" t="s">
        <v>359</v>
      </c>
      <c r="C119" s="76" t="s">
        <v>232</v>
      </c>
      <c r="D119" s="76" t="s">
        <v>585</v>
      </c>
      <c r="E119" s="77" t="s">
        <v>201</v>
      </c>
      <c r="F119" s="77" t="s">
        <v>711</v>
      </c>
      <c r="G119" s="77" t="str">
        <f t="shared" si="207"/>
        <v>0</v>
      </c>
      <c r="H119" s="77" t="str">
        <f t="shared" si="208"/>
        <v>1</v>
      </c>
      <c r="I119" s="77" t="str">
        <f t="shared" si="209"/>
        <v>0</v>
      </c>
      <c r="J119" s="77" t="str">
        <f t="shared" si="210"/>
        <v>0</v>
      </c>
      <c r="K119" s="77" t="str">
        <f t="shared" si="211"/>
        <v>0100</v>
      </c>
      <c r="L119" s="77" t="str">
        <f>IFERROR(VLOOKUP(K119,Sheet2!$A$20:$B$23,2,FALSE),"X")</f>
        <v>02</v>
      </c>
      <c r="M119" s="77" t="str">
        <f t="shared" si="186"/>
        <v>10105604Diagnostic Review 18-19</v>
      </c>
      <c r="O119" s="76" t="s">
        <v>160</v>
      </c>
      <c r="P119" s="69" t="s">
        <v>168</v>
      </c>
      <c r="Q119" s="78"/>
      <c r="R119" s="78"/>
      <c r="AU119" s="158" t="s">
        <v>336</v>
      </c>
      <c r="AV119" s="79"/>
      <c r="AW119" s="79">
        <f>61882+2172</f>
        <v>64054</v>
      </c>
      <c r="BR119" s="79">
        <v>-398</v>
      </c>
      <c r="BV119" s="79">
        <f t="shared" si="193"/>
        <v>-398</v>
      </c>
      <c r="BW119" s="79">
        <f t="shared" si="194"/>
        <v>0</v>
      </c>
      <c r="BX119" s="79">
        <f t="shared" si="212"/>
        <v>63656</v>
      </c>
      <c r="CG119" s="79">
        <v>-28243</v>
      </c>
      <c r="CP119" s="79">
        <f>-257.91-14000</f>
        <v>-14257.91</v>
      </c>
      <c r="CR119" s="79">
        <v>-500.45</v>
      </c>
      <c r="DB119" s="79">
        <f t="shared" si="196"/>
        <v>0</v>
      </c>
      <c r="DC119" s="79">
        <f t="shared" si="197"/>
        <v>-43001.36</v>
      </c>
      <c r="DD119" s="79">
        <f t="shared" si="198"/>
        <v>0</v>
      </c>
      <c r="DE119" s="79">
        <f t="shared" si="213"/>
        <v>20654.64</v>
      </c>
      <c r="DP119" s="131"/>
      <c r="EJ119" s="79">
        <f t="shared" si="200"/>
        <v>0</v>
      </c>
      <c r="EK119" s="79">
        <f t="shared" si="201"/>
        <v>0</v>
      </c>
      <c r="EL119" s="79">
        <f t="shared" si="202"/>
        <v>0</v>
      </c>
      <c r="EM119" s="79">
        <f t="shared" si="187"/>
        <v>20654.64</v>
      </c>
      <c r="FI119" s="66">
        <f t="shared" si="203"/>
        <v>0</v>
      </c>
      <c r="FJ119" s="66">
        <f t="shared" si="204"/>
        <v>0</v>
      </c>
      <c r="FK119" s="66">
        <f t="shared" si="205"/>
        <v>0</v>
      </c>
      <c r="FL119" s="173">
        <f t="shared" si="206"/>
        <v>20654.64</v>
      </c>
    </row>
    <row r="120" spans="1:169" hidden="1" outlineLevel="1" x14ac:dyDescent="0.2">
      <c r="A120" s="88" t="s">
        <v>230</v>
      </c>
      <c r="B120" s="88" t="s">
        <v>238</v>
      </c>
      <c r="C120" s="88" t="s">
        <v>232</v>
      </c>
      <c r="D120" s="88" t="s">
        <v>256</v>
      </c>
      <c r="E120" s="89" t="s">
        <v>202</v>
      </c>
      <c r="F120" s="89" t="s">
        <v>711</v>
      </c>
      <c r="G120" s="77" t="str">
        <f t="shared" si="207"/>
        <v>0</v>
      </c>
      <c r="H120" s="77" t="str">
        <f t="shared" si="208"/>
        <v>0</v>
      </c>
      <c r="I120" s="77" t="str">
        <f t="shared" si="209"/>
        <v>1</v>
      </c>
      <c r="J120" s="77" t="str">
        <f t="shared" si="210"/>
        <v>0</v>
      </c>
      <c r="K120" s="77" t="str">
        <f t="shared" si="211"/>
        <v>0010</v>
      </c>
      <c r="L120" s="77" t="str">
        <f>IFERROR(VLOOKUP(K120,Sheet2!$A$20:$B$23,2,FALSE),"X")</f>
        <v>03</v>
      </c>
      <c r="M120" s="77" t="str">
        <f t="shared" si="186"/>
        <v>10109445Diagnostic Review 19-20</v>
      </c>
      <c r="N120" s="88"/>
      <c r="O120" s="88" t="s">
        <v>160</v>
      </c>
      <c r="P120" s="90" t="s">
        <v>168</v>
      </c>
      <c r="Q120" s="91"/>
      <c r="R120" s="91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161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>
        <f t="shared" si="193"/>
        <v>0</v>
      </c>
      <c r="BW120" s="92">
        <f t="shared" si="194"/>
        <v>0</v>
      </c>
      <c r="BX120" s="92">
        <f t="shared" si="212"/>
        <v>0</v>
      </c>
      <c r="BY120" s="161"/>
      <c r="BZ120" s="92"/>
      <c r="CA120" s="92"/>
      <c r="CB120" s="92"/>
      <c r="CC120" s="92">
        <v>3812.881488</v>
      </c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>
        <f t="shared" si="196"/>
        <v>0</v>
      </c>
      <c r="DC120" s="92">
        <f t="shared" si="197"/>
        <v>0</v>
      </c>
      <c r="DD120" s="92">
        <f t="shared" si="198"/>
        <v>0</v>
      </c>
      <c r="DE120" s="92">
        <f t="shared" si="213"/>
        <v>3812.881488</v>
      </c>
      <c r="DP120" s="131"/>
      <c r="DQ120" s="79">
        <v>-964.55</v>
      </c>
      <c r="DU120" s="79">
        <v>-280</v>
      </c>
      <c r="DW120" s="79">
        <v>-16.8</v>
      </c>
      <c r="EC120" s="79">
        <f>-(1258.81+1292.72)</f>
        <v>-2551.5299999999997</v>
      </c>
      <c r="EE120" s="79" t="s">
        <v>701</v>
      </c>
      <c r="EI120" s="79" t="s">
        <v>701</v>
      </c>
      <c r="EJ120" s="79">
        <f t="shared" si="200"/>
        <v>0</v>
      </c>
      <c r="EK120" s="79">
        <f t="shared" si="201"/>
        <v>-3812.8799999999997</v>
      </c>
      <c r="EL120" s="79">
        <f t="shared" si="202"/>
        <v>0</v>
      </c>
      <c r="EM120" s="79">
        <f t="shared" si="187"/>
        <v>1.4880000003358873E-3</v>
      </c>
      <c r="EV120" s="220">
        <v>70</v>
      </c>
      <c r="EZ120" s="220">
        <v>-70</v>
      </c>
      <c r="FB120" s="220">
        <f>70</f>
        <v>70</v>
      </c>
      <c r="FC120" s="66">
        <f>-70.19</f>
        <v>-70.19</v>
      </c>
      <c r="FI120" s="66">
        <f t="shared" si="203"/>
        <v>0</v>
      </c>
      <c r="FJ120" s="66">
        <f t="shared" si="204"/>
        <v>0</v>
      </c>
      <c r="FK120" s="66">
        <f t="shared" si="205"/>
        <v>-0.18999999999999773</v>
      </c>
      <c r="FL120" s="173">
        <f t="shared" si="206"/>
        <v>-0.18851199999966184</v>
      </c>
    </row>
    <row r="121" spans="1:169" hidden="1" outlineLevel="1" x14ac:dyDescent="0.2">
      <c r="A121" s="76" t="s">
        <v>230</v>
      </c>
      <c r="B121" s="76" t="s">
        <v>34</v>
      </c>
      <c r="C121" s="76" t="s">
        <v>232</v>
      </c>
      <c r="D121" s="76" t="s">
        <v>111</v>
      </c>
      <c r="E121" s="77" t="s">
        <v>201</v>
      </c>
      <c r="F121" s="77" t="s">
        <v>711</v>
      </c>
      <c r="G121" s="77" t="str">
        <f t="shared" si="207"/>
        <v>0</v>
      </c>
      <c r="H121" s="77" t="str">
        <f t="shared" si="208"/>
        <v>1</v>
      </c>
      <c r="I121" s="77" t="str">
        <f t="shared" si="209"/>
        <v>0</v>
      </c>
      <c r="J121" s="77" t="str">
        <f t="shared" si="210"/>
        <v>0</v>
      </c>
      <c r="K121" s="77" t="str">
        <f t="shared" si="211"/>
        <v>0100</v>
      </c>
      <c r="L121" s="77" t="str">
        <f>IFERROR(VLOOKUP(K121,Sheet2!$A$20:$B$23,2,FALSE),"X")</f>
        <v>02</v>
      </c>
      <c r="M121" s="77" t="str">
        <f t="shared" si="186"/>
        <v>1010N/ADiagnostic Review 18-19</v>
      </c>
      <c r="O121" s="76" t="s">
        <v>160</v>
      </c>
      <c r="P121" s="69" t="s">
        <v>168</v>
      </c>
      <c r="Q121" s="78"/>
      <c r="R121" s="78"/>
      <c r="AU121" s="158" t="s">
        <v>336</v>
      </c>
      <c r="AV121" s="42"/>
      <c r="AW121" s="42">
        <v>2838</v>
      </c>
      <c r="BV121" s="79">
        <f t="shared" si="193"/>
        <v>0</v>
      </c>
      <c r="BW121" s="79">
        <f t="shared" si="194"/>
        <v>0</v>
      </c>
      <c r="BX121" s="79">
        <f t="shared" si="212"/>
        <v>2838</v>
      </c>
      <c r="CP121" s="79">
        <f>-418.41-697.75</f>
        <v>-1116.1600000000001</v>
      </c>
      <c r="CR121" s="79">
        <v>-39.18</v>
      </c>
      <c r="DB121" s="79">
        <f t="shared" si="196"/>
        <v>0</v>
      </c>
      <c r="DC121" s="79">
        <f t="shared" si="197"/>
        <v>-1155.3400000000001</v>
      </c>
      <c r="DD121" s="79">
        <f t="shared" si="198"/>
        <v>0</v>
      </c>
      <c r="DE121" s="79">
        <f t="shared" si="213"/>
        <v>1682.6599999999999</v>
      </c>
      <c r="DP121" s="131"/>
      <c r="EJ121" s="79">
        <f t="shared" si="200"/>
        <v>0</v>
      </c>
      <c r="EK121" s="79">
        <f t="shared" si="201"/>
        <v>0</v>
      </c>
      <c r="EL121" s="79">
        <f t="shared" si="202"/>
        <v>0</v>
      </c>
      <c r="EM121" s="79">
        <f t="shared" si="187"/>
        <v>1682.6599999999999</v>
      </c>
      <c r="FI121" s="66">
        <f t="shared" si="203"/>
        <v>0</v>
      </c>
      <c r="FJ121" s="66">
        <f t="shared" si="204"/>
        <v>0</v>
      </c>
      <c r="FK121" s="66">
        <f t="shared" si="205"/>
        <v>0</v>
      </c>
      <c r="FL121" s="173">
        <f t="shared" si="206"/>
        <v>1682.6599999999999</v>
      </c>
    </row>
    <row r="122" spans="1:169" s="118" customFormat="1" hidden="1" outlineLevel="1" x14ac:dyDescent="0.2">
      <c r="A122" s="118" t="s">
        <v>24</v>
      </c>
      <c r="B122" s="118" t="s">
        <v>759</v>
      </c>
      <c r="C122" s="118" t="s">
        <v>102</v>
      </c>
      <c r="D122" s="118" t="s">
        <v>761</v>
      </c>
      <c r="E122" s="119" t="s">
        <v>203</v>
      </c>
      <c r="F122" s="119"/>
      <c r="G122" s="119"/>
      <c r="H122" s="119"/>
      <c r="I122" s="119"/>
      <c r="J122" s="119"/>
      <c r="K122" s="119"/>
      <c r="L122" s="119"/>
      <c r="M122" s="119" t="str">
        <f t="shared" si="186"/>
        <v>11106810Diagnostic Review 20-21</v>
      </c>
      <c r="O122" s="118" t="s">
        <v>160</v>
      </c>
      <c r="P122" s="120"/>
      <c r="Q122" s="121"/>
      <c r="R122" s="121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60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60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60"/>
      <c r="DG122" s="122"/>
      <c r="DH122" s="122"/>
      <c r="DI122" s="122"/>
      <c r="DJ122" s="122">
        <v>2527</v>
      </c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131"/>
      <c r="EH122" s="122"/>
      <c r="EI122" s="122"/>
      <c r="EJ122" s="122"/>
      <c r="EK122" s="122"/>
      <c r="EL122" s="122"/>
      <c r="EM122" s="122">
        <f t="shared" si="187"/>
        <v>2527</v>
      </c>
      <c r="EN122" s="122"/>
      <c r="EO122" s="122"/>
      <c r="EP122" s="122"/>
      <c r="EQ122" s="122">
        <v>10000</v>
      </c>
      <c r="ER122" s="122"/>
      <c r="ES122" s="126"/>
      <c r="ET122" s="126"/>
      <c r="EU122" s="126"/>
      <c r="EV122" s="66"/>
      <c r="EW122" s="126"/>
      <c r="EX122" s="126"/>
      <c r="EY122" s="144">
        <v>-12527</v>
      </c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66">
        <f t="shared" si="203"/>
        <v>0</v>
      </c>
      <c r="FJ122" s="66">
        <f t="shared" si="204"/>
        <v>0</v>
      </c>
      <c r="FK122" s="66">
        <f t="shared" si="205"/>
        <v>-12527</v>
      </c>
      <c r="FL122" s="173">
        <f t="shared" si="206"/>
        <v>0</v>
      </c>
      <c r="FM122" s="123"/>
    </row>
    <row r="123" spans="1:169" hidden="1" outlineLevel="1" x14ac:dyDescent="0.2">
      <c r="A123" s="88" t="s">
        <v>639</v>
      </c>
      <c r="B123" s="88" t="s">
        <v>642</v>
      </c>
      <c r="C123" s="88" t="s">
        <v>663</v>
      </c>
      <c r="D123" s="88" t="s">
        <v>655</v>
      </c>
      <c r="E123" s="89" t="s">
        <v>202</v>
      </c>
      <c r="F123" s="89" t="s">
        <v>711</v>
      </c>
      <c r="G123" s="77" t="str">
        <f>IF(S123&gt;0, "1", "0")</f>
        <v>0</v>
      </c>
      <c r="H123" s="77" t="str">
        <f>IF(AW123&gt;0, "1", "0")</f>
        <v>0</v>
      </c>
      <c r="I123" s="77" t="str">
        <f>IF(CC123&gt;0, "1", "0")</f>
        <v>1</v>
      </c>
      <c r="J123" s="77" t="str">
        <f>IF(DJ123&gt;0, "1", "0")</f>
        <v>0</v>
      </c>
      <c r="K123" s="77" t="str">
        <f>CONCATENATE(G123,H123,I123,J123)</f>
        <v>0010</v>
      </c>
      <c r="L123" s="77" t="str">
        <f>IFERROR(VLOOKUP(K123,Sheet2!$A$20:$B$23,2,FALSE),"X")</f>
        <v>03</v>
      </c>
      <c r="M123" s="77" t="str">
        <f t="shared" si="186"/>
        <v>11405704Diagnostic Review 19-20</v>
      </c>
      <c r="N123" s="88"/>
      <c r="O123" s="88" t="s">
        <v>160</v>
      </c>
      <c r="P123" s="90" t="s">
        <v>168</v>
      </c>
      <c r="Q123" s="91"/>
      <c r="R123" s="91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161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>
        <f>SUMIF($AX$2:$BU$2,$BV$2,$AX123:$BU123)</f>
        <v>0</v>
      </c>
      <c r="BW123" s="92">
        <f>SUMIF($AX$2:$BU$2,$BW$2,$AX123:$BU123)</f>
        <v>0</v>
      </c>
      <c r="BX123" s="92">
        <f>AT123+AV123+AW123+(BV123+BW123)</f>
        <v>0</v>
      </c>
      <c r="BY123" s="161"/>
      <c r="BZ123" s="92"/>
      <c r="CA123" s="92"/>
      <c r="CB123" s="92"/>
      <c r="CC123" s="92">
        <v>63462</v>
      </c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>
        <f>SUMIF($CD$2:$DA$2,$DB$2,$CD123:$DA123)</f>
        <v>0</v>
      </c>
      <c r="DC123" s="92">
        <f>SUMIF($CD$2:$DA$2,$DC$2,$CD123:$DA123)</f>
        <v>0</v>
      </c>
      <c r="DD123" s="92">
        <f>SUMIF($CD$2:$DA$2,$DD$2,$CD123:$DA123)</f>
        <v>0</v>
      </c>
      <c r="DE123" s="92">
        <f>BX123+CA123+BZ123+CC123+(DB123+DC123+DD123)</f>
        <v>63462</v>
      </c>
      <c r="DM123" s="79">
        <v>-39200</v>
      </c>
      <c r="DP123" s="131"/>
      <c r="EI123" s="79">
        <v>-11736</v>
      </c>
      <c r="EJ123" s="79">
        <f>SUMIF($DK$2:$EI$2,$EJ$2,$DK123:$EI123)</f>
        <v>0</v>
      </c>
      <c r="EK123" s="79">
        <f>SUMIF($DK$2:$EI$2,$EK$2,$DK123:$EI123)</f>
        <v>-39200</v>
      </c>
      <c r="EL123" s="79">
        <f>SUMIF($DK$2:$EI$2,$EL$2,$DK123:$EI123)</f>
        <v>-11736</v>
      </c>
      <c r="EM123" s="79">
        <f t="shared" si="187"/>
        <v>12526</v>
      </c>
      <c r="ES123" s="144">
        <v>-12526</v>
      </c>
      <c r="FI123" s="66">
        <f t="shared" si="203"/>
        <v>0</v>
      </c>
      <c r="FJ123" s="66">
        <f t="shared" si="204"/>
        <v>0</v>
      </c>
      <c r="FK123" s="66">
        <f t="shared" si="205"/>
        <v>-12526</v>
      </c>
      <c r="FL123" s="173">
        <f t="shared" si="206"/>
        <v>0</v>
      </c>
    </row>
    <row r="124" spans="1:169" hidden="1" outlineLevel="1" x14ac:dyDescent="0.2">
      <c r="A124" s="76" t="s">
        <v>379</v>
      </c>
      <c r="B124" s="76" t="s">
        <v>360</v>
      </c>
      <c r="C124" s="76" t="s">
        <v>602</v>
      </c>
      <c r="D124" s="76" t="s">
        <v>586</v>
      </c>
      <c r="E124" s="77" t="s">
        <v>201</v>
      </c>
      <c r="F124" s="77" t="s">
        <v>711</v>
      </c>
      <c r="G124" s="77" t="str">
        <f>IF(S124&gt;0, "1", "0")</f>
        <v>0</v>
      </c>
      <c r="H124" s="77" t="str">
        <f>IF(AW124&gt;0, "1", "0")</f>
        <v>1</v>
      </c>
      <c r="I124" s="77" t="str">
        <f>IF(CC124&gt;0, "1", "0")</f>
        <v>0</v>
      </c>
      <c r="J124" s="77" t="str">
        <f>IF(DJ124&gt;0, "1", "0")</f>
        <v>0</v>
      </c>
      <c r="K124" s="77" t="str">
        <f>CONCATENATE(G124,H124,I124,J124)</f>
        <v>0100</v>
      </c>
      <c r="L124" s="77" t="str">
        <f>IFERROR(VLOOKUP(K124,Sheet2!$A$20:$B$23,2,FALSE),"X")</f>
        <v>02</v>
      </c>
      <c r="M124" s="77" t="str">
        <f t="shared" si="186"/>
        <v>11503002Diagnostic Review 18-19</v>
      </c>
      <c r="O124" s="76" t="s">
        <v>160</v>
      </c>
      <c r="P124" s="69" t="s">
        <v>168</v>
      </c>
      <c r="Q124" s="78"/>
      <c r="R124" s="78"/>
      <c r="AU124" s="158" t="s">
        <v>336</v>
      </c>
      <c r="AV124" s="79"/>
      <c r="AW124" s="79">
        <v>28844</v>
      </c>
      <c r="BT124" s="79">
        <v>-15500</v>
      </c>
      <c r="BV124" s="79">
        <f>SUMIF($AX$2:$BU$2,$BV$2,$AX124:$BU124)</f>
        <v>-15500</v>
      </c>
      <c r="BW124" s="79">
        <f>SUMIF($AX$2:$BU$2,$BW$2,$AX124:$BU124)</f>
        <v>0</v>
      </c>
      <c r="BX124" s="79">
        <f>AT124+AV124+AW124+(BV124+BW124)</f>
        <v>13344</v>
      </c>
      <c r="CT124" s="79">
        <v>-2915.64</v>
      </c>
      <c r="DB124" s="79">
        <f>SUMIF($CD$2:$DA$2,$DB$2,$CD124:$DA124)</f>
        <v>0</v>
      </c>
      <c r="DC124" s="79">
        <f>SUMIF($CD$2:$DA$2,$DC$2,$CD124:$DA124)</f>
        <v>-2915.64</v>
      </c>
      <c r="DD124" s="79">
        <f>SUMIF($CD$2:$DA$2,$DD$2,$CD124:$DA124)</f>
        <v>0</v>
      </c>
      <c r="DE124" s="79">
        <f>BX124+CA124+BZ124+CC124+(DB124+DC124+DD124)</f>
        <v>10428.36</v>
      </c>
      <c r="DP124" s="131"/>
      <c r="DS124" s="79">
        <v>-10428.36</v>
      </c>
      <c r="EJ124" s="79">
        <f>SUMIF($DK$2:$EI$2,$EJ$2,$DK124:$EI124)</f>
        <v>0</v>
      </c>
      <c r="EK124" s="79">
        <f>SUMIF($DK$2:$EI$2,$EK$2,$DK124:$EI124)</f>
        <v>-10428.36</v>
      </c>
      <c r="EL124" s="79">
        <f>SUMIF($DK$2:$EI$2,$EL$2,$DK124:$EI124)</f>
        <v>0</v>
      </c>
      <c r="EM124" s="79">
        <f t="shared" si="187"/>
        <v>0</v>
      </c>
      <c r="FI124" s="66">
        <f t="shared" si="203"/>
        <v>0</v>
      </c>
      <c r="FJ124" s="66">
        <f t="shared" si="204"/>
        <v>0</v>
      </c>
      <c r="FK124" s="66">
        <f t="shared" si="205"/>
        <v>0</v>
      </c>
      <c r="FL124" s="173">
        <f t="shared" si="206"/>
        <v>0</v>
      </c>
    </row>
    <row r="125" spans="1:169" hidden="1" outlineLevel="1" x14ac:dyDescent="0.2">
      <c r="A125" s="76" t="s">
        <v>379</v>
      </c>
      <c r="B125" s="77" t="s">
        <v>452</v>
      </c>
      <c r="C125" s="76" t="s">
        <v>602</v>
      </c>
      <c r="D125" s="76" t="s">
        <v>587</v>
      </c>
      <c r="E125" s="77" t="s">
        <v>202</v>
      </c>
      <c r="F125" s="77" t="s">
        <v>711</v>
      </c>
      <c r="G125" s="77" t="str">
        <f>IF(S125&gt;0, "1", "0")</f>
        <v>0</v>
      </c>
      <c r="H125" s="77" t="str">
        <f>IF(AW125&gt;0, "1", "0")</f>
        <v>0</v>
      </c>
      <c r="I125" s="77" t="str">
        <f>IF(CC125&gt;0, "1", "0")</f>
        <v>0</v>
      </c>
      <c r="J125" s="77" t="str">
        <f>IF(DJ125&gt;0, "1", "0")</f>
        <v>0</v>
      </c>
      <c r="K125" s="77" t="str">
        <f>CONCATENATE(G125,H125,I125,J125)</f>
        <v>0000</v>
      </c>
      <c r="L125" s="77" t="str">
        <f>IFERROR(VLOOKUP(K125,Sheet2!$A$20:$B$23,2,FALSE),"X")</f>
        <v>X</v>
      </c>
      <c r="M125" s="77" t="str">
        <f t="shared" si="186"/>
        <v>11506858Diagnostic Review 19-20</v>
      </c>
      <c r="O125" s="76" t="s">
        <v>160</v>
      </c>
      <c r="P125" s="69" t="s">
        <v>168</v>
      </c>
      <c r="Q125" s="78">
        <v>43168</v>
      </c>
      <c r="R125" s="78">
        <v>43168</v>
      </c>
      <c r="AR125" s="79">
        <f>SUMIF($T$2:$AQ$2,$AR$2,$T125:$AQ125)</f>
        <v>0</v>
      </c>
      <c r="AS125" s="79">
        <f>SUMIF($T$2:$AQ$2,$AS$2,$T125:$AQ125)</f>
        <v>0</v>
      </c>
      <c r="AT125" s="79">
        <f>S125+(AR125+AS125)</f>
        <v>0</v>
      </c>
      <c r="AV125" s="79"/>
      <c r="BV125" s="79">
        <f>SUMIF($AX$2:$BU$2,$BV$2,$AX125:$BU125)</f>
        <v>0</v>
      </c>
      <c r="BW125" s="79">
        <f>SUMIF($AX$2:$BU$2,$BW$2,$AX125:$BU125)</f>
        <v>0</v>
      </c>
      <c r="BX125" s="79">
        <f>AT125+AV125+AW125+(BV125+BW125)</f>
        <v>0</v>
      </c>
      <c r="DB125" s="79">
        <f>SUMIF($CD$2:$DA$2,$DB$2,$CD125:$DA125)</f>
        <v>0</v>
      </c>
      <c r="DC125" s="79">
        <f>SUMIF($CD$2:$DA$2,$DC$2,$CD125:$DA125)</f>
        <v>0</v>
      </c>
      <c r="DD125" s="79">
        <f>SUMIF($CD$2:$DA$2,$DD$2,$CD125:$DA125)</f>
        <v>0</v>
      </c>
      <c r="DE125" s="79">
        <f>BX125+CA125+BZ125+CC125+(DB125+DC125+DD125)</f>
        <v>0</v>
      </c>
      <c r="DP125" s="131"/>
      <c r="EJ125" s="79">
        <f>SUMIF($DK$2:$EI$2,$EJ$2,$DK125:$EI125)</f>
        <v>0</v>
      </c>
      <c r="EK125" s="79">
        <f>SUMIF($DK$2:$EI$2,$EK$2,$DK125:$EI125)</f>
        <v>0</v>
      </c>
      <c r="EL125" s="79">
        <f>SUMIF($DK$2:$EI$2,$EL$2,$DK125:$EI125)</f>
        <v>0</v>
      </c>
      <c r="EM125" s="79">
        <f t="shared" si="187"/>
        <v>0</v>
      </c>
      <c r="FI125" s="66">
        <f t="shared" si="203"/>
        <v>0</v>
      </c>
      <c r="FJ125" s="66">
        <f t="shared" si="204"/>
        <v>0</v>
      </c>
      <c r="FK125" s="66">
        <f t="shared" si="205"/>
        <v>0</v>
      </c>
      <c r="FL125" s="173">
        <f t="shared" si="206"/>
        <v>0</v>
      </c>
    </row>
    <row r="126" spans="1:169" s="118" customFormat="1" hidden="1" outlineLevel="1" x14ac:dyDescent="0.2">
      <c r="A126" s="118" t="s">
        <v>774</v>
      </c>
      <c r="B126" s="118" t="s">
        <v>775</v>
      </c>
      <c r="C126" s="118" t="s">
        <v>776</v>
      </c>
      <c r="D126" s="118" t="s">
        <v>777</v>
      </c>
      <c r="E126" s="119" t="s">
        <v>203</v>
      </c>
      <c r="F126" s="119"/>
      <c r="G126" s="119"/>
      <c r="H126" s="119"/>
      <c r="I126" s="119"/>
      <c r="J126" s="119"/>
      <c r="K126" s="119"/>
      <c r="L126" s="119"/>
      <c r="M126" s="119" t="str">
        <f t="shared" si="186"/>
        <v>10606900Diagnostic Review 20-21</v>
      </c>
      <c r="O126" s="118" t="s">
        <v>160</v>
      </c>
      <c r="P126" s="120"/>
      <c r="Q126" s="121"/>
      <c r="R126" s="121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60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60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60"/>
      <c r="DG126" s="122"/>
      <c r="DH126" s="122"/>
      <c r="DI126" s="122"/>
      <c r="DJ126" s="122">
        <v>38995</v>
      </c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31"/>
      <c r="EH126" s="122"/>
      <c r="EI126" s="122"/>
      <c r="EJ126" s="122"/>
      <c r="EK126" s="122"/>
      <c r="EL126" s="122"/>
      <c r="EM126" s="122">
        <f t="shared" si="187"/>
        <v>38995</v>
      </c>
      <c r="EN126" s="122"/>
      <c r="EO126" s="122"/>
      <c r="EP126" s="122"/>
      <c r="EQ126" s="122">
        <v>26214</v>
      </c>
      <c r="ER126" s="122"/>
      <c r="ES126" s="126"/>
      <c r="ET126" s="126"/>
      <c r="EU126" s="126"/>
      <c r="EV126" s="6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66">
        <f t="shared" si="203"/>
        <v>0</v>
      </c>
      <c r="FJ126" s="66">
        <f t="shared" si="204"/>
        <v>0</v>
      </c>
      <c r="FK126" s="66">
        <f t="shared" si="205"/>
        <v>0</v>
      </c>
      <c r="FL126" s="173">
        <f t="shared" si="206"/>
        <v>65209</v>
      </c>
      <c r="FM126" s="123"/>
    </row>
    <row r="127" spans="1:169" hidden="1" outlineLevel="1" x14ac:dyDescent="0.2">
      <c r="A127" s="76" t="s">
        <v>454</v>
      </c>
      <c r="B127" s="77" t="s">
        <v>453</v>
      </c>
      <c r="C127" s="76" t="s">
        <v>603</v>
      </c>
      <c r="D127" s="76" t="s">
        <v>588</v>
      </c>
      <c r="E127" s="77" t="s">
        <v>202</v>
      </c>
      <c r="F127" s="77" t="s">
        <v>711</v>
      </c>
      <c r="G127" s="77" t="str">
        <f>IF(S127&gt;0, "1", "0")</f>
        <v>0</v>
      </c>
      <c r="H127" s="77" t="str">
        <f>IF(AW127&gt;0, "1", "0")</f>
        <v>0</v>
      </c>
      <c r="I127" s="77" t="str">
        <f>IF(CC127&gt;0, "1", "0")</f>
        <v>0</v>
      </c>
      <c r="J127" s="77" t="str">
        <f>IF(DJ127&gt;0, "1", "0")</f>
        <v>0</v>
      </c>
      <c r="K127" s="77" t="str">
        <f>CONCATENATE(G127,H127,I127,J127)</f>
        <v>0000</v>
      </c>
      <c r="L127" s="77" t="str">
        <f>IFERROR(VLOOKUP(K127,Sheet2!$A$20:$B$23,2,FALSE),"X")</f>
        <v>X</v>
      </c>
      <c r="M127" s="77" t="str">
        <f t="shared" si="186"/>
        <v>11952573Diagnostic Review 19-20</v>
      </c>
      <c r="O127" s="76" t="s">
        <v>160</v>
      </c>
      <c r="P127" s="69" t="s">
        <v>168</v>
      </c>
      <c r="Q127" s="78">
        <v>43168</v>
      </c>
      <c r="R127" s="78">
        <v>43168</v>
      </c>
      <c r="AR127" s="79">
        <f>SUMIF($T$2:$AQ$2,$AR$2,$T127:$AQ127)</f>
        <v>0</v>
      </c>
      <c r="AS127" s="79">
        <f>SUMIF($T$2:$AQ$2,$AS$2,$T127:$AQ127)</f>
        <v>0</v>
      </c>
      <c r="AT127" s="79">
        <f>S127+(AR127+AS127)</f>
        <v>0</v>
      </c>
      <c r="AV127" s="79"/>
      <c r="BV127" s="79">
        <f>SUMIF($AX$2:$BU$2,$BV$2,$AX127:$BU127)</f>
        <v>0</v>
      </c>
      <c r="BW127" s="79">
        <f>SUMIF($AX$2:$BU$2,$BW$2,$AX127:$BU127)</f>
        <v>0</v>
      </c>
      <c r="BX127" s="79">
        <f>AT127+AV127+AW127+(BV127+BW127)</f>
        <v>0</v>
      </c>
      <c r="DB127" s="79">
        <f>SUMIF($CD$2:$DA$2,$DB$2,$CD127:$DA127)</f>
        <v>0</v>
      </c>
      <c r="DC127" s="79">
        <f>SUMIF($CD$2:$DA$2,$DC$2,$CD127:$DA127)</f>
        <v>0</v>
      </c>
      <c r="DD127" s="79">
        <f>SUMIF($CD$2:$DA$2,$DD$2,$CD127:$DA127)</f>
        <v>0</v>
      </c>
      <c r="DE127" s="79">
        <f>BX127+CA127+BZ127+CC127+(DB127+DC127+DD127)</f>
        <v>0</v>
      </c>
      <c r="DP127" s="131"/>
      <c r="EJ127" s="79">
        <f>SUMIF($DK$2:$EI$2,$EJ$2,$DK127:$EI127)</f>
        <v>0</v>
      </c>
      <c r="EK127" s="79">
        <f>SUMIF($DK$2:$EI$2,$EK$2,$DK127:$EI127)</f>
        <v>0</v>
      </c>
      <c r="EL127" s="79">
        <f>SUMIF($DK$2:$EI$2,$EL$2,$DK127:$EI127)</f>
        <v>0</v>
      </c>
      <c r="EM127" s="79">
        <f t="shared" si="187"/>
        <v>0</v>
      </c>
      <c r="FI127" s="66">
        <f t="shared" si="203"/>
        <v>0</v>
      </c>
      <c r="FJ127" s="66">
        <f t="shared" si="204"/>
        <v>0</v>
      </c>
      <c r="FK127" s="66">
        <f t="shared" si="205"/>
        <v>0</v>
      </c>
      <c r="FL127" s="173">
        <f t="shared" si="206"/>
        <v>0</v>
      </c>
    </row>
    <row r="128" spans="1:169" hidden="1" outlineLevel="1" x14ac:dyDescent="0.2">
      <c r="A128" s="76" t="s">
        <v>380</v>
      </c>
      <c r="B128" s="76" t="s">
        <v>361</v>
      </c>
      <c r="C128" s="76" t="s">
        <v>604</v>
      </c>
      <c r="D128" s="76" t="s">
        <v>589</v>
      </c>
      <c r="E128" s="77" t="s">
        <v>201</v>
      </c>
      <c r="F128" s="77" t="s">
        <v>711</v>
      </c>
      <c r="G128" s="77" t="str">
        <f>IF(S128&gt;0, "1", "0")</f>
        <v>0</v>
      </c>
      <c r="H128" s="77" t="str">
        <f>IF(AW128&gt;0, "1", "0")</f>
        <v>1</v>
      </c>
      <c r="I128" s="77" t="str">
        <f>IF(CC128&gt;0, "1", "0")</f>
        <v>0</v>
      </c>
      <c r="J128" s="77" t="str">
        <f>IF(DJ128&gt;0, "1", "0")</f>
        <v>0</v>
      </c>
      <c r="K128" s="77" t="str">
        <f>CONCATENATE(G128,H128,I128,J128)</f>
        <v>0100</v>
      </c>
      <c r="L128" s="77" t="str">
        <f>IFERROR(VLOOKUP(K128,Sheet2!$A$20:$B$23,2,FALSE),"X")</f>
        <v>02</v>
      </c>
      <c r="M128" s="77" t="str">
        <f t="shared" si="186"/>
        <v>13603690Diagnostic Review 18-19</v>
      </c>
      <c r="O128" s="76" t="s">
        <v>160</v>
      </c>
      <c r="P128" s="69" t="s">
        <v>168</v>
      </c>
      <c r="Q128" s="78"/>
      <c r="R128" s="78"/>
      <c r="AU128" s="158" t="s">
        <v>336</v>
      </c>
      <c r="AV128" s="79"/>
      <c r="AW128" s="79">
        <v>27393</v>
      </c>
      <c r="BT128" s="79">
        <v>-272</v>
      </c>
      <c r="BV128" s="79">
        <f>SUMIF($AX$2:$BU$2,$BV$2,$AX128:$BU128)</f>
        <v>-272</v>
      </c>
      <c r="BW128" s="79">
        <f>SUMIF($AX$2:$BU$2,$BW$2,$AX128:$BU128)</f>
        <v>0</v>
      </c>
      <c r="BX128" s="79">
        <f>AT128+AV128+AW128+(BV128+BW128)</f>
        <v>27121</v>
      </c>
      <c r="CN128" s="79">
        <v>-25700</v>
      </c>
      <c r="DB128" s="79">
        <f>SUMIF($CD$2:$DA$2,$DB$2,$CD128:$DA128)</f>
        <v>0</v>
      </c>
      <c r="DC128" s="79">
        <f>SUMIF($CD$2:$DA$2,$DC$2,$CD128:$DA128)</f>
        <v>-25700</v>
      </c>
      <c r="DD128" s="79">
        <f>SUMIF($CD$2:$DA$2,$DD$2,$CD128:$DA128)</f>
        <v>0</v>
      </c>
      <c r="DE128" s="79">
        <f>BX128+CA128+BZ128+CC128+(DB128+DC128+DD128)</f>
        <v>1421</v>
      </c>
      <c r="DP128" s="131"/>
      <c r="EJ128" s="79">
        <f>SUMIF($DK$2:$EI$2,$EJ$2,$DK128:$EI128)</f>
        <v>0</v>
      </c>
      <c r="EK128" s="79">
        <f>SUMIF($DK$2:$EI$2,$EK$2,$DK128:$EI128)</f>
        <v>0</v>
      </c>
      <c r="EL128" s="79">
        <f>SUMIF($DK$2:$EI$2,$EL$2,$DK128:$EI128)</f>
        <v>0</v>
      </c>
      <c r="EM128" s="79">
        <f t="shared" si="187"/>
        <v>1421</v>
      </c>
      <c r="FI128" s="66">
        <f t="shared" si="203"/>
        <v>0</v>
      </c>
      <c r="FJ128" s="66">
        <f t="shared" si="204"/>
        <v>0</v>
      </c>
      <c r="FK128" s="66">
        <f t="shared" si="205"/>
        <v>0</v>
      </c>
      <c r="FL128" s="173">
        <f t="shared" si="206"/>
        <v>1421</v>
      </c>
    </row>
    <row r="129" spans="1:169" hidden="1" outlineLevel="1" x14ac:dyDescent="0.2">
      <c r="A129" s="88" t="s">
        <v>25</v>
      </c>
      <c r="B129" s="88" t="s">
        <v>648</v>
      </c>
      <c r="C129" s="88" t="s">
        <v>103</v>
      </c>
      <c r="D129" s="88" t="s">
        <v>659</v>
      </c>
      <c r="E129" s="89" t="s">
        <v>202</v>
      </c>
      <c r="F129" s="89" t="s">
        <v>711</v>
      </c>
      <c r="G129" s="77" t="str">
        <f>IF(S129&gt;0, "1", "0")</f>
        <v>0</v>
      </c>
      <c r="H129" s="77" t="str">
        <f>IF(AW129&gt;0, "1", "0")</f>
        <v>0</v>
      </c>
      <c r="I129" s="77" t="str">
        <f>IF(CC129&gt;0, "1", "0")</f>
        <v>1</v>
      </c>
      <c r="J129" s="77" t="str">
        <f>IF(DJ129&gt;0, "1", "0")</f>
        <v>0</v>
      </c>
      <c r="K129" s="77" t="str">
        <f>CONCATENATE(G129,H129,I129,J129)</f>
        <v>0010</v>
      </c>
      <c r="L129" s="77" t="str">
        <f>IFERROR(VLOOKUP(K129,Sheet2!$A$20:$B$23,2,FALSE),"X")</f>
        <v>03</v>
      </c>
      <c r="M129" s="77" t="str">
        <f t="shared" si="186"/>
        <v>14200965Diagnostic Review 19-20</v>
      </c>
      <c r="N129" s="88"/>
      <c r="O129" s="88" t="s">
        <v>160</v>
      </c>
      <c r="P129" s="90" t="s">
        <v>168</v>
      </c>
      <c r="Q129" s="91"/>
      <c r="R129" s="91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161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>
        <f>SUMIF($AX$2:$BU$2,$BV$2,$AX129:$BU129)</f>
        <v>0</v>
      </c>
      <c r="BW129" s="92">
        <f>SUMIF($AX$2:$BU$2,$BW$2,$AX129:$BU129)</f>
        <v>0</v>
      </c>
      <c r="BX129" s="92">
        <f>AT129+AV129+AW129+(BV129+BW129)</f>
        <v>0</v>
      </c>
      <c r="BY129" s="161"/>
      <c r="BZ129" s="92"/>
      <c r="CA129" s="92"/>
      <c r="CB129" s="92"/>
      <c r="CC129" s="92">
        <v>10559</v>
      </c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>
        <f>SUMIF($CD$2:$DA$2,$DB$2,$CD129:$DA129)</f>
        <v>0</v>
      </c>
      <c r="DC129" s="92">
        <f>SUMIF($CD$2:$DA$2,$DC$2,$CD129:$DA129)</f>
        <v>0</v>
      </c>
      <c r="DD129" s="92">
        <f>SUMIF($CD$2:$DA$2,$DD$2,$CD129:$DA129)</f>
        <v>0</v>
      </c>
      <c r="DE129" s="92">
        <f>BX129+CA129+BZ129+CC129+(DB129+DC129+DD129)</f>
        <v>10559</v>
      </c>
      <c r="DP129" s="131"/>
      <c r="EJ129" s="79">
        <f>SUMIF($DK$2:$EI$2,$EJ$2,$DK129:$EI129)</f>
        <v>0</v>
      </c>
      <c r="EK129" s="79">
        <f>SUMIF($DK$2:$EI$2,$EK$2,$DK129:$EI129)</f>
        <v>0</v>
      </c>
      <c r="EL129" s="79">
        <f>SUMIF($DK$2:$EI$2,$EL$2,$DK129:$EI129)</f>
        <v>0</v>
      </c>
      <c r="EM129" s="79">
        <f t="shared" si="187"/>
        <v>10559</v>
      </c>
      <c r="EW129" s="144">
        <v>-10525.21</v>
      </c>
      <c r="FI129" s="66">
        <f t="shared" si="203"/>
        <v>0</v>
      </c>
      <c r="FJ129" s="66">
        <f t="shared" si="204"/>
        <v>0</v>
      </c>
      <c r="FK129" s="66">
        <f t="shared" si="205"/>
        <v>-10525.21</v>
      </c>
      <c r="FL129" s="173">
        <f t="shared" si="206"/>
        <v>33.790000000000873</v>
      </c>
    </row>
    <row r="130" spans="1:169" s="118" customFormat="1" hidden="1" outlineLevel="1" x14ac:dyDescent="0.2">
      <c r="A130" s="118" t="s">
        <v>25</v>
      </c>
      <c r="B130" s="119" t="s">
        <v>766</v>
      </c>
      <c r="C130" s="118" t="s">
        <v>103</v>
      </c>
      <c r="D130" s="118" t="s">
        <v>767</v>
      </c>
      <c r="E130" s="119" t="s">
        <v>203</v>
      </c>
      <c r="F130" s="119"/>
      <c r="G130" s="119"/>
      <c r="H130" s="119"/>
      <c r="I130" s="119"/>
      <c r="J130" s="119"/>
      <c r="K130" s="119"/>
      <c r="L130" s="119"/>
      <c r="M130" s="119" t="str">
        <f t="shared" si="186"/>
        <v>14203691Diagnostic Review 20-21</v>
      </c>
      <c r="O130" s="119" t="s">
        <v>160</v>
      </c>
      <c r="P130" s="120"/>
      <c r="Q130" s="121"/>
      <c r="R130" s="121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60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60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60"/>
      <c r="DG130" s="122"/>
      <c r="DH130" s="122"/>
      <c r="DI130" s="122"/>
      <c r="DJ130" s="122">
        <v>25000</v>
      </c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31"/>
      <c r="EH130" s="122"/>
      <c r="EI130" s="122"/>
      <c r="EJ130" s="122"/>
      <c r="EK130" s="122"/>
      <c r="EL130" s="122"/>
      <c r="EM130" s="122">
        <f t="shared" si="187"/>
        <v>25000</v>
      </c>
      <c r="EN130" s="122"/>
      <c r="EO130" s="122"/>
      <c r="EP130" s="122"/>
      <c r="EQ130" s="122">
        <v>10000</v>
      </c>
      <c r="ER130" s="122"/>
      <c r="ES130" s="126"/>
      <c r="ET130" s="126"/>
      <c r="EU130" s="126"/>
      <c r="EV130" s="66"/>
      <c r="EW130" s="126"/>
      <c r="EX130" s="126"/>
      <c r="EY130" s="126"/>
      <c r="EZ130" s="126"/>
      <c r="FA130" s="126"/>
      <c r="FB130" s="126"/>
      <c r="FC130" s="126"/>
      <c r="FD130" s="300">
        <v>-20000</v>
      </c>
      <c r="FE130" s="126"/>
      <c r="FF130" s="126"/>
      <c r="FG130" s="126"/>
      <c r="FH130" s="126"/>
      <c r="FI130" s="66">
        <f t="shared" si="203"/>
        <v>0</v>
      </c>
      <c r="FJ130" s="66">
        <f t="shared" si="204"/>
        <v>0</v>
      </c>
      <c r="FK130" s="66">
        <f t="shared" si="205"/>
        <v>-20000</v>
      </c>
      <c r="FL130" s="173">
        <f t="shared" si="206"/>
        <v>15000</v>
      </c>
      <c r="FM130" s="123"/>
    </row>
    <row r="131" spans="1:169" hidden="1" outlineLevel="1" x14ac:dyDescent="0.2">
      <c r="A131" s="76" t="s">
        <v>17</v>
      </c>
      <c r="B131" s="76" t="s">
        <v>40</v>
      </c>
      <c r="C131" s="76" t="s">
        <v>97</v>
      </c>
      <c r="D131" s="76" t="s">
        <v>116</v>
      </c>
      <c r="E131" s="77" t="s">
        <v>200</v>
      </c>
      <c r="F131" s="77" t="s">
        <v>711</v>
      </c>
      <c r="G131" s="77" t="str">
        <f>IF(S131&gt;0, "1", "0")</f>
        <v>1</v>
      </c>
      <c r="H131" s="77" t="str">
        <f>IF(AW131&gt;0, "1", "0")</f>
        <v>0</v>
      </c>
      <c r="I131" s="77" t="str">
        <f>IF(CC131&gt;0, "1", "0")</f>
        <v>0</v>
      </c>
      <c r="J131" s="77" t="str">
        <f>IF(DJ131&gt;0, "1", "0")</f>
        <v>0</v>
      </c>
      <c r="K131" s="77" t="str">
        <f>CONCATENATE(G131,H131,I131,J131)</f>
        <v>1000</v>
      </c>
      <c r="L131" s="77" t="str">
        <f>IFERROR(VLOOKUP(K131,Sheet2!$A$20:$B$23,2,FALSE),"X")</f>
        <v>01</v>
      </c>
      <c r="M131" s="77" t="str">
        <f t="shared" si="186"/>
        <v>15203571Diagnostic Review 17-18</v>
      </c>
      <c r="N131" s="76" t="s">
        <v>161</v>
      </c>
      <c r="O131" s="76" t="s">
        <v>160</v>
      </c>
      <c r="P131" s="69" t="s">
        <v>168</v>
      </c>
      <c r="Q131" s="78">
        <v>43168</v>
      </c>
      <c r="R131" s="78">
        <v>43168</v>
      </c>
      <c r="S131" s="79">
        <v>29926</v>
      </c>
      <c r="AP131" s="79">
        <v>-16039</v>
      </c>
      <c r="AR131" s="79">
        <f>SUMIF($T$2:$AQ$2,$AR$2,$T131:$AQ131)</f>
        <v>-16039</v>
      </c>
      <c r="AS131" s="79">
        <f>SUMIF($T$2:$AQ$2,$AS$2,$T131:$AQ131)</f>
        <v>0</v>
      </c>
      <c r="AT131" s="79">
        <f>S131+(AR131+AS131)</f>
        <v>13887</v>
      </c>
      <c r="AV131" s="79"/>
      <c r="BN131" s="79">
        <v>-13750</v>
      </c>
      <c r="BV131" s="79">
        <f t="shared" ref="BV131:BV137" si="214">SUMIF($AX$2:$BU$2,$BV$2,$AX131:$BU131)</f>
        <v>-13750</v>
      </c>
      <c r="BW131" s="79">
        <f t="shared" ref="BW131:BW137" si="215">SUMIF($AX$2:$BU$2,$BW$2,$AX131:$BU131)</f>
        <v>0</v>
      </c>
      <c r="BX131" s="79">
        <f>AT131+AV131+AW131+(BV131+BW131)</f>
        <v>137</v>
      </c>
      <c r="DB131" s="79">
        <f t="shared" ref="DB131:DB137" si="216">SUMIF($CD$2:$DA$2,$DB$2,$CD131:$DA131)</f>
        <v>0</v>
      </c>
      <c r="DC131" s="79">
        <f t="shared" ref="DC131:DC137" si="217">SUMIF($CD$2:$DA$2,$DC$2,$CD131:$DA131)</f>
        <v>0</v>
      </c>
      <c r="DD131" s="79">
        <f t="shared" ref="DD131:DD137" si="218">SUMIF($CD$2:$DA$2,$DD$2,$CD131:$DA131)</f>
        <v>0</v>
      </c>
      <c r="DE131" s="79">
        <f>BX131+CA131+BZ131+CC131+(DB131+DC131+DD131)</f>
        <v>137</v>
      </c>
      <c r="DP131" s="131"/>
      <c r="EJ131" s="79">
        <f t="shared" ref="EJ131:EJ137" si="219">SUMIF($DK$2:$EI$2,$EJ$2,$DK131:$EI131)</f>
        <v>0</v>
      </c>
      <c r="EK131" s="79">
        <f t="shared" ref="EK131:EK137" si="220">SUMIF($DK$2:$EI$2,$EK$2,$DK131:$EI131)</f>
        <v>0</v>
      </c>
      <c r="EL131" s="79">
        <f t="shared" ref="EL131:EL137" si="221">SUMIF($DK$2:$EI$2,$EL$2,$DK131:$EI131)</f>
        <v>0</v>
      </c>
      <c r="EM131" s="79">
        <f t="shared" si="187"/>
        <v>137</v>
      </c>
      <c r="FI131" s="66">
        <f t="shared" si="203"/>
        <v>0</v>
      </c>
      <c r="FJ131" s="66">
        <f t="shared" si="204"/>
        <v>0</v>
      </c>
      <c r="FK131" s="66">
        <f t="shared" si="205"/>
        <v>0</v>
      </c>
      <c r="FL131" s="173">
        <f t="shared" si="206"/>
        <v>137</v>
      </c>
    </row>
    <row r="132" spans="1:169" hidden="1" outlineLevel="1" x14ac:dyDescent="0.2">
      <c r="A132" s="88" t="s">
        <v>222</v>
      </c>
      <c r="B132" s="88" t="s">
        <v>650</v>
      </c>
      <c r="C132" s="88" t="s">
        <v>223</v>
      </c>
      <c r="D132" s="88" t="s">
        <v>661</v>
      </c>
      <c r="E132" s="89" t="s">
        <v>202</v>
      </c>
      <c r="F132" s="89" t="s">
        <v>711</v>
      </c>
      <c r="G132" s="77" t="str">
        <f t="shared" ref="G132:G137" si="222">IF(S132&gt;0, "1", "0")</f>
        <v>0</v>
      </c>
      <c r="H132" s="77" t="str">
        <f t="shared" ref="H132:H137" si="223">IF(AW132&gt;0, "1", "0")</f>
        <v>0</v>
      </c>
      <c r="I132" s="77" t="str">
        <f t="shared" ref="I132:I137" si="224">IF(CC132&gt;0, "1", "0")</f>
        <v>1</v>
      </c>
      <c r="J132" s="77" t="str">
        <f t="shared" ref="J132:J137" si="225">IF(DJ132&gt;0, "1", "0")</f>
        <v>0</v>
      </c>
      <c r="K132" s="77" t="str">
        <f t="shared" ref="K132:K137" si="226">CONCATENATE(G132,H132,I132,J132)</f>
        <v>0010</v>
      </c>
      <c r="L132" s="77" t="str">
        <f>IFERROR(VLOOKUP(K132,Sheet2!$A$20:$B$23,2,FALSE),"X")</f>
        <v>03</v>
      </c>
      <c r="M132" s="77" t="str">
        <f t="shared" ref="M132:M159" si="227">A132&amp;B132&amp;E132</f>
        <v>15609260Diagnostic Review 19-20</v>
      </c>
      <c r="N132" s="88"/>
      <c r="O132" s="88" t="s">
        <v>160</v>
      </c>
      <c r="P132" s="90" t="s">
        <v>168</v>
      </c>
      <c r="Q132" s="91"/>
      <c r="R132" s="91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161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>
        <f t="shared" si="214"/>
        <v>0</v>
      </c>
      <c r="BW132" s="92">
        <f t="shared" si="215"/>
        <v>0</v>
      </c>
      <c r="BX132" s="92">
        <f t="shared" ref="BX132:BX137" si="228">AT132+AV132+AW132+(BV132+BW132)</f>
        <v>0</v>
      </c>
      <c r="BY132" s="161"/>
      <c r="BZ132" s="92"/>
      <c r="CA132" s="92"/>
      <c r="CB132" s="92"/>
      <c r="CC132" s="92">
        <v>19454.781599999998</v>
      </c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>
        <f t="shared" si="216"/>
        <v>0</v>
      </c>
      <c r="DC132" s="92">
        <f t="shared" si="217"/>
        <v>0</v>
      </c>
      <c r="DD132" s="92">
        <f t="shared" si="218"/>
        <v>0</v>
      </c>
      <c r="DE132" s="92">
        <f t="shared" ref="DE132:DE137" si="229">BX132+CA132+BZ132+CC132+(DB132+DC132+DD132)</f>
        <v>19454.781599999998</v>
      </c>
      <c r="DP132" s="131"/>
      <c r="EJ132" s="79">
        <f t="shared" si="219"/>
        <v>0</v>
      </c>
      <c r="EK132" s="79">
        <f t="shared" si="220"/>
        <v>0</v>
      </c>
      <c r="EL132" s="79">
        <f t="shared" si="221"/>
        <v>0</v>
      </c>
      <c r="EM132" s="79">
        <f t="shared" ref="EM132:EM159" si="230">DE132+DH132+DG132+DJ132+(EJ132+EK132+EL132)</f>
        <v>19454.781599999998</v>
      </c>
      <c r="FI132" s="66">
        <f t="shared" si="203"/>
        <v>0</v>
      </c>
      <c r="FJ132" s="66">
        <f t="shared" si="204"/>
        <v>0</v>
      </c>
      <c r="FK132" s="66">
        <f t="shared" si="205"/>
        <v>0</v>
      </c>
      <c r="FL132" s="173">
        <f t="shared" si="206"/>
        <v>19454.781599999998</v>
      </c>
    </row>
    <row r="133" spans="1:169" hidden="1" outlineLevel="1" x14ac:dyDescent="0.2">
      <c r="A133" s="76" t="s">
        <v>28</v>
      </c>
      <c r="B133" s="76" t="s">
        <v>362</v>
      </c>
      <c r="C133" s="76" t="s">
        <v>106</v>
      </c>
      <c r="D133" s="76" t="s">
        <v>590</v>
      </c>
      <c r="E133" s="77" t="s">
        <v>201</v>
      </c>
      <c r="F133" s="77" t="s">
        <v>711</v>
      </c>
      <c r="G133" s="77" t="str">
        <f t="shared" si="222"/>
        <v>0</v>
      </c>
      <c r="H133" s="77" t="str">
        <f t="shared" si="223"/>
        <v>1</v>
      </c>
      <c r="I133" s="77" t="str">
        <f t="shared" si="224"/>
        <v>0</v>
      </c>
      <c r="J133" s="77" t="str">
        <f t="shared" si="225"/>
        <v>0</v>
      </c>
      <c r="K133" s="77" t="str">
        <f t="shared" si="226"/>
        <v>0100</v>
      </c>
      <c r="L133" s="77" t="str">
        <f>IFERROR(VLOOKUP(K133,Sheet2!$A$20:$B$23,2,FALSE),"X")</f>
        <v>02</v>
      </c>
      <c r="M133" s="77" t="str">
        <f t="shared" si="227"/>
        <v>15702792Diagnostic Review 18-19</v>
      </c>
      <c r="O133" s="76" t="s">
        <v>160</v>
      </c>
      <c r="P133" s="69" t="s">
        <v>168</v>
      </c>
      <c r="Q133" s="78"/>
      <c r="R133" s="78"/>
      <c r="AU133" s="158" t="s">
        <v>336</v>
      </c>
      <c r="AV133" s="79"/>
      <c r="AW133" s="79">
        <v>10000</v>
      </c>
      <c r="BV133" s="79">
        <f t="shared" si="214"/>
        <v>0</v>
      </c>
      <c r="BW133" s="79">
        <f t="shared" si="215"/>
        <v>0</v>
      </c>
      <c r="BX133" s="79">
        <f t="shared" si="228"/>
        <v>10000</v>
      </c>
      <c r="DB133" s="79">
        <f t="shared" si="216"/>
        <v>0</v>
      </c>
      <c r="DC133" s="79">
        <f t="shared" si="217"/>
        <v>0</v>
      </c>
      <c r="DD133" s="79">
        <f t="shared" si="218"/>
        <v>0</v>
      </c>
      <c r="DE133" s="79">
        <f t="shared" si="229"/>
        <v>10000</v>
      </c>
      <c r="DP133" s="131"/>
      <c r="EJ133" s="79">
        <f t="shared" si="219"/>
        <v>0</v>
      </c>
      <c r="EK133" s="79">
        <f t="shared" si="220"/>
        <v>0</v>
      </c>
      <c r="EL133" s="79">
        <f t="shared" si="221"/>
        <v>0</v>
      </c>
      <c r="EM133" s="79">
        <f t="shared" si="230"/>
        <v>10000</v>
      </c>
      <c r="FI133" s="66">
        <f t="shared" si="203"/>
        <v>0</v>
      </c>
      <c r="FJ133" s="66">
        <f t="shared" si="204"/>
        <v>0</v>
      </c>
      <c r="FK133" s="66">
        <f t="shared" si="205"/>
        <v>0</v>
      </c>
      <c r="FL133" s="173">
        <f t="shared" si="206"/>
        <v>10000</v>
      </c>
    </row>
    <row r="134" spans="1:169" hidden="1" outlineLevel="1" x14ac:dyDescent="0.2">
      <c r="A134" s="76" t="s">
        <v>28</v>
      </c>
      <c r="B134" s="76" t="s">
        <v>363</v>
      </c>
      <c r="C134" s="76" t="s">
        <v>106</v>
      </c>
      <c r="D134" s="76" t="s">
        <v>591</v>
      </c>
      <c r="E134" s="77" t="s">
        <v>201</v>
      </c>
      <c r="F134" s="77" t="s">
        <v>711</v>
      </c>
      <c r="G134" s="77" t="str">
        <f t="shared" si="222"/>
        <v>0</v>
      </c>
      <c r="H134" s="77" t="str">
        <f t="shared" si="223"/>
        <v>1</v>
      </c>
      <c r="I134" s="77" t="str">
        <f t="shared" si="224"/>
        <v>0</v>
      </c>
      <c r="J134" s="77" t="str">
        <f t="shared" si="225"/>
        <v>0</v>
      </c>
      <c r="K134" s="77" t="str">
        <f t="shared" si="226"/>
        <v>0100</v>
      </c>
      <c r="L134" s="77" t="str">
        <f>IFERROR(VLOOKUP(K134,Sheet2!$A$20:$B$23,2,FALSE),"X")</f>
        <v>02</v>
      </c>
      <c r="M134" s="77" t="str">
        <f t="shared" si="227"/>
        <v>15702794Diagnostic Review 18-19</v>
      </c>
      <c r="O134" s="76" t="s">
        <v>160</v>
      </c>
      <c r="P134" s="69" t="s">
        <v>168</v>
      </c>
      <c r="Q134" s="78"/>
      <c r="R134" s="78"/>
      <c r="AU134" s="158" t="s">
        <v>336</v>
      </c>
      <c r="AV134" s="79"/>
      <c r="AW134" s="79">
        <v>10000</v>
      </c>
      <c r="BV134" s="79">
        <f t="shared" si="214"/>
        <v>0</v>
      </c>
      <c r="BW134" s="79">
        <f t="shared" si="215"/>
        <v>0</v>
      </c>
      <c r="BX134" s="79">
        <f t="shared" si="228"/>
        <v>10000</v>
      </c>
      <c r="DB134" s="79">
        <f t="shared" si="216"/>
        <v>0</v>
      </c>
      <c r="DC134" s="79">
        <f t="shared" si="217"/>
        <v>0</v>
      </c>
      <c r="DD134" s="79">
        <f t="shared" si="218"/>
        <v>0</v>
      </c>
      <c r="DE134" s="79">
        <f t="shared" si="229"/>
        <v>10000</v>
      </c>
      <c r="DP134" s="131"/>
      <c r="EJ134" s="79">
        <f t="shared" si="219"/>
        <v>0</v>
      </c>
      <c r="EK134" s="79">
        <f t="shared" si="220"/>
        <v>0</v>
      </c>
      <c r="EL134" s="79">
        <f t="shared" si="221"/>
        <v>0</v>
      </c>
      <c r="EM134" s="79">
        <f t="shared" si="230"/>
        <v>10000</v>
      </c>
      <c r="FI134" s="66">
        <f t="shared" si="203"/>
        <v>0</v>
      </c>
      <c r="FJ134" s="66">
        <f t="shared" si="204"/>
        <v>0</v>
      </c>
      <c r="FK134" s="66">
        <f t="shared" si="205"/>
        <v>0</v>
      </c>
      <c r="FL134" s="173">
        <f t="shared" si="206"/>
        <v>10000</v>
      </c>
    </row>
    <row r="135" spans="1:169" hidden="1" outlineLevel="1" x14ac:dyDescent="0.2">
      <c r="A135" s="88" t="s">
        <v>381</v>
      </c>
      <c r="B135" s="88" t="s">
        <v>649</v>
      </c>
      <c r="C135" s="88" t="s">
        <v>465</v>
      </c>
      <c r="D135" s="88" t="s">
        <v>660</v>
      </c>
      <c r="E135" s="89" t="s">
        <v>202</v>
      </c>
      <c r="F135" s="89" t="s">
        <v>711</v>
      </c>
      <c r="G135" s="77" t="str">
        <f t="shared" si="222"/>
        <v>0</v>
      </c>
      <c r="H135" s="77" t="str">
        <f t="shared" si="223"/>
        <v>0</v>
      </c>
      <c r="I135" s="77" t="str">
        <f t="shared" si="224"/>
        <v>1</v>
      </c>
      <c r="J135" s="77" t="str">
        <f t="shared" si="225"/>
        <v>0</v>
      </c>
      <c r="K135" s="77" t="str">
        <f t="shared" si="226"/>
        <v>0010</v>
      </c>
      <c r="L135" s="77" t="str">
        <f>IFERROR(VLOOKUP(K135,Sheet2!$A$20:$B$23,2,FALSE),"X")</f>
        <v>03</v>
      </c>
      <c r="M135" s="77" t="str">
        <f t="shared" si="227"/>
        <v>20007236Diagnostic Review 19-20</v>
      </c>
      <c r="N135" s="88"/>
      <c r="O135" s="88" t="s">
        <v>160</v>
      </c>
      <c r="P135" s="90" t="s">
        <v>168</v>
      </c>
      <c r="Q135" s="91"/>
      <c r="R135" s="91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161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>
        <f t="shared" si="214"/>
        <v>0</v>
      </c>
      <c r="BW135" s="92">
        <f t="shared" si="215"/>
        <v>0</v>
      </c>
      <c r="BX135" s="92">
        <f t="shared" si="228"/>
        <v>0</v>
      </c>
      <c r="BY135" s="161"/>
      <c r="BZ135" s="92"/>
      <c r="CA135" s="92"/>
      <c r="CB135" s="92"/>
      <c r="CC135" s="92">
        <v>10492</v>
      </c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>
        <f t="shared" si="216"/>
        <v>0</v>
      </c>
      <c r="DC135" s="92">
        <f t="shared" si="217"/>
        <v>0</v>
      </c>
      <c r="DD135" s="92">
        <f t="shared" si="218"/>
        <v>0</v>
      </c>
      <c r="DE135" s="92">
        <f t="shared" si="229"/>
        <v>10492</v>
      </c>
      <c r="DP135" s="131"/>
      <c r="EH135" s="79">
        <v>-1717.24</v>
      </c>
      <c r="EJ135" s="79">
        <f t="shared" si="219"/>
        <v>0</v>
      </c>
      <c r="EK135" s="79">
        <f t="shared" si="220"/>
        <v>-1717.24</v>
      </c>
      <c r="EL135" s="79">
        <f t="shared" si="221"/>
        <v>0</v>
      </c>
      <c r="EM135" s="79">
        <f t="shared" si="230"/>
        <v>8774.76</v>
      </c>
      <c r="FI135" s="66">
        <f t="shared" si="203"/>
        <v>0</v>
      </c>
      <c r="FJ135" s="66">
        <f t="shared" si="204"/>
        <v>0</v>
      </c>
      <c r="FK135" s="66">
        <f t="shared" si="205"/>
        <v>0</v>
      </c>
      <c r="FL135" s="173">
        <f t="shared" si="206"/>
        <v>8774.76</v>
      </c>
    </row>
    <row r="136" spans="1:169" hidden="1" outlineLevel="1" x14ac:dyDescent="0.2">
      <c r="A136" s="76" t="s">
        <v>381</v>
      </c>
      <c r="B136" s="76" t="s">
        <v>34</v>
      </c>
      <c r="C136" s="76" t="s">
        <v>465</v>
      </c>
      <c r="D136" s="76" t="s">
        <v>111</v>
      </c>
      <c r="E136" s="77" t="s">
        <v>201</v>
      </c>
      <c r="F136" s="77" t="s">
        <v>711</v>
      </c>
      <c r="G136" s="77" t="str">
        <f t="shared" si="222"/>
        <v>0</v>
      </c>
      <c r="H136" s="77" t="str">
        <f t="shared" si="223"/>
        <v>1</v>
      </c>
      <c r="I136" s="77" t="str">
        <f t="shared" si="224"/>
        <v>0</v>
      </c>
      <c r="J136" s="77" t="str">
        <f t="shared" si="225"/>
        <v>0</v>
      </c>
      <c r="K136" s="77" t="str">
        <f t="shared" si="226"/>
        <v>0100</v>
      </c>
      <c r="L136" s="77" t="str">
        <f>IFERROR(VLOOKUP(K136,Sheet2!$A$20:$B$23,2,FALSE),"X")</f>
        <v>02</v>
      </c>
      <c r="M136" s="77" t="str">
        <f t="shared" si="227"/>
        <v>2000N/ADiagnostic Review 18-19</v>
      </c>
      <c r="O136" s="76" t="s">
        <v>160</v>
      </c>
      <c r="P136" s="69" t="s">
        <v>168</v>
      </c>
      <c r="Q136" s="78"/>
      <c r="R136" s="78"/>
      <c r="AU136" s="158" t="s">
        <v>336</v>
      </c>
      <c r="AV136" s="79"/>
      <c r="AW136" s="79">
        <v>14858</v>
      </c>
      <c r="BV136" s="79">
        <f t="shared" si="214"/>
        <v>0</v>
      </c>
      <c r="BW136" s="79">
        <f t="shared" si="215"/>
        <v>0</v>
      </c>
      <c r="BX136" s="79">
        <f t="shared" si="228"/>
        <v>14858</v>
      </c>
      <c r="DB136" s="79">
        <f t="shared" si="216"/>
        <v>0</v>
      </c>
      <c r="DC136" s="79">
        <f t="shared" si="217"/>
        <v>0</v>
      </c>
      <c r="DD136" s="79">
        <f t="shared" si="218"/>
        <v>0</v>
      </c>
      <c r="DE136" s="79">
        <f t="shared" si="229"/>
        <v>14858</v>
      </c>
      <c r="DP136" s="131"/>
      <c r="DY136" s="79">
        <v>-1718.72</v>
      </c>
      <c r="EJ136" s="79">
        <f t="shared" si="219"/>
        <v>0</v>
      </c>
      <c r="EK136" s="79">
        <f t="shared" si="220"/>
        <v>-1718.72</v>
      </c>
      <c r="EL136" s="79">
        <f t="shared" si="221"/>
        <v>0</v>
      </c>
      <c r="EM136" s="79">
        <f t="shared" si="230"/>
        <v>13139.28</v>
      </c>
      <c r="FI136" s="66">
        <f t="shared" si="203"/>
        <v>0</v>
      </c>
      <c r="FJ136" s="66">
        <f t="shared" si="204"/>
        <v>0</v>
      </c>
      <c r="FK136" s="66">
        <f t="shared" si="205"/>
        <v>0</v>
      </c>
      <c r="FL136" s="173">
        <f t="shared" si="206"/>
        <v>13139.28</v>
      </c>
    </row>
    <row r="137" spans="1:169" hidden="1" outlineLevel="1" x14ac:dyDescent="0.2">
      <c r="A137" s="76" t="s">
        <v>30</v>
      </c>
      <c r="B137" s="76" t="s">
        <v>86</v>
      </c>
      <c r="C137" s="76" t="s">
        <v>612</v>
      </c>
      <c r="D137" s="76" t="s">
        <v>157</v>
      </c>
      <c r="E137" s="77" t="s">
        <v>200</v>
      </c>
      <c r="F137" s="77" t="s">
        <v>711</v>
      </c>
      <c r="G137" s="77" t="str">
        <f t="shared" si="222"/>
        <v>1</v>
      </c>
      <c r="H137" s="77" t="str">
        <f t="shared" si="223"/>
        <v>0</v>
      </c>
      <c r="I137" s="77" t="str">
        <f t="shared" si="224"/>
        <v>0</v>
      </c>
      <c r="J137" s="77" t="str">
        <f t="shared" si="225"/>
        <v>0</v>
      </c>
      <c r="K137" s="77" t="str">
        <f t="shared" si="226"/>
        <v>1000</v>
      </c>
      <c r="L137" s="77" t="str">
        <f>IFERROR(VLOOKUP(K137,Sheet2!$A$20:$B$23,2,FALSE),"X")</f>
        <v>01</v>
      </c>
      <c r="M137" s="77" t="str">
        <f t="shared" si="227"/>
        <v>20350609Diagnostic Review 17-18</v>
      </c>
      <c r="N137" s="76" t="s">
        <v>161</v>
      </c>
      <c r="O137" s="76" t="s">
        <v>160</v>
      </c>
      <c r="P137" s="69" t="s">
        <v>168</v>
      </c>
      <c r="Q137" s="78">
        <v>43173</v>
      </c>
      <c r="R137" s="78">
        <v>43173</v>
      </c>
      <c r="S137" s="79">
        <v>31233</v>
      </c>
      <c r="AR137" s="79">
        <f>SUMIF($T$2:$AQ$2,$AR$2,$T137:$AQ137)</f>
        <v>0</v>
      </c>
      <c r="AS137" s="79">
        <f>SUMIF($T$2:$AQ$2,$AS$2,$T137:$AQ137)</f>
        <v>0</v>
      </c>
      <c r="AT137" s="79">
        <f>S137+(AR137+AS137)</f>
        <v>31233</v>
      </c>
      <c r="AV137" s="79"/>
      <c r="BB137" s="79">
        <v>-14100</v>
      </c>
      <c r="BV137" s="79">
        <f t="shared" si="214"/>
        <v>-14100</v>
      </c>
      <c r="BW137" s="79">
        <f t="shared" si="215"/>
        <v>0</v>
      </c>
      <c r="BX137" s="79">
        <f t="shared" si="228"/>
        <v>17133</v>
      </c>
      <c r="BY137" s="158" t="s">
        <v>161</v>
      </c>
      <c r="BZ137" s="79">
        <v>-1233</v>
      </c>
      <c r="DB137" s="79">
        <f t="shared" si="216"/>
        <v>0</v>
      </c>
      <c r="DC137" s="79">
        <f t="shared" si="217"/>
        <v>0</v>
      </c>
      <c r="DD137" s="79">
        <f t="shared" si="218"/>
        <v>0</v>
      </c>
      <c r="DE137" s="79">
        <f t="shared" si="229"/>
        <v>15900</v>
      </c>
      <c r="DP137" s="131"/>
      <c r="EJ137" s="79">
        <f t="shared" si="219"/>
        <v>0</v>
      </c>
      <c r="EK137" s="79">
        <f t="shared" si="220"/>
        <v>0</v>
      </c>
      <c r="EL137" s="79">
        <f t="shared" si="221"/>
        <v>0</v>
      </c>
      <c r="EM137" s="79">
        <f t="shared" si="230"/>
        <v>15900</v>
      </c>
      <c r="FI137" s="66">
        <f t="shared" si="203"/>
        <v>0</v>
      </c>
      <c r="FJ137" s="66">
        <f t="shared" si="204"/>
        <v>0</v>
      </c>
      <c r="FK137" s="66">
        <f t="shared" si="205"/>
        <v>0</v>
      </c>
      <c r="FL137" s="173">
        <f t="shared" si="206"/>
        <v>15900</v>
      </c>
    </row>
    <row r="138" spans="1:169" s="118" customFormat="1" hidden="1" outlineLevel="1" x14ac:dyDescent="0.2">
      <c r="A138" s="118" t="s">
        <v>30</v>
      </c>
      <c r="B138" s="118" t="s">
        <v>85</v>
      </c>
      <c r="C138" s="118" t="s">
        <v>612</v>
      </c>
      <c r="D138" s="118" t="s">
        <v>206</v>
      </c>
      <c r="E138" s="119" t="s">
        <v>203</v>
      </c>
      <c r="F138" s="119"/>
      <c r="G138" s="119"/>
      <c r="H138" s="119"/>
      <c r="I138" s="119"/>
      <c r="J138" s="119"/>
      <c r="K138" s="119"/>
      <c r="L138" s="119"/>
      <c r="M138" s="119" t="str">
        <f t="shared" si="227"/>
        <v>20358133Diagnostic Review 20-21</v>
      </c>
      <c r="O138" s="119" t="s">
        <v>160</v>
      </c>
      <c r="P138" s="120"/>
      <c r="Q138" s="121"/>
      <c r="R138" s="121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60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60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60"/>
      <c r="DG138" s="122"/>
      <c r="DH138" s="122"/>
      <c r="DI138" s="122"/>
      <c r="DJ138" s="122">
        <v>12000</v>
      </c>
      <c r="DK138" s="122"/>
      <c r="DL138" s="122"/>
      <c r="DM138" s="122"/>
      <c r="DN138" s="122"/>
      <c r="DO138" s="122"/>
      <c r="DP138" s="122"/>
      <c r="DQ138" s="122"/>
      <c r="DR138" s="122"/>
      <c r="DS138" s="122"/>
      <c r="DT138" s="122"/>
      <c r="DU138" s="122"/>
      <c r="DV138" s="122"/>
      <c r="DW138" s="122"/>
      <c r="DX138" s="122"/>
      <c r="DY138" s="122"/>
      <c r="DZ138" s="122"/>
      <c r="EA138" s="122"/>
      <c r="EB138" s="122"/>
      <c r="EC138" s="122"/>
      <c r="ED138" s="122"/>
      <c r="EE138" s="122"/>
      <c r="EF138" s="122"/>
      <c r="EG138" s="131"/>
      <c r="EH138" s="122"/>
      <c r="EI138" s="122"/>
      <c r="EJ138" s="122"/>
      <c r="EK138" s="122"/>
      <c r="EL138" s="122"/>
      <c r="EM138" s="122">
        <f t="shared" si="230"/>
        <v>12000</v>
      </c>
      <c r="EN138" s="122"/>
      <c r="EO138" s="122"/>
      <c r="EP138" s="122"/>
      <c r="EQ138" s="122">
        <v>20000</v>
      </c>
      <c r="ER138" s="122"/>
      <c r="ES138" s="126"/>
      <c r="ET138" s="126"/>
      <c r="EU138" s="126"/>
      <c r="EV138" s="66"/>
      <c r="EW138" s="144">
        <v>-3510.06</v>
      </c>
      <c r="EX138" s="144">
        <v>-1770.06</v>
      </c>
      <c r="EY138" s="144">
        <v>-3017.35</v>
      </c>
      <c r="EZ138" s="126"/>
      <c r="FA138" s="126"/>
      <c r="FB138" s="126"/>
      <c r="FC138" s="224">
        <v>-1730.51</v>
      </c>
      <c r="FD138" s="126"/>
      <c r="FE138" s="126">
        <f>-862.01-1540.78</f>
        <v>-2402.79</v>
      </c>
      <c r="FF138" s="126"/>
      <c r="FG138" s="126"/>
      <c r="FH138" s="126"/>
      <c r="FI138" s="66">
        <f t="shared" si="203"/>
        <v>0</v>
      </c>
      <c r="FJ138" s="66">
        <f t="shared" si="204"/>
        <v>0</v>
      </c>
      <c r="FK138" s="66">
        <f t="shared" si="205"/>
        <v>-12430.77</v>
      </c>
      <c r="FL138" s="173">
        <f t="shared" si="206"/>
        <v>19569.23</v>
      </c>
      <c r="FM138" s="123"/>
    </row>
    <row r="139" spans="1:169" hidden="1" outlineLevel="1" x14ac:dyDescent="0.2">
      <c r="A139" s="77" t="s">
        <v>224</v>
      </c>
      <c r="B139" s="77" t="s">
        <v>226</v>
      </c>
      <c r="C139" s="76" t="s">
        <v>225</v>
      </c>
      <c r="D139" s="76" t="s">
        <v>227</v>
      </c>
      <c r="E139" s="77" t="s">
        <v>200</v>
      </c>
      <c r="F139" s="77" t="s">
        <v>711</v>
      </c>
      <c r="G139" s="77" t="str">
        <f t="shared" ref="G139:G145" si="231">IF(S139&gt;0, "1", "0")</f>
        <v>1</v>
      </c>
      <c r="H139" s="77" t="str">
        <f t="shared" ref="H139:H145" si="232">IF(AW139&gt;0, "1", "0")</f>
        <v>0</v>
      </c>
      <c r="I139" s="77" t="str">
        <f t="shared" ref="I139:I145" si="233">IF(CC139&gt;0, "1", "0")</f>
        <v>0</v>
      </c>
      <c r="J139" s="77" t="str">
        <f t="shared" ref="J139:J145" si="234">IF(DJ139&gt;0, "1", "0")</f>
        <v>0</v>
      </c>
      <c r="K139" s="77" t="str">
        <f t="shared" ref="K139:K145" si="235">CONCATENATE(G139,H139,I139,J139)</f>
        <v>1000</v>
      </c>
      <c r="L139" s="77" t="str">
        <f>IFERROR(VLOOKUP(K139,Sheet2!$A$20:$B$23,2,FALSE),"X")</f>
        <v>01</v>
      </c>
      <c r="M139" s="77" t="str">
        <f t="shared" si="227"/>
        <v>21809149Diagnostic Review 17-18</v>
      </c>
      <c r="N139" s="76" t="s">
        <v>161</v>
      </c>
      <c r="O139" s="76" t="s">
        <v>160</v>
      </c>
      <c r="P139" s="69" t="s">
        <v>168</v>
      </c>
      <c r="Q139" s="78">
        <v>43173</v>
      </c>
      <c r="R139" s="78">
        <v>43173</v>
      </c>
      <c r="S139" s="79">
        <v>52545</v>
      </c>
      <c r="AR139" s="79">
        <f>SUMIF($T$2:$AQ$2,$AR$2,$T139:$AQ139)</f>
        <v>0</v>
      </c>
      <c r="AS139" s="79">
        <f>SUMIF($T$2:$AQ$2,$AS$2,$T139:$AQ139)</f>
        <v>0</v>
      </c>
      <c r="AT139" s="79">
        <f>S139+(AR139+AS139)</f>
        <v>52545</v>
      </c>
      <c r="AV139" s="79"/>
      <c r="BD139" s="79">
        <v>-52545</v>
      </c>
      <c r="BV139" s="79">
        <f t="shared" ref="BV139:BV145" si="236">SUMIF($AX$2:$BU$2,$BV$2,$AX139:$BU139)</f>
        <v>-52545</v>
      </c>
      <c r="BW139" s="79">
        <f t="shared" ref="BW139:BW145" si="237">SUMIF($AX$2:$BU$2,$BW$2,$AX139:$BU139)</f>
        <v>0</v>
      </c>
      <c r="BX139" s="79">
        <f t="shared" ref="BX139:BX145" si="238">AT139+AV139+AW139+(BV139+BW139)</f>
        <v>0</v>
      </c>
      <c r="DB139" s="79">
        <f t="shared" ref="DB139:DB145" si="239">SUMIF($CD$2:$DA$2,$DB$2,$CD139:$DA139)</f>
        <v>0</v>
      </c>
      <c r="DC139" s="79">
        <f t="shared" ref="DC139:DC145" si="240">SUMIF($CD$2:$DA$2,$DC$2,$CD139:$DA139)</f>
        <v>0</v>
      </c>
      <c r="DD139" s="79">
        <f t="shared" ref="DD139:DD145" si="241">SUMIF($CD$2:$DA$2,$DD$2,$CD139:$DA139)</f>
        <v>0</v>
      </c>
      <c r="DE139" s="79">
        <f t="shared" ref="DE139:DE145" si="242">BX139+CA139+BZ139+CC139+(DB139+DC139+DD139)</f>
        <v>0</v>
      </c>
      <c r="DP139" s="131"/>
      <c r="EJ139" s="79">
        <f t="shared" ref="EJ139:EJ145" si="243">SUMIF($DK$2:$EI$2,$EJ$2,$DK139:$EI139)</f>
        <v>0</v>
      </c>
      <c r="EK139" s="79">
        <f t="shared" ref="EK139:EK145" si="244">SUMIF($DK$2:$EI$2,$EK$2,$DK139:$EI139)</f>
        <v>0</v>
      </c>
      <c r="EL139" s="79">
        <f t="shared" ref="EL139:EL145" si="245">SUMIF($DK$2:$EI$2,$EL$2,$DK139:$EI139)</f>
        <v>0</v>
      </c>
      <c r="EM139" s="79">
        <f t="shared" si="230"/>
        <v>0</v>
      </c>
      <c r="FI139" s="66">
        <f t="shared" si="203"/>
        <v>0</v>
      </c>
      <c r="FJ139" s="66">
        <f t="shared" si="204"/>
        <v>0</v>
      </c>
      <c r="FK139" s="66">
        <f t="shared" si="205"/>
        <v>0</v>
      </c>
      <c r="FL139" s="173">
        <f t="shared" si="206"/>
        <v>0</v>
      </c>
    </row>
    <row r="140" spans="1:169" hidden="1" outlineLevel="1" x14ac:dyDescent="0.2">
      <c r="A140" s="76" t="s">
        <v>18</v>
      </c>
      <c r="B140" s="76" t="s">
        <v>41</v>
      </c>
      <c r="C140" s="76" t="s">
        <v>613</v>
      </c>
      <c r="D140" s="76" t="s">
        <v>117</v>
      </c>
      <c r="E140" s="77" t="s">
        <v>200</v>
      </c>
      <c r="F140" s="77" t="s">
        <v>711</v>
      </c>
      <c r="G140" s="77" t="str">
        <f t="shared" si="231"/>
        <v>1</v>
      </c>
      <c r="H140" s="77" t="str">
        <f t="shared" si="232"/>
        <v>0</v>
      </c>
      <c r="I140" s="77" t="str">
        <f t="shared" si="233"/>
        <v>0</v>
      </c>
      <c r="J140" s="77" t="str">
        <f t="shared" si="234"/>
        <v>0</v>
      </c>
      <c r="K140" s="77" t="str">
        <f t="shared" si="235"/>
        <v>1000</v>
      </c>
      <c r="L140" s="77" t="str">
        <f>IFERROR(VLOOKUP(K140,Sheet2!$A$20:$B$23,2,FALSE),"X")</f>
        <v>01</v>
      </c>
      <c r="M140" s="77" t="str">
        <f t="shared" si="227"/>
        <v>23951094Diagnostic Review 17-18</v>
      </c>
      <c r="N140" s="76" t="s">
        <v>161</v>
      </c>
      <c r="O140" s="76" t="s">
        <v>160</v>
      </c>
      <c r="P140" s="69" t="s">
        <v>168</v>
      </c>
      <c r="Q140" s="78">
        <v>43168</v>
      </c>
      <c r="R140" s="78">
        <v>43168</v>
      </c>
      <c r="S140" s="79">
        <v>50000</v>
      </c>
      <c r="AL140" s="79">
        <f>-1641-11201</f>
        <v>-12842</v>
      </c>
      <c r="AN140" s="79">
        <v>-6667</v>
      </c>
      <c r="AP140" s="79">
        <v>-5000</v>
      </c>
      <c r="AR140" s="79">
        <f>SUMIF($T$2:$AQ$2,$AR$2,$T140:$AQ140)</f>
        <v>-24509</v>
      </c>
      <c r="AS140" s="79">
        <f>SUMIF($T$2:$AQ$2,$AS$2,$T140:$AQ140)</f>
        <v>0</v>
      </c>
      <c r="AT140" s="79">
        <f>S140+(AR140+AS140)</f>
        <v>25491</v>
      </c>
      <c r="AV140" s="79"/>
      <c r="AZ140" s="79">
        <f>-2563-5000</f>
        <v>-7563</v>
      </c>
      <c r="BB140" s="79">
        <v>-12500</v>
      </c>
      <c r="BV140" s="79">
        <f t="shared" si="236"/>
        <v>-20063</v>
      </c>
      <c r="BW140" s="79">
        <f t="shared" si="237"/>
        <v>0</v>
      </c>
      <c r="BX140" s="79">
        <f t="shared" si="238"/>
        <v>5428</v>
      </c>
      <c r="DB140" s="79">
        <f t="shared" si="239"/>
        <v>0</v>
      </c>
      <c r="DC140" s="79">
        <f t="shared" si="240"/>
        <v>0</v>
      </c>
      <c r="DD140" s="79">
        <f t="shared" si="241"/>
        <v>0</v>
      </c>
      <c r="DE140" s="79">
        <f t="shared" si="242"/>
        <v>5428</v>
      </c>
      <c r="DP140" s="131"/>
      <c r="EJ140" s="79">
        <f t="shared" si="243"/>
        <v>0</v>
      </c>
      <c r="EK140" s="79">
        <f t="shared" si="244"/>
        <v>0</v>
      </c>
      <c r="EL140" s="79">
        <f t="shared" si="245"/>
        <v>0</v>
      </c>
      <c r="EM140" s="79">
        <f t="shared" si="230"/>
        <v>5428</v>
      </c>
      <c r="FI140" s="66">
        <f t="shared" ref="FI140:FI159" si="246">SUMIF($ES$2:$FH$2,$FI$2,$ES140:$FH140)</f>
        <v>0</v>
      </c>
      <c r="FJ140" s="66">
        <f t="shared" ref="FJ140:FJ159" si="247">SUMIF($ES$2:$FH$2,$FJ$2,$ES140:$FH140)</f>
        <v>0</v>
      </c>
      <c r="FK140" s="66">
        <f t="shared" ref="FK140:FK159" si="248">SUMIF($ES$2:$FH$2,$FK$2,$ES140:$FH140)</f>
        <v>0</v>
      </c>
      <c r="FL140" s="173">
        <f t="shared" ref="FL140:FL159" si="249">EM140+EO140+EP140+EQ140+(FK140+FI140+FJ140)</f>
        <v>5428</v>
      </c>
    </row>
    <row r="141" spans="1:169" hidden="1" outlineLevel="1" x14ac:dyDescent="0.2">
      <c r="A141" s="76" t="s">
        <v>18</v>
      </c>
      <c r="B141" s="76" t="s">
        <v>42</v>
      </c>
      <c r="C141" s="76" t="s">
        <v>613</v>
      </c>
      <c r="D141" s="76" t="s">
        <v>118</v>
      </c>
      <c r="E141" s="77" t="s">
        <v>200</v>
      </c>
      <c r="F141" s="77" t="s">
        <v>711</v>
      </c>
      <c r="G141" s="77" t="str">
        <f t="shared" si="231"/>
        <v>1</v>
      </c>
      <c r="H141" s="77" t="str">
        <f t="shared" si="232"/>
        <v>0</v>
      </c>
      <c r="I141" s="77" t="str">
        <f t="shared" si="233"/>
        <v>0</v>
      </c>
      <c r="J141" s="77" t="str">
        <f t="shared" si="234"/>
        <v>0</v>
      </c>
      <c r="K141" s="77" t="str">
        <f t="shared" si="235"/>
        <v>1000</v>
      </c>
      <c r="L141" s="77" t="str">
        <f>IFERROR(VLOOKUP(K141,Sheet2!$A$20:$B$23,2,FALSE),"X")</f>
        <v>01</v>
      </c>
      <c r="M141" s="77" t="str">
        <f t="shared" si="227"/>
        <v>23951096Diagnostic Review 17-18</v>
      </c>
      <c r="N141" s="76" t="s">
        <v>161</v>
      </c>
      <c r="O141" s="76" t="s">
        <v>160</v>
      </c>
      <c r="P141" s="69" t="s">
        <v>168</v>
      </c>
      <c r="Q141" s="78">
        <v>43168</v>
      </c>
      <c r="R141" s="78">
        <v>43168</v>
      </c>
      <c r="S141" s="79">
        <v>50000</v>
      </c>
      <c r="AL141" s="79">
        <f>-2141-14306</f>
        <v>-16447</v>
      </c>
      <c r="AN141" s="79">
        <v>-9167</v>
      </c>
      <c r="AP141" s="79">
        <v>-5000</v>
      </c>
      <c r="AR141" s="79">
        <f>SUMIF($T$2:$AQ$2,$AR$2,$T141:$AQ141)</f>
        <v>-30614</v>
      </c>
      <c r="AS141" s="79">
        <f>SUMIF($T$2:$AQ$2,$AS$2,$T141:$AQ141)</f>
        <v>0</v>
      </c>
      <c r="AT141" s="79">
        <f>S141+(AR141+AS141)</f>
        <v>19386</v>
      </c>
      <c r="AV141" s="79"/>
      <c r="AZ141" s="79">
        <f>-1250-2591</f>
        <v>-3841</v>
      </c>
      <c r="BB141" s="79">
        <v>-13750</v>
      </c>
      <c r="BV141" s="79">
        <f t="shared" si="236"/>
        <v>-17591</v>
      </c>
      <c r="BW141" s="79">
        <f t="shared" si="237"/>
        <v>0</v>
      </c>
      <c r="BX141" s="79">
        <f t="shared" si="238"/>
        <v>1795</v>
      </c>
      <c r="DB141" s="79">
        <f t="shared" si="239"/>
        <v>0</v>
      </c>
      <c r="DC141" s="79">
        <f t="shared" si="240"/>
        <v>0</v>
      </c>
      <c r="DD141" s="79">
        <f t="shared" si="241"/>
        <v>0</v>
      </c>
      <c r="DE141" s="79">
        <f t="shared" si="242"/>
        <v>1795</v>
      </c>
      <c r="DP141" s="131"/>
      <c r="EJ141" s="79">
        <f t="shared" si="243"/>
        <v>0</v>
      </c>
      <c r="EK141" s="79">
        <f t="shared" si="244"/>
        <v>0</v>
      </c>
      <c r="EL141" s="79">
        <f t="shared" si="245"/>
        <v>0</v>
      </c>
      <c r="EM141" s="79">
        <f t="shared" si="230"/>
        <v>1795</v>
      </c>
      <c r="FI141" s="66">
        <f t="shared" si="246"/>
        <v>0</v>
      </c>
      <c r="FJ141" s="66">
        <f t="shared" si="247"/>
        <v>0</v>
      </c>
      <c r="FK141" s="66">
        <f t="shared" si="248"/>
        <v>0</v>
      </c>
      <c r="FL141" s="173">
        <f t="shared" si="249"/>
        <v>1795</v>
      </c>
    </row>
    <row r="142" spans="1:169" hidden="1" outlineLevel="1" x14ac:dyDescent="0.2">
      <c r="A142" s="76" t="s">
        <v>18</v>
      </c>
      <c r="B142" s="76" t="s">
        <v>43</v>
      </c>
      <c r="C142" s="76" t="s">
        <v>613</v>
      </c>
      <c r="D142" s="76" t="s">
        <v>119</v>
      </c>
      <c r="E142" s="77" t="s">
        <v>200</v>
      </c>
      <c r="F142" s="77" t="s">
        <v>711</v>
      </c>
      <c r="G142" s="77" t="str">
        <f t="shared" si="231"/>
        <v>1</v>
      </c>
      <c r="H142" s="77" t="str">
        <f t="shared" si="232"/>
        <v>0</v>
      </c>
      <c r="I142" s="77" t="str">
        <f t="shared" si="233"/>
        <v>0</v>
      </c>
      <c r="J142" s="77" t="str">
        <f t="shared" si="234"/>
        <v>0</v>
      </c>
      <c r="K142" s="77" t="str">
        <f t="shared" si="235"/>
        <v>1000</v>
      </c>
      <c r="L142" s="77" t="str">
        <f>IFERROR(VLOOKUP(K142,Sheet2!$A$20:$B$23,2,FALSE),"X")</f>
        <v>01</v>
      </c>
      <c r="M142" s="77" t="str">
        <f t="shared" si="227"/>
        <v>23951438Diagnostic Review 17-18</v>
      </c>
      <c r="N142" s="76" t="s">
        <v>161</v>
      </c>
      <c r="O142" s="76" t="s">
        <v>160</v>
      </c>
      <c r="P142" s="69" t="s">
        <v>168</v>
      </c>
      <c r="Q142" s="78">
        <v>43168</v>
      </c>
      <c r="R142" s="78">
        <v>43168</v>
      </c>
      <c r="S142" s="79">
        <v>50000</v>
      </c>
      <c r="AL142" s="79">
        <f>-11641-4130</f>
        <v>-15771</v>
      </c>
      <c r="AN142" s="79">
        <v>-11666</v>
      </c>
      <c r="AP142" s="79">
        <v>-2500</v>
      </c>
      <c r="AR142" s="79">
        <f>SUMIF($T$2:$AQ$2,$AR$2,$T142:$AQ142)</f>
        <v>-29937</v>
      </c>
      <c r="AS142" s="79">
        <f>SUMIF($T$2:$AQ$2,$AS$2,$T142:$AQ142)</f>
        <v>0</v>
      </c>
      <c r="AT142" s="79">
        <f>S142+(AR142+AS142)</f>
        <v>20063</v>
      </c>
      <c r="AV142" s="79"/>
      <c r="AZ142" s="79">
        <f>-4405-7643</f>
        <v>-12048</v>
      </c>
      <c r="BB142" s="79">
        <v>-8000</v>
      </c>
      <c r="BV142" s="79">
        <f t="shared" si="236"/>
        <v>-20048</v>
      </c>
      <c r="BW142" s="79">
        <f t="shared" si="237"/>
        <v>0</v>
      </c>
      <c r="BX142" s="79">
        <f t="shared" si="238"/>
        <v>15</v>
      </c>
      <c r="DB142" s="79">
        <f t="shared" si="239"/>
        <v>0</v>
      </c>
      <c r="DC142" s="79">
        <f t="shared" si="240"/>
        <v>0</v>
      </c>
      <c r="DD142" s="79">
        <f t="shared" si="241"/>
        <v>0</v>
      </c>
      <c r="DE142" s="79">
        <f t="shared" si="242"/>
        <v>15</v>
      </c>
      <c r="DP142" s="131"/>
      <c r="EJ142" s="79">
        <f t="shared" si="243"/>
        <v>0</v>
      </c>
      <c r="EK142" s="79">
        <f t="shared" si="244"/>
        <v>0</v>
      </c>
      <c r="EL142" s="79">
        <f t="shared" si="245"/>
        <v>0</v>
      </c>
      <c r="EM142" s="79">
        <f t="shared" si="230"/>
        <v>15</v>
      </c>
      <c r="FI142" s="66">
        <f t="shared" si="246"/>
        <v>0</v>
      </c>
      <c r="FJ142" s="66">
        <f t="shared" si="247"/>
        <v>0</v>
      </c>
      <c r="FK142" s="66">
        <f t="shared" si="248"/>
        <v>0</v>
      </c>
      <c r="FL142" s="173">
        <f t="shared" si="249"/>
        <v>15</v>
      </c>
    </row>
    <row r="143" spans="1:169" hidden="1" outlineLevel="1" x14ac:dyDescent="0.2">
      <c r="A143" s="76" t="s">
        <v>31</v>
      </c>
      <c r="B143" s="76" t="s">
        <v>87</v>
      </c>
      <c r="C143" s="76" t="s">
        <v>108</v>
      </c>
      <c r="D143" s="76" t="s">
        <v>158</v>
      </c>
      <c r="E143" s="77" t="s">
        <v>200</v>
      </c>
      <c r="F143" s="77" t="s">
        <v>711</v>
      </c>
      <c r="G143" s="77" t="str">
        <f t="shared" si="231"/>
        <v>1</v>
      </c>
      <c r="H143" s="77" t="str">
        <f t="shared" si="232"/>
        <v>0</v>
      </c>
      <c r="I143" s="77" t="str">
        <f t="shared" si="233"/>
        <v>0</v>
      </c>
      <c r="J143" s="77" t="str">
        <f t="shared" si="234"/>
        <v>0</v>
      </c>
      <c r="K143" s="77" t="str">
        <f t="shared" si="235"/>
        <v>1000</v>
      </c>
      <c r="L143" s="77" t="str">
        <f>IFERROR(VLOOKUP(K143,Sheet2!$A$20:$B$23,2,FALSE),"X")</f>
        <v>01</v>
      </c>
      <c r="M143" s="77" t="str">
        <f t="shared" si="227"/>
        <v>26007046Diagnostic Review 17-18</v>
      </c>
      <c r="N143" s="76" t="s">
        <v>161</v>
      </c>
      <c r="O143" s="76" t="s">
        <v>160</v>
      </c>
      <c r="P143" s="69" t="s">
        <v>168</v>
      </c>
      <c r="Q143" s="78">
        <v>43173</v>
      </c>
      <c r="R143" s="78">
        <v>43173</v>
      </c>
      <c r="S143" s="79">
        <v>19500</v>
      </c>
      <c r="AL143" s="79">
        <v>-12700</v>
      </c>
      <c r="AR143" s="79">
        <f>SUMIF($T$2:$AQ$2,$AR$2,$T143:$AQ143)</f>
        <v>-12700</v>
      </c>
      <c r="AS143" s="79">
        <f>SUMIF($T$2:$AQ$2,$AS$2,$T143:$AQ143)</f>
        <v>0</v>
      </c>
      <c r="AT143" s="79">
        <f>S143+(AR143+AS143)</f>
        <v>6800</v>
      </c>
      <c r="AV143" s="79"/>
      <c r="AZ143" s="79">
        <v>-4225</v>
      </c>
      <c r="BV143" s="79">
        <f t="shared" si="236"/>
        <v>-4225</v>
      </c>
      <c r="BW143" s="79">
        <f t="shared" si="237"/>
        <v>0</v>
      </c>
      <c r="BX143" s="79">
        <f t="shared" si="238"/>
        <v>2575</v>
      </c>
      <c r="DB143" s="79">
        <f t="shared" si="239"/>
        <v>0</v>
      </c>
      <c r="DC143" s="79">
        <f t="shared" si="240"/>
        <v>0</v>
      </c>
      <c r="DD143" s="79">
        <f t="shared" si="241"/>
        <v>0</v>
      </c>
      <c r="DE143" s="79">
        <f t="shared" si="242"/>
        <v>2575</v>
      </c>
      <c r="DP143" s="131"/>
      <c r="EJ143" s="79">
        <f t="shared" si="243"/>
        <v>0</v>
      </c>
      <c r="EK143" s="79">
        <f t="shared" si="244"/>
        <v>0</v>
      </c>
      <c r="EL143" s="79">
        <f t="shared" si="245"/>
        <v>0</v>
      </c>
      <c r="EM143" s="79">
        <f t="shared" si="230"/>
        <v>2575</v>
      </c>
      <c r="FI143" s="66">
        <f t="shared" si="246"/>
        <v>0</v>
      </c>
      <c r="FJ143" s="66">
        <f t="shared" si="247"/>
        <v>0</v>
      </c>
      <c r="FK143" s="66">
        <f t="shared" si="248"/>
        <v>0</v>
      </c>
      <c r="FL143" s="173">
        <f t="shared" si="249"/>
        <v>2575</v>
      </c>
    </row>
    <row r="144" spans="1:169" hidden="1" outlineLevel="1" x14ac:dyDescent="0.2">
      <c r="A144" s="76" t="s">
        <v>382</v>
      </c>
      <c r="B144" s="76" t="s">
        <v>364</v>
      </c>
      <c r="C144" s="76" t="s">
        <v>606</v>
      </c>
      <c r="D144" s="76" t="s">
        <v>592</v>
      </c>
      <c r="E144" s="77" t="s">
        <v>201</v>
      </c>
      <c r="F144" s="77" t="s">
        <v>711</v>
      </c>
      <c r="G144" s="77" t="str">
        <f t="shared" si="231"/>
        <v>0</v>
      </c>
      <c r="H144" s="77" t="str">
        <f t="shared" si="232"/>
        <v>1</v>
      </c>
      <c r="I144" s="77" t="str">
        <f t="shared" si="233"/>
        <v>0</v>
      </c>
      <c r="J144" s="77" t="str">
        <f t="shared" si="234"/>
        <v>0</v>
      </c>
      <c r="K144" s="77" t="str">
        <f t="shared" si="235"/>
        <v>0100</v>
      </c>
      <c r="L144" s="77" t="str">
        <f>IFERROR(VLOOKUP(K144,Sheet2!$A$20:$B$23,2,FALSE),"X")</f>
        <v>02</v>
      </c>
      <c r="M144" s="77" t="str">
        <f t="shared" si="227"/>
        <v>26400430Diagnostic Review 18-19</v>
      </c>
      <c r="O144" s="76" t="s">
        <v>160</v>
      </c>
      <c r="P144" s="69" t="s">
        <v>168</v>
      </c>
      <c r="Q144" s="78"/>
      <c r="R144" s="78"/>
      <c r="AU144" s="158" t="s">
        <v>336</v>
      </c>
      <c r="AV144" s="79"/>
      <c r="AW144" s="79">
        <v>63562</v>
      </c>
      <c r="BV144" s="79">
        <f t="shared" si="236"/>
        <v>0</v>
      </c>
      <c r="BW144" s="79">
        <f t="shared" si="237"/>
        <v>0</v>
      </c>
      <c r="BX144" s="79">
        <f t="shared" si="238"/>
        <v>63562</v>
      </c>
      <c r="DB144" s="79">
        <f t="shared" si="239"/>
        <v>0</v>
      </c>
      <c r="DC144" s="79">
        <f t="shared" si="240"/>
        <v>0</v>
      </c>
      <c r="DD144" s="79">
        <f t="shared" si="241"/>
        <v>0</v>
      </c>
      <c r="DE144" s="79">
        <f t="shared" si="242"/>
        <v>63562</v>
      </c>
      <c r="DP144" s="131"/>
      <c r="EJ144" s="79">
        <f t="shared" si="243"/>
        <v>0</v>
      </c>
      <c r="EK144" s="79">
        <f t="shared" si="244"/>
        <v>0</v>
      </c>
      <c r="EL144" s="79">
        <f t="shared" si="245"/>
        <v>0</v>
      </c>
      <c r="EM144" s="79">
        <f t="shared" si="230"/>
        <v>63562</v>
      </c>
      <c r="FI144" s="66">
        <f t="shared" si="246"/>
        <v>0</v>
      </c>
      <c r="FJ144" s="66">
        <f t="shared" si="247"/>
        <v>0</v>
      </c>
      <c r="FK144" s="66">
        <f t="shared" si="248"/>
        <v>0</v>
      </c>
      <c r="FL144" s="173">
        <f t="shared" si="249"/>
        <v>63562</v>
      </c>
    </row>
    <row r="145" spans="1:170" s="118" customFormat="1" hidden="1" outlineLevel="1" x14ac:dyDescent="0.2">
      <c r="A145" s="76" t="s">
        <v>19</v>
      </c>
      <c r="B145" s="76" t="s">
        <v>365</v>
      </c>
      <c r="C145" s="76" t="s">
        <v>98</v>
      </c>
      <c r="D145" s="76" t="s">
        <v>593</v>
      </c>
      <c r="E145" s="77" t="s">
        <v>201</v>
      </c>
      <c r="F145" s="77" t="s">
        <v>711</v>
      </c>
      <c r="G145" s="77" t="str">
        <f t="shared" si="231"/>
        <v>0</v>
      </c>
      <c r="H145" s="77" t="str">
        <f t="shared" si="232"/>
        <v>1</v>
      </c>
      <c r="I145" s="77" t="str">
        <f t="shared" si="233"/>
        <v>0</v>
      </c>
      <c r="J145" s="77" t="str">
        <f t="shared" si="234"/>
        <v>0</v>
      </c>
      <c r="K145" s="77" t="str">
        <f t="shared" si="235"/>
        <v>0100</v>
      </c>
      <c r="L145" s="77" t="str">
        <f>IFERROR(VLOOKUP(K145,Sheet2!$A$20:$B$23,2,FALSE),"X")</f>
        <v>02</v>
      </c>
      <c r="M145" s="77" t="str">
        <f t="shared" si="227"/>
        <v>26901488Diagnostic Review 18-19</v>
      </c>
      <c r="N145" s="76"/>
      <c r="O145" s="76" t="s">
        <v>160</v>
      </c>
      <c r="P145" s="69" t="s">
        <v>168</v>
      </c>
      <c r="Q145" s="78"/>
      <c r="R145" s="78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158" t="s">
        <v>336</v>
      </c>
      <c r="AV145" s="79"/>
      <c r="AW145" s="79">
        <v>49939</v>
      </c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>
        <f t="shared" si="236"/>
        <v>0</v>
      </c>
      <c r="BW145" s="79">
        <f t="shared" si="237"/>
        <v>0</v>
      </c>
      <c r="BX145" s="79">
        <f t="shared" si="238"/>
        <v>49939</v>
      </c>
      <c r="BY145" s="158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>
        <v>-20650</v>
      </c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>
        <f t="shared" si="239"/>
        <v>0</v>
      </c>
      <c r="DC145" s="79">
        <f t="shared" si="240"/>
        <v>-20650</v>
      </c>
      <c r="DD145" s="79">
        <f t="shared" si="241"/>
        <v>0</v>
      </c>
      <c r="DE145" s="79">
        <f t="shared" si="242"/>
        <v>29289</v>
      </c>
      <c r="DF145" s="158"/>
      <c r="DG145" s="79"/>
      <c r="DH145" s="79"/>
      <c r="DI145" s="79"/>
      <c r="DJ145" s="79"/>
      <c r="DK145" s="79"/>
      <c r="DL145" s="79"/>
      <c r="DM145" s="79"/>
      <c r="DN145" s="79"/>
      <c r="DO145" s="79"/>
      <c r="DP145" s="131"/>
      <c r="DQ145" s="79"/>
      <c r="DR145" s="79"/>
      <c r="DS145" s="79">
        <v>-19200</v>
      </c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131"/>
      <c r="EH145" s="79"/>
      <c r="EI145" s="79"/>
      <c r="EJ145" s="79">
        <f t="shared" si="243"/>
        <v>0</v>
      </c>
      <c r="EK145" s="79">
        <f t="shared" si="244"/>
        <v>-19200</v>
      </c>
      <c r="EL145" s="79">
        <f t="shared" si="245"/>
        <v>0</v>
      </c>
      <c r="EM145" s="79">
        <f t="shared" si="230"/>
        <v>10089</v>
      </c>
      <c r="EN145" s="79"/>
      <c r="EO145" s="79"/>
      <c r="EP145" s="79"/>
      <c r="EQ145" s="79"/>
      <c r="ER145" s="79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>
        <f t="shared" si="246"/>
        <v>0</v>
      </c>
      <c r="FJ145" s="66">
        <f t="shared" si="247"/>
        <v>0</v>
      </c>
      <c r="FK145" s="66">
        <f t="shared" si="248"/>
        <v>0</v>
      </c>
      <c r="FL145" s="173">
        <f t="shared" si="249"/>
        <v>10089</v>
      </c>
      <c r="FM145" s="93"/>
      <c r="FN145" s="76"/>
    </row>
    <row r="146" spans="1:170" s="118" customFormat="1" hidden="1" outlineLevel="1" x14ac:dyDescent="0.2">
      <c r="A146" s="119" t="s">
        <v>332</v>
      </c>
      <c r="B146" s="119" t="s">
        <v>768</v>
      </c>
      <c r="C146" s="118" t="s">
        <v>334</v>
      </c>
      <c r="D146" s="118" t="s">
        <v>769</v>
      </c>
      <c r="E146" s="119" t="s">
        <v>203</v>
      </c>
      <c r="F146" s="119"/>
      <c r="G146" s="119"/>
      <c r="H146" s="119"/>
      <c r="I146" s="119"/>
      <c r="J146" s="119"/>
      <c r="K146" s="119"/>
      <c r="L146" s="119"/>
      <c r="M146" s="119" t="str">
        <f t="shared" si="227"/>
        <v>27406030Diagnostic Review 20-21</v>
      </c>
      <c r="O146" s="119" t="s">
        <v>160</v>
      </c>
      <c r="P146" s="120"/>
      <c r="Q146" s="121"/>
      <c r="R146" s="121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60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60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60"/>
      <c r="DG146" s="122"/>
      <c r="DH146" s="122"/>
      <c r="DI146" s="122"/>
      <c r="DJ146" s="122">
        <v>6084</v>
      </c>
      <c r="DK146" s="122"/>
      <c r="DL146" s="122"/>
      <c r="DM146" s="122"/>
      <c r="DN146" s="122"/>
      <c r="DO146" s="122"/>
      <c r="DP146" s="122"/>
      <c r="DQ146" s="122"/>
      <c r="DR146" s="122"/>
      <c r="DS146" s="122"/>
      <c r="DT146" s="122"/>
      <c r="DU146" s="122"/>
      <c r="DV146" s="122"/>
      <c r="DW146" s="122"/>
      <c r="DX146" s="122"/>
      <c r="DY146" s="122"/>
      <c r="DZ146" s="122"/>
      <c r="EA146" s="122"/>
      <c r="EB146" s="122"/>
      <c r="EC146" s="122"/>
      <c r="ED146" s="122"/>
      <c r="EE146" s="122"/>
      <c r="EF146" s="122"/>
      <c r="EG146" s="131"/>
      <c r="EH146" s="122"/>
      <c r="EI146" s="122"/>
      <c r="EJ146" s="122"/>
      <c r="EK146" s="122"/>
      <c r="EL146" s="122"/>
      <c r="EM146" s="122">
        <f t="shared" si="230"/>
        <v>6084</v>
      </c>
      <c r="EN146" s="122"/>
      <c r="EO146" s="122"/>
      <c r="EP146" s="122"/>
      <c r="EQ146" s="122">
        <v>13916</v>
      </c>
      <c r="ER146" s="122"/>
      <c r="ES146" s="126"/>
      <c r="ET146" s="126"/>
      <c r="EU146" s="126">
        <v>-3034.73</v>
      </c>
      <c r="EV146" s="66"/>
      <c r="EW146" s="126"/>
      <c r="EX146" s="126"/>
      <c r="EY146" s="144">
        <v>-1528.81</v>
      </c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66">
        <f t="shared" si="246"/>
        <v>0</v>
      </c>
      <c r="FJ146" s="66">
        <f t="shared" si="247"/>
        <v>0</v>
      </c>
      <c r="FK146" s="66">
        <f t="shared" si="248"/>
        <v>-4563.54</v>
      </c>
      <c r="FL146" s="173">
        <f t="shared" si="249"/>
        <v>15436.46</v>
      </c>
      <c r="FM146" s="123"/>
    </row>
    <row r="147" spans="1:170" hidden="1" outlineLevel="1" x14ac:dyDescent="0.2">
      <c r="A147" s="76" t="s">
        <v>20</v>
      </c>
      <c r="B147" s="76" t="s">
        <v>45</v>
      </c>
      <c r="C147" s="76" t="s">
        <v>99</v>
      </c>
      <c r="D147" s="76" t="s">
        <v>121</v>
      </c>
      <c r="E147" s="77" t="s">
        <v>200</v>
      </c>
      <c r="F147" s="77" t="s">
        <v>711</v>
      </c>
      <c r="G147" s="77" t="str">
        <f>IF(S147&gt;0, "1", "0")</f>
        <v>1</v>
      </c>
      <c r="H147" s="77" t="str">
        <f>IF(AW147&gt;0, "1", "0")</f>
        <v>0</v>
      </c>
      <c r="I147" s="77" t="str">
        <f>IF(CC147&gt;0, "1", "0")</f>
        <v>0</v>
      </c>
      <c r="J147" s="77" t="str">
        <f>IF(DJ147&gt;0, "1", "0")</f>
        <v>0</v>
      </c>
      <c r="K147" s="77" t="str">
        <f>CONCATENATE(G147,H147,I147,J147)</f>
        <v>1000</v>
      </c>
      <c r="L147" s="77" t="str">
        <f>IFERROR(VLOOKUP(K147,Sheet2!$A$20:$B$23,2,FALSE),"X")</f>
        <v>01</v>
      </c>
      <c r="M147" s="77" t="str">
        <f t="shared" si="227"/>
        <v>27602522Diagnostic Review 17-18</v>
      </c>
      <c r="N147" s="76" t="s">
        <v>161</v>
      </c>
      <c r="O147" s="76" t="s">
        <v>160</v>
      </c>
      <c r="P147" s="69" t="s">
        <v>168</v>
      </c>
      <c r="Q147" s="78">
        <v>43168</v>
      </c>
      <c r="R147" s="78">
        <v>43168</v>
      </c>
      <c r="S147" s="79">
        <v>50000</v>
      </c>
      <c r="AR147" s="79">
        <f>SUMIF($T$2:$AQ$2,$AR$2,$T147:$AQ147)</f>
        <v>0</v>
      </c>
      <c r="AS147" s="79">
        <f>SUMIF($T$2:$AQ$2,$AS$2,$T147:$AQ147)</f>
        <v>0</v>
      </c>
      <c r="AT147" s="79">
        <f>S147+(AR147+AS147)</f>
        <v>50000</v>
      </c>
      <c r="AV147" s="79"/>
      <c r="AX147" s="79">
        <v>-18000</v>
      </c>
      <c r="BD147" s="79">
        <v>-25910</v>
      </c>
      <c r="BV147" s="79">
        <f>SUMIF($AX$2:$BU$2,$BV$2,$AX147:$BU147)</f>
        <v>-43910</v>
      </c>
      <c r="BW147" s="79">
        <f>SUMIF($AX$2:$BU$2,$BW$2,$AX147:$BU147)</f>
        <v>0</v>
      </c>
      <c r="BX147" s="79">
        <f>AT147+AV147+AW147+(BV147+BW147)</f>
        <v>6090</v>
      </c>
      <c r="CZ147" s="79">
        <v>-6090</v>
      </c>
      <c r="DB147" s="79">
        <f>SUMIF($CD$2:$DA$2,$DB$2,$CD147:$DA147)</f>
        <v>0</v>
      </c>
      <c r="DC147" s="79">
        <f>SUMIF($CD$2:$DA$2,$DC$2,$CD147:$DA147)</f>
        <v>-6090</v>
      </c>
      <c r="DD147" s="79">
        <f>SUMIF($CD$2:$DA$2,$DD$2,$CD147:$DA147)</f>
        <v>0</v>
      </c>
      <c r="DE147" s="79">
        <f>BX147+CA147+BZ147+CC147+(DB147+DC147+DD147)</f>
        <v>0</v>
      </c>
      <c r="DP147" s="131"/>
      <c r="EJ147" s="79">
        <f>SUMIF($DK$2:$EI$2,$EJ$2,$DK147:$EI147)</f>
        <v>0</v>
      </c>
      <c r="EK147" s="79">
        <f>SUMIF($DK$2:$EI$2,$EK$2,$DK147:$EI147)</f>
        <v>0</v>
      </c>
      <c r="EL147" s="79">
        <f>SUMIF($DK$2:$EI$2,$EL$2,$DK147:$EI147)</f>
        <v>0</v>
      </c>
      <c r="EM147" s="79">
        <f t="shared" si="230"/>
        <v>0</v>
      </c>
      <c r="FI147" s="66">
        <f t="shared" si="246"/>
        <v>0</v>
      </c>
      <c r="FJ147" s="66">
        <f t="shared" si="247"/>
        <v>0</v>
      </c>
      <c r="FK147" s="66">
        <f t="shared" si="248"/>
        <v>0</v>
      </c>
      <c r="FL147" s="173">
        <f t="shared" si="249"/>
        <v>0</v>
      </c>
    </row>
    <row r="148" spans="1:170" s="118" customFormat="1" hidden="1" outlineLevel="1" x14ac:dyDescent="0.2">
      <c r="A148" s="118" t="s">
        <v>702</v>
      </c>
      <c r="B148" s="118" t="s">
        <v>703</v>
      </c>
      <c r="C148" s="118" t="s">
        <v>704</v>
      </c>
      <c r="D148" s="118" t="s">
        <v>705</v>
      </c>
      <c r="E148" s="119" t="s">
        <v>203</v>
      </c>
      <c r="F148" s="119"/>
      <c r="G148" s="119"/>
      <c r="H148" s="119"/>
      <c r="I148" s="119"/>
      <c r="J148" s="119"/>
      <c r="K148" s="119"/>
      <c r="L148" s="119"/>
      <c r="M148" s="119" t="str">
        <f t="shared" si="227"/>
        <v>27709757Diagnostic Review 20-21</v>
      </c>
      <c r="O148" s="119" t="s">
        <v>160</v>
      </c>
      <c r="P148" s="120"/>
      <c r="Q148" s="121"/>
      <c r="R148" s="121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60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60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60"/>
      <c r="DG148" s="122"/>
      <c r="DH148" s="122"/>
      <c r="DI148" s="122"/>
      <c r="DJ148" s="122">
        <v>30000</v>
      </c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31"/>
      <c r="EH148" s="122"/>
      <c r="EI148" s="122"/>
      <c r="EJ148" s="122"/>
      <c r="EK148" s="122"/>
      <c r="EL148" s="122"/>
      <c r="EM148" s="122">
        <f t="shared" si="230"/>
        <v>30000</v>
      </c>
      <c r="EN148" s="122"/>
      <c r="EO148" s="122"/>
      <c r="EP148" s="122"/>
      <c r="EQ148" s="122">
        <v>10000</v>
      </c>
      <c r="ER148" s="122"/>
      <c r="ES148" s="126"/>
      <c r="ET148" s="126"/>
      <c r="EU148" s="126">
        <v>-28841.67</v>
      </c>
      <c r="EV148" s="66"/>
      <c r="EW148" s="126"/>
      <c r="EX148" s="126"/>
      <c r="EY148" s="126"/>
      <c r="EZ148" s="126"/>
      <c r="FA148" s="126"/>
      <c r="FB148" s="126"/>
      <c r="FC148" s="126"/>
      <c r="FD148" s="126"/>
      <c r="FE148" s="126"/>
      <c r="FF148" s="126"/>
      <c r="FG148" s="126"/>
      <c r="FH148" s="126"/>
      <c r="FI148" s="66">
        <f t="shared" si="246"/>
        <v>0</v>
      </c>
      <c r="FJ148" s="66">
        <f t="shared" si="247"/>
        <v>0</v>
      </c>
      <c r="FK148" s="66">
        <f t="shared" si="248"/>
        <v>-28841.67</v>
      </c>
      <c r="FL148" s="173">
        <f t="shared" si="249"/>
        <v>11158.330000000002</v>
      </c>
      <c r="FM148" s="123"/>
    </row>
    <row r="149" spans="1:170" hidden="1" outlineLevel="1" x14ac:dyDescent="0.2">
      <c r="A149" s="76" t="s">
        <v>383</v>
      </c>
      <c r="B149" s="76" t="s">
        <v>366</v>
      </c>
      <c r="C149" s="76" t="s">
        <v>607</v>
      </c>
      <c r="D149" s="76" t="s">
        <v>594</v>
      </c>
      <c r="E149" s="77" t="s">
        <v>201</v>
      </c>
      <c r="F149" s="77" t="s">
        <v>711</v>
      </c>
      <c r="G149" s="77" t="str">
        <f>IF(S149&gt;0, "1", "0")</f>
        <v>0</v>
      </c>
      <c r="H149" s="77" t="str">
        <f>IF(AW149&gt;0, "1", "0")</f>
        <v>1</v>
      </c>
      <c r="I149" s="77" t="str">
        <f>IF(CC149&gt;0, "1", "0")</f>
        <v>0</v>
      </c>
      <c r="J149" s="77" t="str">
        <f>IF(DJ149&gt;0, "1", "0")</f>
        <v>0</v>
      </c>
      <c r="K149" s="77" t="str">
        <f>CONCATENATE(G149,H149,I149,J149)</f>
        <v>0100</v>
      </c>
      <c r="L149" s="77" t="str">
        <f>IFERROR(VLOOKUP(K149,Sheet2!$A$20:$B$23,2,FALSE),"X")</f>
        <v>02</v>
      </c>
      <c r="M149" s="77" t="str">
        <f t="shared" si="227"/>
        <v>30008372Diagnostic Review 18-19</v>
      </c>
      <c r="O149" s="76" t="s">
        <v>160</v>
      </c>
      <c r="P149" s="69" t="s">
        <v>168</v>
      </c>
      <c r="Q149" s="78"/>
      <c r="R149" s="78"/>
      <c r="AU149" s="158" t="s">
        <v>336</v>
      </c>
      <c r="AV149" s="79"/>
      <c r="AW149" s="79">
        <v>55050</v>
      </c>
      <c r="BT149" s="79">
        <v>-20973</v>
      </c>
      <c r="BV149" s="79">
        <f t="shared" ref="BV149:BV159" si="250">SUMIF($AX$2:$BU$2,$BV$2,$AX149:$BU149)</f>
        <v>-20973</v>
      </c>
      <c r="BW149" s="79">
        <f t="shared" ref="BW149:BW159" si="251">SUMIF($AX$2:$BU$2,$BW$2,$AX149:$BU149)</f>
        <v>0</v>
      </c>
      <c r="BX149" s="79">
        <f>AT149+AV149+AW149+(BV149+BW149)</f>
        <v>34077</v>
      </c>
      <c r="CP149" s="79">
        <v>-19500</v>
      </c>
      <c r="CT149" s="79">
        <v>-5125</v>
      </c>
      <c r="DB149" s="79">
        <f t="shared" ref="DB149:DB159" si="252">SUMIF($CD$2:$DA$2,$DB$2,$CD149:$DA149)</f>
        <v>0</v>
      </c>
      <c r="DC149" s="79">
        <f t="shared" ref="DC149:DC159" si="253">SUMIF($CD$2:$DA$2,$DC$2,$CD149:$DA149)</f>
        <v>-24625</v>
      </c>
      <c r="DD149" s="79">
        <f t="shared" ref="DD149:DD159" si="254">SUMIF($CD$2:$DA$2,$DD$2,$CD149:$DA149)</f>
        <v>0</v>
      </c>
      <c r="DE149" s="79">
        <f>BX149+CA149+BZ149+CC149+(DB149+DC149+DD149)</f>
        <v>9452</v>
      </c>
      <c r="DP149" s="131"/>
      <c r="EJ149" s="79">
        <f t="shared" ref="EJ149:EJ159" si="255">SUMIF($DK$2:$EI$2,$EJ$2,$DK149:$EI149)</f>
        <v>0</v>
      </c>
      <c r="EK149" s="79">
        <f t="shared" ref="EK149:EK159" si="256">SUMIF($DK$2:$EI$2,$EK$2,$DK149:$EI149)</f>
        <v>0</v>
      </c>
      <c r="EL149" s="79">
        <f t="shared" ref="EL149:EL159" si="257">SUMIF($DK$2:$EI$2,$EL$2,$DK149:$EI149)</f>
        <v>0</v>
      </c>
      <c r="EM149" s="79">
        <f t="shared" si="230"/>
        <v>9452</v>
      </c>
      <c r="FI149" s="66">
        <f t="shared" si="246"/>
        <v>0</v>
      </c>
      <c r="FJ149" s="66">
        <f t="shared" si="247"/>
        <v>0</v>
      </c>
      <c r="FK149" s="66">
        <f t="shared" si="248"/>
        <v>0</v>
      </c>
      <c r="FL149" s="173">
        <f t="shared" si="249"/>
        <v>9452</v>
      </c>
    </row>
    <row r="150" spans="1:170" hidden="1" outlineLevel="1" x14ac:dyDescent="0.2">
      <c r="A150" s="76" t="s">
        <v>383</v>
      </c>
      <c r="B150" s="76" t="s">
        <v>367</v>
      </c>
      <c r="C150" s="76" t="s">
        <v>607</v>
      </c>
      <c r="D150" s="76" t="s">
        <v>595</v>
      </c>
      <c r="E150" s="77" t="s">
        <v>201</v>
      </c>
      <c r="F150" s="77" t="s">
        <v>711</v>
      </c>
      <c r="G150" s="77" t="str">
        <f>IF(S150&gt;0, "1", "0")</f>
        <v>0</v>
      </c>
      <c r="H150" s="77" t="str">
        <f>IF(AW150&gt;0, "1", "0")</f>
        <v>1</v>
      </c>
      <c r="I150" s="77" t="str">
        <f>IF(CC150&gt;0, "1", "0")</f>
        <v>0</v>
      </c>
      <c r="J150" s="77" t="str">
        <f>IF(DJ150&gt;0, "1", "0")</f>
        <v>0</v>
      </c>
      <c r="K150" s="77" t="str">
        <f>CONCATENATE(G150,H150,I150,J150)</f>
        <v>0100</v>
      </c>
      <c r="L150" s="77" t="str">
        <f>IFERROR(VLOOKUP(K150,Sheet2!$A$20:$B$23,2,FALSE),"X")</f>
        <v>02</v>
      </c>
      <c r="M150" s="77" t="str">
        <f t="shared" si="227"/>
        <v>30008376Diagnostic Review 18-19</v>
      </c>
      <c r="O150" s="76" t="s">
        <v>160</v>
      </c>
      <c r="P150" s="69" t="s">
        <v>168</v>
      </c>
      <c r="Q150" s="78"/>
      <c r="R150" s="78"/>
      <c r="AU150" s="158" t="s">
        <v>336</v>
      </c>
      <c r="AV150" s="79"/>
      <c r="AW150" s="79">
        <v>56750</v>
      </c>
      <c r="BT150" s="79">
        <v>-22220</v>
      </c>
      <c r="BV150" s="79">
        <f t="shared" si="250"/>
        <v>-22220</v>
      </c>
      <c r="BW150" s="79">
        <f t="shared" si="251"/>
        <v>0</v>
      </c>
      <c r="BX150" s="79">
        <f>AT150+AV150+AW150+(BV150+BW150)</f>
        <v>34530</v>
      </c>
      <c r="CP150" s="79">
        <v>-19500</v>
      </c>
      <c r="CT150" s="79">
        <v>-5125</v>
      </c>
      <c r="CZ150" s="79">
        <v>-577.65</v>
      </c>
      <c r="DB150" s="79">
        <f t="shared" si="252"/>
        <v>0</v>
      </c>
      <c r="DC150" s="79">
        <f t="shared" si="253"/>
        <v>-25202.65</v>
      </c>
      <c r="DD150" s="79">
        <f t="shared" si="254"/>
        <v>0</v>
      </c>
      <c r="DE150" s="79">
        <f>BX150+CA150+BZ150+CC150+(DB150+DC150+DD150)</f>
        <v>9327.3499999999985</v>
      </c>
      <c r="DM150" s="79">
        <v>-9327.35</v>
      </c>
      <c r="DP150" s="131"/>
      <c r="EJ150" s="79">
        <f t="shared" si="255"/>
        <v>0</v>
      </c>
      <c r="EK150" s="79">
        <f t="shared" si="256"/>
        <v>-9327.35</v>
      </c>
      <c r="EL150" s="79">
        <f t="shared" si="257"/>
        <v>0</v>
      </c>
      <c r="EM150" s="79">
        <f t="shared" si="230"/>
        <v>0</v>
      </c>
      <c r="FI150" s="66">
        <f t="shared" si="246"/>
        <v>0</v>
      </c>
      <c r="FJ150" s="66">
        <f t="shared" si="247"/>
        <v>0</v>
      </c>
      <c r="FK150" s="66">
        <f t="shared" si="248"/>
        <v>0</v>
      </c>
      <c r="FL150" s="173">
        <f t="shared" si="249"/>
        <v>0</v>
      </c>
    </row>
    <row r="151" spans="1:170" hidden="1" outlineLevel="1" x14ac:dyDescent="0.2">
      <c r="A151" s="76" t="s">
        <v>384</v>
      </c>
      <c r="B151" s="76" t="s">
        <v>368</v>
      </c>
      <c r="C151" s="76" t="s">
        <v>608</v>
      </c>
      <c r="D151" s="76" t="s">
        <v>596</v>
      </c>
      <c r="E151" s="77" t="s">
        <v>201</v>
      </c>
      <c r="F151" s="77" t="s">
        <v>711</v>
      </c>
      <c r="G151" s="77" t="str">
        <f>IF(S151&gt;0, "1", "0")</f>
        <v>0</v>
      </c>
      <c r="H151" s="77" t="str">
        <f>IF(AW151&gt;0, "1", "0")</f>
        <v>1</v>
      </c>
      <c r="I151" s="77" t="str">
        <f>IF(CC151&gt;0, "1", "0")</f>
        <v>0</v>
      </c>
      <c r="J151" s="77" t="str">
        <f>IF(DJ151&gt;0, "1", "0")</f>
        <v>0</v>
      </c>
      <c r="K151" s="77" t="str">
        <f>CONCATENATE(G151,H151,I151,J151)</f>
        <v>0100</v>
      </c>
      <c r="L151" s="77" t="str">
        <f>IFERROR(VLOOKUP(K151,Sheet2!$A$20:$B$23,2,FALSE),"X")</f>
        <v>02</v>
      </c>
      <c r="M151" s="77" t="str">
        <f t="shared" si="227"/>
        <v>31106963Diagnostic Review 18-19</v>
      </c>
      <c r="O151" s="76" t="s">
        <v>160</v>
      </c>
      <c r="P151" s="69" t="s">
        <v>168</v>
      </c>
      <c r="Q151" s="78"/>
      <c r="R151" s="78"/>
      <c r="AU151" s="158" t="s">
        <v>336</v>
      </c>
      <c r="AV151" s="79"/>
      <c r="AW151" s="79">
        <v>49968</v>
      </c>
      <c r="BP151" s="79">
        <v>-20100</v>
      </c>
      <c r="BV151" s="79">
        <f t="shared" si="250"/>
        <v>-20100</v>
      </c>
      <c r="BW151" s="79">
        <f t="shared" si="251"/>
        <v>0</v>
      </c>
      <c r="BX151" s="79">
        <f>AT151+AV151+AW151+(BV151+BW151)</f>
        <v>29868</v>
      </c>
      <c r="CD151" s="79">
        <v>-20405</v>
      </c>
      <c r="CH151" s="79">
        <f>-162-6187</f>
        <v>-6349</v>
      </c>
      <c r="CL151" s="79">
        <v>-911</v>
      </c>
      <c r="DB151" s="79">
        <f t="shared" si="252"/>
        <v>-20405</v>
      </c>
      <c r="DC151" s="79">
        <f t="shared" si="253"/>
        <v>-7260</v>
      </c>
      <c r="DD151" s="79">
        <f t="shared" si="254"/>
        <v>0</v>
      </c>
      <c r="DE151" s="79">
        <f>BX151+CA151+BZ151+CC151+(DB151+DC151+DD151)</f>
        <v>2203</v>
      </c>
      <c r="DP151" s="131"/>
      <c r="EJ151" s="79">
        <f t="shared" si="255"/>
        <v>0</v>
      </c>
      <c r="EK151" s="79">
        <f t="shared" si="256"/>
        <v>0</v>
      </c>
      <c r="EL151" s="79">
        <f t="shared" si="257"/>
        <v>0</v>
      </c>
      <c r="EM151" s="79">
        <f t="shared" si="230"/>
        <v>2203</v>
      </c>
      <c r="FI151" s="66">
        <f t="shared" si="246"/>
        <v>0</v>
      </c>
      <c r="FJ151" s="66">
        <f t="shared" si="247"/>
        <v>0</v>
      </c>
      <c r="FK151" s="66">
        <f t="shared" si="248"/>
        <v>0</v>
      </c>
      <c r="FL151" s="173">
        <f t="shared" si="249"/>
        <v>2203</v>
      </c>
    </row>
    <row r="152" spans="1:170" hidden="1" outlineLevel="1" x14ac:dyDescent="0.2">
      <c r="A152" s="76" t="s">
        <v>21</v>
      </c>
      <c r="B152" s="76" t="s">
        <v>46</v>
      </c>
      <c r="C152" s="76" t="s">
        <v>100</v>
      </c>
      <c r="D152" s="76" t="s">
        <v>122</v>
      </c>
      <c r="E152" s="77" t="s">
        <v>200</v>
      </c>
      <c r="F152" s="77" t="s">
        <v>711</v>
      </c>
      <c r="G152" s="77" t="str">
        <f>IF(S152&gt;0, "1", "0")</f>
        <v>1</v>
      </c>
      <c r="H152" s="77" t="str">
        <f>IF(AW152&gt;0, "1", "0")</f>
        <v>0</v>
      </c>
      <c r="I152" s="77" t="str">
        <f>IF(CC152&gt;0, "1", "0")</f>
        <v>0</v>
      </c>
      <c r="J152" s="77" t="str">
        <f>IF(DJ152&gt;0, "1", "0")</f>
        <v>0</v>
      </c>
      <c r="K152" s="77" t="str">
        <f>CONCATENATE(G152,H152,I152,J152)</f>
        <v>1000</v>
      </c>
      <c r="L152" s="77" t="str">
        <f>IFERROR(VLOOKUP(K152,Sheet2!$A$20:$B$23,2,FALSE),"X")</f>
        <v>01</v>
      </c>
      <c r="M152" s="77" t="str">
        <f t="shared" si="227"/>
        <v>31200052Diagnostic Review 17-18</v>
      </c>
      <c r="N152" s="76" t="s">
        <v>161</v>
      </c>
      <c r="O152" s="76" t="s">
        <v>160</v>
      </c>
      <c r="P152" s="69" t="s">
        <v>168</v>
      </c>
      <c r="Q152" s="78">
        <v>43168</v>
      </c>
      <c r="R152" s="78">
        <v>43168</v>
      </c>
      <c r="S152" s="79">
        <v>38104</v>
      </c>
      <c r="AL152" s="79">
        <v>-28534</v>
      </c>
      <c r="AN152" s="79">
        <v>-1347</v>
      </c>
      <c r="AR152" s="79">
        <f>SUMIF($T$2:$AQ$2,$AR$2,$T152:$AQ152)</f>
        <v>-29881</v>
      </c>
      <c r="AS152" s="79">
        <f>SUMIF($T$2:$AQ$2,$AS$2,$T152:$AQ152)</f>
        <v>0</v>
      </c>
      <c r="AT152" s="79">
        <f>S152+(AR152+AS152)</f>
        <v>8223</v>
      </c>
      <c r="AV152" s="79"/>
      <c r="BB152" s="79">
        <v>-8223</v>
      </c>
      <c r="BV152" s="79">
        <f t="shared" si="250"/>
        <v>-8223</v>
      </c>
      <c r="BW152" s="79">
        <f t="shared" si="251"/>
        <v>0</v>
      </c>
      <c r="BX152" s="79">
        <f>AT152+AV152+AW152+(BV152+BW152)</f>
        <v>0</v>
      </c>
      <c r="DB152" s="79">
        <f t="shared" si="252"/>
        <v>0</v>
      </c>
      <c r="DC152" s="79">
        <f t="shared" si="253"/>
        <v>0</v>
      </c>
      <c r="DD152" s="79">
        <f t="shared" si="254"/>
        <v>0</v>
      </c>
      <c r="DE152" s="79">
        <f>BX152+CA152+BZ152+CC152+(DB152+DC152+DD152)</f>
        <v>0</v>
      </c>
      <c r="DP152" s="131"/>
      <c r="EJ152" s="79">
        <f t="shared" si="255"/>
        <v>0</v>
      </c>
      <c r="EK152" s="79">
        <f t="shared" si="256"/>
        <v>0</v>
      </c>
      <c r="EL152" s="79">
        <f t="shared" si="257"/>
        <v>0</v>
      </c>
      <c r="EM152" s="79">
        <f t="shared" si="230"/>
        <v>0</v>
      </c>
      <c r="FI152" s="66">
        <f t="shared" si="246"/>
        <v>0</v>
      </c>
      <c r="FJ152" s="66">
        <f t="shared" si="247"/>
        <v>0</v>
      </c>
      <c r="FK152" s="66">
        <f t="shared" si="248"/>
        <v>0</v>
      </c>
      <c r="FL152" s="173">
        <f t="shared" si="249"/>
        <v>0</v>
      </c>
    </row>
    <row r="153" spans="1:170" hidden="1" outlineLevel="1" x14ac:dyDescent="0.2">
      <c r="A153" s="76" t="s">
        <v>21</v>
      </c>
      <c r="B153" s="76" t="s">
        <v>47</v>
      </c>
      <c r="C153" s="76" t="s">
        <v>100</v>
      </c>
      <c r="D153" s="76" t="s">
        <v>123</v>
      </c>
      <c r="E153" s="77" t="s">
        <v>200</v>
      </c>
      <c r="F153" s="77" t="s">
        <v>711</v>
      </c>
      <c r="G153" s="77" t="str">
        <f>IF(S153&gt;0, "1", "0")</f>
        <v>1</v>
      </c>
      <c r="H153" s="77" t="str">
        <f>IF(AW153&gt;0, "1", "0")</f>
        <v>0</v>
      </c>
      <c r="I153" s="77" t="str">
        <f>IF(CC153&gt;0, "1", "0")</f>
        <v>0</v>
      </c>
      <c r="J153" s="77" t="str">
        <f>IF(DJ153&gt;0, "1", "0")</f>
        <v>0</v>
      </c>
      <c r="K153" s="77" t="str">
        <f>CONCATENATE(G153,H153,I153,J153)</f>
        <v>1000</v>
      </c>
      <c r="L153" s="77" t="str">
        <f>IFERROR(VLOOKUP(K153,Sheet2!$A$20:$B$23,2,FALSE),"X")</f>
        <v>01</v>
      </c>
      <c r="M153" s="77" t="str">
        <f t="shared" si="227"/>
        <v>31207700Diagnostic Review 17-18</v>
      </c>
      <c r="N153" s="76" t="s">
        <v>161</v>
      </c>
      <c r="O153" s="76" t="s">
        <v>160</v>
      </c>
      <c r="P153" s="69" t="s">
        <v>168</v>
      </c>
      <c r="Q153" s="78">
        <v>43168</v>
      </c>
      <c r="R153" s="78">
        <v>43168</v>
      </c>
      <c r="S153" s="79">
        <v>50000</v>
      </c>
      <c r="AL153" s="79">
        <v>-28534</v>
      </c>
      <c r="AN153" s="79">
        <v>-686</v>
      </c>
      <c r="AR153" s="79">
        <f>SUMIF($T$2:$AQ$2,$AR$2,$T153:$AQ153)</f>
        <v>-29220</v>
      </c>
      <c r="AS153" s="79">
        <f>SUMIF($T$2:$AQ$2,$AS$2,$T153:$AQ153)</f>
        <v>0</v>
      </c>
      <c r="AT153" s="79">
        <f>S153+(AR153+AS153)</f>
        <v>20780</v>
      </c>
      <c r="AV153" s="79"/>
      <c r="BB153" s="79">
        <v>-6968</v>
      </c>
      <c r="BD153" s="79">
        <v>-13812</v>
      </c>
      <c r="BV153" s="79">
        <f t="shared" si="250"/>
        <v>-20780</v>
      </c>
      <c r="BW153" s="79">
        <f t="shared" si="251"/>
        <v>0</v>
      </c>
      <c r="BX153" s="79">
        <f>AT153+AV153+AW153+(BV153+BW153)</f>
        <v>0</v>
      </c>
      <c r="DB153" s="79">
        <f t="shared" si="252"/>
        <v>0</v>
      </c>
      <c r="DC153" s="79">
        <f t="shared" si="253"/>
        <v>0</v>
      </c>
      <c r="DD153" s="79">
        <f t="shared" si="254"/>
        <v>0</v>
      </c>
      <c r="DE153" s="79">
        <f>BX153+CA153+BZ153+CC153+(DB153+DC153+DD153)</f>
        <v>0</v>
      </c>
      <c r="DP153" s="131"/>
      <c r="EJ153" s="79">
        <f t="shared" si="255"/>
        <v>0</v>
      </c>
      <c r="EK153" s="79">
        <f t="shared" si="256"/>
        <v>0</v>
      </c>
      <c r="EL153" s="79">
        <f t="shared" si="257"/>
        <v>0</v>
      </c>
      <c r="EM153" s="79">
        <f t="shared" si="230"/>
        <v>0</v>
      </c>
      <c r="FI153" s="66">
        <f t="shared" si="246"/>
        <v>0</v>
      </c>
      <c r="FJ153" s="66">
        <f t="shared" si="247"/>
        <v>0</v>
      </c>
      <c r="FK153" s="66">
        <f t="shared" si="248"/>
        <v>0</v>
      </c>
      <c r="FL153" s="173">
        <f t="shared" si="249"/>
        <v>0</v>
      </c>
    </row>
    <row r="154" spans="1:170" hidden="1" outlineLevel="1" x14ac:dyDescent="0.2">
      <c r="A154" s="76" t="s">
        <v>21</v>
      </c>
      <c r="B154" s="76" t="s">
        <v>369</v>
      </c>
      <c r="C154" s="76" t="s">
        <v>100</v>
      </c>
      <c r="D154" s="76" t="s">
        <v>597</v>
      </c>
      <c r="E154" s="77" t="s">
        <v>201</v>
      </c>
      <c r="F154" s="77" t="s">
        <v>711</v>
      </c>
      <c r="G154" s="77" t="str">
        <f t="shared" ref="G154:G159" si="258">IF(S154&gt;0, "1", "0")</f>
        <v>0</v>
      </c>
      <c r="H154" s="77" t="str">
        <f t="shared" ref="H154:H159" si="259">IF(AW154&gt;0, "1", "0")</f>
        <v>1</v>
      </c>
      <c r="I154" s="77" t="str">
        <f t="shared" ref="I154:I159" si="260">IF(CC154&gt;0, "1", "0")</f>
        <v>0</v>
      </c>
      <c r="J154" s="77" t="str">
        <f t="shared" ref="J154:J159" si="261">IF(DJ154&gt;0, "1", "0")</f>
        <v>0</v>
      </c>
      <c r="K154" s="77" t="str">
        <f t="shared" ref="K154:K159" si="262">CONCATENATE(G154,H154,I154,J154)</f>
        <v>0100</v>
      </c>
      <c r="L154" s="77" t="str">
        <f>IFERROR(VLOOKUP(K154,Sheet2!$A$20:$B$23,2,FALSE),"X")</f>
        <v>02</v>
      </c>
      <c r="M154" s="77" t="str">
        <f t="shared" si="227"/>
        <v>31208965Diagnostic Review 18-19</v>
      </c>
      <c r="O154" s="76" t="s">
        <v>160</v>
      </c>
      <c r="P154" s="69" t="s">
        <v>168</v>
      </c>
      <c r="Q154" s="78"/>
      <c r="R154" s="78"/>
      <c r="AU154" s="158" t="s">
        <v>336</v>
      </c>
      <c r="AV154" s="79"/>
      <c r="AW154" s="79">
        <v>26745</v>
      </c>
      <c r="BV154" s="79">
        <f t="shared" si="250"/>
        <v>0</v>
      </c>
      <c r="BW154" s="79">
        <f t="shared" si="251"/>
        <v>0</v>
      </c>
      <c r="BX154" s="79">
        <f t="shared" ref="BX154:BX159" si="263">AT154+AV154+AW154+(BV154+BW154)</f>
        <v>26745</v>
      </c>
      <c r="CH154" s="79">
        <v>-21747.599999999999</v>
      </c>
      <c r="CV154" s="79">
        <v>-4910</v>
      </c>
      <c r="DB154" s="79">
        <f t="shared" si="252"/>
        <v>0</v>
      </c>
      <c r="DC154" s="79">
        <f t="shared" si="253"/>
        <v>-26657.599999999999</v>
      </c>
      <c r="DD154" s="79">
        <f t="shared" si="254"/>
        <v>0</v>
      </c>
      <c r="DE154" s="79">
        <f t="shared" ref="DE154:DE159" si="264">BX154+CA154+BZ154+CC154+(DB154+DC154+DD154)</f>
        <v>87.400000000001455</v>
      </c>
      <c r="DP154" s="131"/>
      <c r="EJ154" s="79">
        <f t="shared" si="255"/>
        <v>0</v>
      </c>
      <c r="EK154" s="79">
        <f t="shared" si="256"/>
        <v>0</v>
      </c>
      <c r="EL154" s="79">
        <f t="shared" si="257"/>
        <v>0</v>
      </c>
      <c r="EM154" s="79">
        <f t="shared" si="230"/>
        <v>87.400000000001455</v>
      </c>
      <c r="FI154" s="66">
        <f t="shared" si="246"/>
        <v>0</v>
      </c>
      <c r="FJ154" s="66">
        <f t="shared" si="247"/>
        <v>0</v>
      </c>
      <c r="FK154" s="66">
        <f t="shared" si="248"/>
        <v>0</v>
      </c>
      <c r="FL154" s="173">
        <f t="shared" si="249"/>
        <v>87.400000000001455</v>
      </c>
    </row>
    <row r="155" spans="1:170" hidden="1" outlineLevel="1" x14ac:dyDescent="0.2">
      <c r="A155" s="76" t="s">
        <v>385</v>
      </c>
      <c r="B155" s="76" t="s">
        <v>370</v>
      </c>
      <c r="C155" s="76" t="s">
        <v>526</v>
      </c>
      <c r="D155" s="76" t="s">
        <v>598</v>
      </c>
      <c r="E155" s="77" t="s">
        <v>201</v>
      </c>
      <c r="F155" s="77" t="s">
        <v>711</v>
      </c>
      <c r="G155" s="77" t="str">
        <f t="shared" si="258"/>
        <v>0</v>
      </c>
      <c r="H155" s="77" t="str">
        <f t="shared" si="259"/>
        <v>1</v>
      </c>
      <c r="I155" s="77" t="str">
        <f t="shared" si="260"/>
        <v>0</v>
      </c>
      <c r="J155" s="77" t="str">
        <f t="shared" si="261"/>
        <v>0</v>
      </c>
      <c r="K155" s="77" t="str">
        <f t="shared" si="262"/>
        <v>0100</v>
      </c>
      <c r="L155" s="77" t="str">
        <f>IFERROR(VLOOKUP(K155,Sheet2!$A$20:$B$23,2,FALSE),"X")</f>
        <v>02</v>
      </c>
      <c r="M155" s="77" t="str">
        <f t="shared" si="227"/>
        <v>31403066Diagnostic Review 18-19</v>
      </c>
      <c r="O155" s="76" t="s">
        <v>160</v>
      </c>
      <c r="P155" s="69" t="s">
        <v>168</v>
      </c>
      <c r="Q155" s="78"/>
      <c r="R155" s="78"/>
      <c r="AU155" s="158" t="s">
        <v>336</v>
      </c>
      <c r="AV155" s="79"/>
      <c r="AW155" s="79">
        <v>60197</v>
      </c>
      <c r="BV155" s="79">
        <f t="shared" si="250"/>
        <v>0</v>
      </c>
      <c r="BW155" s="79">
        <f t="shared" si="251"/>
        <v>0</v>
      </c>
      <c r="BX155" s="79">
        <f t="shared" si="263"/>
        <v>60197</v>
      </c>
      <c r="CJ155" s="79">
        <v>-44221.46</v>
      </c>
      <c r="CT155" s="79">
        <v>-15975.54</v>
      </c>
      <c r="DB155" s="79">
        <f t="shared" si="252"/>
        <v>0</v>
      </c>
      <c r="DC155" s="79">
        <f t="shared" si="253"/>
        <v>-60197</v>
      </c>
      <c r="DD155" s="79">
        <f t="shared" si="254"/>
        <v>0</v>
      </c>
      <c r="DE155" s="79">
        <f t="shared" si="264"/>
        <v>0</v>
      </c>
      <c r="DP155" s="131"/>
      <c r="EJ155" s="79">
        <f t="shared" si="255"/>
        <v>0</v>
      </c>
      <c r="EK155" s="79">
        <f t="shared" si="256"/>
        <v>0</v>
      </c>
      <c r="EL155" s="79">
        <f t="shared" si="257"/>
        <v>0</v>
      </c>
      <c r="EM155" s="79">
        <f t="shared" si="230"/>
        <v>0</v>
      </c>
      <c r="FI155" s="66">
        <f t="shared" si="246"/>
        <v>0</v>
      </c>
      <c r="FJ155" s="66">
        <f t="shared" si="247"/>
        <v>0</v>
      </c>
      <c r="FK155" s="66">
        <f t="shared" si="248"/>
        <v>0</v>
      </c>
      <c r="FL155" s="173">
        <f t="shared" si="249"/>
        <v>0</v>
      </c>
    </row>
    <row r="156" spans="1:170" hidden="1" outlineLevel="1" x14ac:dyDescent="0.2">
      <c r="A156" s="88" t="s">
        <v>386</v>
      </c>
      <c r="B156" s="88" t="s">
        <v>645</v>
      </c>
      <c r="C156" s="88" t="s">
        <v>527</v>
      </c>
      <c r="D156" s="88" t="s">
        <v>653</v>
      </c>
      <c r="E156" s="89" t="s">
        <v>202</v>
      </c>
      <c r="F156" s="89" t="s">
        <v>711</v>
      </c>
      <c r="G156" s="77" t="str">
        <f t="shared" si="258"/>
        <v>0</v>
      </c>
      <c r="H156" s="77" t="str">
        <f t="shared" si="259"/>
        <v>0</v>
      </c>
      <c r="I156" s="77" t="str">
        <f t="shared" si="260"/>
        <v>1</v>
      </c>
      <c r="J156" s="77" t="str">
        <f t="shared" si="261"/>
        <v>0</v>
      </c>
      <c r="K156" s="77" t="str">
        <f t="shared" si="262"/>
        <v>0010</v>
      </c>
      <c r="L156" s="77" t="str">
        <f>IFERROR(VLOOKUP(K156,Sheet2!$A$20:$B$23,2,FALSE),"X")</f>
        <v>03</v>
      </c>
      <c r="M156" s="77" t="str">
        <f t="shared" si="227"/>
        <v>80014699Diagnostic Review 19-20</v>
      </c>
      <c r="N156" s="88"/>
      <c r="O156" s="88" t="s">
        <v>160</v>
      </c>
      <c r="P156" s="90" t="s">
        <v>168</v>
      </c>
      <c r="Q156" s="91"/>
      <c r="R156" s="91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161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>
        <f t="shared" si="250"/>
        <v>0</v>
      </c>
      <c r="BW156" s="92">
        <f t="shared" si="251"/>
        <v>0</v>
      </c>
      <c r="BX156" s="92">
        <f t="shared" si="263"/>
        <v>0</v>
      </c>
      <c r="BY156" s="161"/>
      <c r="BZ156" s="92"/>
      <c r="CA156" s="92"/>
      <c r="CB156" s="92"/>
      <c r="CC156" s="92">
        <v>58144</v>
      </c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>
        <f t="shared" si="252"/>
        <v>0</v>
      </c>
      <c r="DC156" s="92">
        <f t="shared" si="253"/>
        <v>0</v>
      </c>
      <c r="DD156" s="92">
        <f t="shared" si="254"/>
        <v>0</v>
      </c>
      <c r="DE156" s="92">
        <f t="shared" si="264"/>
        <v>58144</v>
      </c>
      <c r="DK156" s="79">
        <v>-12075.333000000001</v>
      </c>
      <c r="DO156" s="79">
        <v>-819</v>
      </c>
      <c r="DP156" s="131"/>
      <c r="DW156" s="79">
        <v>-8570.6666000000005</v>
      </c>
      <c r="EA156" s="79">
        <v>-864</v>
      </c>
      <c r="EC156" s="79">
        <v>-216</v>
      </c>
      <c r="EH156" s="79">
        <v>-432</v>
      </c>
      <c r="EJ156" s="79">
        <f t="shared" si="255"/>
        <v>0</v>
      </c>
      <c r="EK156" s="79">
        <f t="shared" si="256"/>
        <v>-22976.999600000003</v>
      </c>
      <c r="EL156" s="79">
        <f t="shared" si="257"/>
        <v>0</v>
      </c>
      <c r="EM156" s="79">
        <f t="shared" si="230"/>
        <v>35167.000399999997</v>
      </c>
      <c r="ET156" s="144">
        <v>-432</v>
      </c>
      <c r="FE156" s="66">
        <v>-1581</v>
      </c>
      <c r="FI156" s="66">
        <f t="shared" si="246"/>
        <v>0</v>
      </c>
      <c r="FJ156" s="66">
        <f t="shared" si="247"/>
        <v>0</v>
      </c>
      <c r="FK156" s="66">
        <f t="shared" si="248"/>
        <v>-2013</v>
      </c>
      <c r="FL156" s="173">
        <f t="shared" si="249"/>
        <v>33154.000399999997</v>
      </c>
    </row>
    <row r="157" spans="1:170" hidden="1" outlineLevel="1" x14ac:dyDescent="0.2">
      <c r="A157" s="88" t="s">
        <v>386</v>
      </c>
      <c r="B157" s="88" t="s">
        <v>644</v>
      </c>
      <c r="C157" s="88" t="s">
        <v>527</v>
      </c>
      <c r="D157" s="88" t="s">
        <v>656</v>
      </c>
      <c r="E157" s="89" t="s">
        <v>202</v>
      </c>
      <c r="F157" s="89" t="s">
        <v>711</v>
      </c>
      <c r="G157" s="77" t="str">
        <f t="shared" si="258"/>
        <v>0</v>
      </c>
      <c r="H157" s="77" t="str">
        <f t="shared" si="259"/>
        <v>0</v>
      </c>
      <c r="I157" s="77" t="str">
        <f t="shared" si="260"/>
        <v>1</v>
      </c>
      <c r="J157" s="77" t="str">
        <f t="shared" si="261"/>
        <v>0</v>
      </c>
      <c r="K157" s="77" t="str">
        <f t="shared" si="262"/>
        <v>0010</v>
      </c>
      <c r="L157" s="77" t="str">
        <f>IFERROR(VLOOKUP(K157,Sheet2!$A$20:$B$23,2,FALSE),"X")</f>
        <v>03</v>
      </c>
      <c r="M157" s="77" t="str">
        <f t="shared" si="227"/>
        <v>80016219Diagnostic Review 19-20</v>
      </c>
      <c r="N157" s="88"/>
      <c r="O157" s="88" t="s">
        <v>160</v>
      </c>
      <c r="P157" s="90" t="s">
        <v>168</v>
      </c>
      <c r="Q157" s="91"/>
      <c r="R157" s="91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161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>
        <f t="shared" si="250"/>
        <v>0</v>
      </c>
      <c r="BW157" s="92">
        <f t="shared" si="251"/>
        <v>0</v>
      </c>
      <c r="BX157" s="92">
        <f t="shared" si="263"/>
        <v>0</v>
      </c>
      <c r="BY157" s="161"/>
      <c r="BZ157" s="92"/>
      <c r="CA157" s="92"/>
      <c r="CB157" s="92"/>
      <c r="CC157" s="92">
        <v>58144</v>
      </c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>
        <f t="shared" si="252"/>
        <v>0</v>
      </c>
      <c r="DC157" s="92">
        <f t="shared" si="253"/>
        <v>0</v>
      </c>
      <c r="DD157" s="92">
        <f t="shared" si="254"/>
        <v>0</v>
      </c>
      <c r="DE157" s="92">
        <f t="shared" si="264"/>
        <v>58144</v>
      </c>
      <c r="DK157" s="79">
        <v>-12075.333000000001</v>
      </c>
      <c r="DO157" s="79">
        <v>-819</v>
      </c>
      <c r="DP157" s="131"/>
      <c r="DW157" s="79">
        <v>-8570.6666000000005</v>
      </c>
      <c r="EA157" s="79">
        <v>-864</v>
      </c>
      <c r="EC157" s="79">
        <v>-216</v>
      </c>
      <c r="EH157" s="79">
        <v>-432</v>
      </c>
      <c r="EJ157" s="79">
        <f t="shared" si="255"/>
        <v>0</v>
      </c>
      <c r="EK157" s="79">
        <f t="shared" si="256"/>
        <v>-22976.999600000003</v>
      </c>
      <c r="EL157" s="79">
        <f t="shared" si="257"/>
        <v>0</v>
      </c>
      <c r="EM157" s="79">
        <f t="shared" si="230"/>
        <v>35167.000399999997</v>
      </c>
      <c r="ET157" s="144">
        <v>-432</v>
      </c>
      <c r="FE157" s="66">
        <v>-1581</v>
      </c>
      <c r="FI157" s="66">
        <f t="shared" si="246"/>
        <v>0</v>
      </c>
      <c r="FJ157" s="66">
        <f t="shared" si="247"/>
        <v>0</v>
      </c>
      <c r="FK157" s="66">
        <f t="shared" si="248"/>
        <v>-2013</v>
      </c>
      <c r="FL157" s="173">
        <f t="shared" si="249"/>
        <v>33154.000399999997</v>
      </c>
    </row>
    <row r="158" spans="1:170" hidden="1" outlineLevel="1" x14ac:dyDescent="0.2">
      <c r="A158" s="88" t="s">
        <v>386</v>
      </c>
      <c r="B158" s="88" t="s">
        <v>643</v>
      </c>
      <c r="C158" s="88" t="s">
        <v>527</v>
      </c>
      <c r="D158" s="88" t="s">
        <v>652</v>
      </c>
      <c r="E158" s="89" t="s">
        <v>202</v>
      </c>
      <c r="F158" s="89" t="s">
        <v>711</v>
      </c>
      <c r="G158" s="77" t="str">
        <f t="shared" si="258"/>
        <v>0</v>
      </c>
      <c r="H158" s="77" t="str">
        <f t="shared" si="259"/>
        <v>0</v>
      </c>
      <c r="I158" s="77" t="str">
        <f t="shared" si="260"/>
        <v>1</v>
      </c>
      <c r="J158" s="77" t="str">
        <f t="shared" si="261"/>
        <v>0</v>
      </c>
      <c r="K158" s="77" t="str">
        <f t="shared" si="262"/>
        <v>0010</v>
      </c>
      <c r="L158" s="77" t="str">
        <f>IFERROR(VLOOKUP(K158,Sheet2!$A$20:$B$23,2,FALSE),"X")</f>
        <v>03</v>
      </c>
      <c r="M158" s="77" t="str">
        <f t="shared" si="227"/>
        <v>80016237Diagnostic Review 19-20</v>
      </c>
      <c r="N158" s="88"/>
      <c r="O158" s="88" t="s">
        <v>160</v>
      </c>
      <c r="P158" s="90" t="s">
        <v>168</v>
      </c>
      <c r="Q158" s="91"/>
      <c r="R158" s="91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161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>
        <f t="shared" si="250"/>
        <v>0</v>
      </c>
      <c r="BW158" s="92">
        <f t="shared" si="251"/>
        <v>0</v>
      </c>
      <c r="BX158" s="92">
        <f t="shared" si="263"/>
        <v>0</v>
      </c>
      <c r="BY158" s="161"/>
      <c r="BZ158" s="92"/>
      <c r="CA158" s="92"/>
      <c r="CB158" s="92"/>
      <c r="CC158" s="92">
        <v>58144</v>
      </c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>
        <f t="shared" si="252"/>
        <v>0</v>
      </c>
      <c r="DC158" s="92">
        <f t="shared" si="253"/>
        <v>0</v>
      </c>
      <c r="DD158" s="92">
        <f t="shared" si="254"/>
        <v>0</v>
      </c>
      <c r="DE158" s="92">
        <f t="shared" si="264"/>
        <v>58144</v>
      </c>
      <c r="DK158" s="79">
        <v>-12075.3333</v>
      </c>
      <c r="DO158" s="79">
        <v>-819</v>
      </c>
      <c r="DP158" s="131"/>
      <c r="DW158" s="79">
        <v>-8570.6666000000005</v>
      </c>
      <c r="EA158" s="79">
        <v>-864</v>
      </c>
      <c r="EC158" s="79">
        <v>-216</v>
      </c>
      <c r="EH158" s="79">
        <v>-432</v>
      </c>
      <c r="EJ158" s="79">
        <f t="shared" si="255"/>
        <v>0</v>
      </c>
      <c r="EK158" s="79">
        <f t="shared" si="256"/>
        <v>-22976.999900000003</v>
      </c>
      <c r="EL158" s="79">
        <f t="shared" si="257"/>
        <v>0</v>
      </c>
      <c r="EM158" s="79">
        <f t="shared" si="230"/>
        <v>35167.000099999997</v>
      </c>
      <c r="ET158" s="144">
        <v>-432</v>
      </c>
      <c r="FE158" s="66">
        <v>-1581</v>
      </c>
      <c r="FI158" s="66">
        <f t="shared" si="246"/>
        <v>0</v>
      </c>
      <c r="FJ158" s="66">
        <f t="shared" si="247"/>
        <v>0</v>
      </c>
      <c r="FK158" s="66">
        <f t="shared" si="248"/>
        <v>-2013</v>
      </c>
      <c r="FL158" s="173">
        <f t="shared" si="249"/>
        <v>33154.000099999997</v>
      </c>
    </row>
    <row r="159" spans="1:170" hidden="1" outlineLevel="1" x14ac:dyDescent="0.2">
      <c r="A159" s="76" t="s">
        <v>386</v>
      </c>
      <c r="B159" s="76" t="s">
        <v>376</v>
      </c>
      <c r="C159" s="76" t="s">
        <v>527</v>
      </c>
      <c r="D159" s="76" t="s">
        <v>599</v>
      </c>
      <c r="E159" s="77" t="s">
        <v>201</v>
      </c>
      <c r="F159" s="77" t="s">
        <v>711</v>
      </c>
      <c r="G159" s="77" t="str">
        <f t="shared" si="258"/>
        <v>0</v>
      </c>
      <c r="H159" s="77" t="str">
        <f t="shared" si="259"/>
        <v>1</v>
      </c>
      <c r="I159" s="77" t="str">
        <f t="shared" si="260"/>
        <v>0</v>
      </c>
      <c r="J159" s="77" t="str">
        <f t="shared" si="261"/>
        <v>0</v>
      </c>
      <c r="K159" s="77" t="str">
        <f t="shared" si="262"/>
        <v>0100</v>
      </c>
      <c r="L159" s="77" t="str">
        <f>IFERROR(VLOOKUP(K159,Sheet2!$A$20:$B$23,2,FALSE),"X")</f>
        <v>02</v>
      </c>
      <c r="M159" s="77" t="str">
        <f t="shared" si="227"/>
        <v>80016266Diagnostic Review 18-19</v>
      </c>
      <c r="O159" s="76" t="s">
        <v>160</v>
      </c>
      <c r="P159" s="69" t="s">
        <v>168</v>
      </c>
      <c r="Q159" s="78"/>
      <c r="R159" s="78"/>
      <c r="AU159" s="158" t="s">
        <v>336</v>
      </c>
      <c r="AV159" s="79"/>
      <c r="AW159" s="97">
        <v>55700</v>
      </c>
      <c r="BV159" s="79">
        <f t="shared" si="250"/>
        <v>0</v>
      </c>
      <c r="BW159" s="79">
        <f t="shared" si="251"/>
        <v>0</v>
      </c>
      <c r="BX159" s="79">
        <f t="shared" si="263"/>
        <v>55700</v>
      </c>
      <c r="BY159" s="158" t="s">
        <v>336</v>
      </c>
      <c r="CA159" s="79">
        <v>55000</v>
      </c>
      <c r="CP159" s="79">
        <f>-42200-10000</f>
        <v>-52200</v>
      </c>
      <c r="DB159" s="79">
        <f t="shared" si="252"/>
        <v>0</v>
      </c>
      <c r="DC159" s="79">
        <f t="shared" si="253"/>
        <v>-52200</v>
      </c>
      <c r="DD159" s="79">
        <f t="shared" si="254"/>
        <v>0</v>
      </c>
      <c r="DE159" s="79">
        <f t="shared" si="264"/>
        <v>58500</v>
      </c>
      <c r="DO159" s="79">
        <v>-9750</v>
      </c>
      <c r="DP159" s="131"/>
      <c r="EJ159" s="79">
        <f t="shared" si="255"/>
        <v>0</v>
      </c>
      <c r="EK159" s="79">
        <f t="shared" si="256"/>
        <v>-9750</v>
      </c>
      <c r="EL159" s="79">
        <f t="shared" si="257"/>
        <v>0</v>
      </c>
      <c r="EM159" s="79">
        <f t="shared" si="230"/>
        <v>48750</v>
      </c>
      <c r="FI159" s="66">
        <f t="shared" si="246"/>
        <v>0</v>
      </c>
      <c r="FJ159" s="66">
        <f t="shared" si="247"/>
        <v>0</v>
      </c>
      <c r="FK159" s="66">
        <f t="shared" si="248"/>
        <v>0</v>
      </c>
      <c r="FL159" s="173">
        <f t="shared" si="249"/>
        <v>48750</v>
      </c>
    </row>
    <row r="160" spans="1:170" hidden="1" collapsed="1" x14ac:dyDescent="0.2">
      <c r="G160" s="77"/>
      <c r="H160" s="77"/>
      <c r="I160" s="77"/>
      <c r="J160" s="77"/>
      <c r="K160" s="77"/>
      <c r="L160" s="77" t="s">
        <v>701</v>
      </c>
      <c r="M160" s="77" t="str">
        <f t="shared" ref="M160:M161" si="265">A160&amp;B160&amp;E160</f>
        <v/>
      </c>
      <c r="P160" s="18" t="s">
        <v>271</v>
      </c>
      <c r="Q160" s="78"/>
      <c r="R160" s="78"/>
      <c r="S160" s="14">
        <f t="shared" ref="S160:AT160" si="266">SUM(S76:S159)</f>
        <v>599478</v>
      </c>
      <c r="T160" s="14">
        <f t="shared" si="266"/>
        <v>0</v>
      </c>
      <c r="U160" s="14">
        <f t="shared" si="266"/>
        <v>0</v>
      </c>
      <c r="V160" s="14">
        <f t="shared" si="266"/>
        <v>0</v>
      </c>
      <c r="W160" s="14">
        <f t="shared" si="266"/>
        <v>0</v>
      </c>
      <c r="X160" s="14">
        <f t="shared" si="266"/>
        <v>0</v>
      </c>
      <c r="Y160" s="14">
        <f t="shared" si="266"/>
        <v>0</v>
      </c>
      <c r="Z160" s="14">
        <f t="shared" si="266"/>
        <v>0</v>
      </c>
      <c r="AA160" s="14">
        <f t="shared" si="266"/>
        <v>0</v>
      </c>
      <c r="AB160" s="14">
        <f t="shared" si="266"/>
        <v>0</v>
      </c>
      <c r="AC160" s="14">
        <f t="shared" si="266"/>
        <v>0</v>
      </c>
      <c r="AD160" s="14">
        <f t="shared" si="266"/>
        <v>0</v>
      </c>
      <c r="AE160" s="14">
        <f t="shared" si="266"/>
        <v>0</v>
      </c>
      <c r="AF160" s="14">
        <f t="shared" si="266"/>
        <v>0</v>
      </c>
      <c r="AG160" s="14">
        <f t="shared" si="266"/>
        <v>0</v>
      </c>
      <c r="AH160" s="14">
        <f t="shared" si="266"/>
        <v>0</v>
      </c>
      <c r="AI160" s="14">
        <f t="shared" si="266"/>
        <v>0</v>
      </c>
      <c r="AJ160" s="14">
        <f t="shared" si="266"/>
        <v>0</v>
      </c>
      <c r="AK160" s="14">
        <f t="shared" si="266"/>
        <v>0</v>
      </c>
      <c r="AL160" s="14">
        <f t="shared" si="266"/>
        <v>-114828</v>
      </c>
      <c r="AM160" s="14">
        <f t="shared" si="266"/>
        <v>0</v>
      </c>
      <c r="AN160" s="14">
        <f t="shared" si="266"/>
        <v>-29533</v>
      </c>
      <c r="AO160" s="14">
        <f t="shared" si="266"/>
        <v>0</v>
      </c>
      <c r="AP160" s="14">
        <f t="shared" si="266"/>
        <v>-28539</v>
      </c>
      <c r="AQ160" s="14">
        <f t="shared" si="266"/>
        <v>0</v>
      </c>
      <c r="AR160" s="14">
        <f t="shared" si="266"/>
        <v>-172900</v>
      </c>
      <c r="AS160" s="14">
        <f t="shared" si="266"/>
        <v>0</v>
      </c>
      <c r="AT160" s="14">
        <f t="shared" si="266"/>
        <v>426578</v>
      </c>
      <c r="AU160" s="159"/>
      <c r="AV160" s="14">
        <f t="shared" ref="AV160:BX160" si="267">SUM(AV76:AV159)</f>
        <v>0</v>
      </c>
      <c r="AW160" s="14">
        <f t="shared" si="267"/>
        <v>1734166</v>
      </c>
      <c r="AX160" s="14">
        <f t="shared" si="267"/>
        <v>-18000</v>
      </c>
      <c r="AY160" s="14">
        <f t="shared" si="267"/>
        <v>0</v>
      </c>
      <c r="AZ160" s="14">
        <f t="shared" si="267"/>
        <v>-77267</v>
      </c>
      <c r="BA160" s="14">
        <f t="shared" si="267"/>
        <v>0</v>
      </c>
      <c r="BB160" s="14">
        <f t="shared" si="267"/>
        <v>-114371</v>
      </c>
      <c r="BC160" s="14">
        <f t="shared" si="267"/>
        <v>0</v>
      </c>
      <c r="BD160" s="14">
        <f t="shared" si="267"/>
        <v>-134871</v>
      </c>
      <c r="BE160" s="14">
        <f t="shared" si="267"/>
        <v>0</v>
      </c>
      <c r="BF160" s="14">
        <f t="shared" si="267"/>
        <v>0</v>
      </c>
      <c r="BG160" s="14">
        <f t="shared" si="267"/>
        <v>0</v>
      </c>
      <c r="BH160" s="14">
        <f t="shared" si="267"/>
        <v>0</v>
      </c>
      <c r="BI160" s="14">
        <f t="shared" si="267"/>
        <v>0</v>
      </c>
      <c r="BJ160" s="14">
        <f t="shared" si="267"/>
        <v>0</v>
      </c>
      <c r="BK160" s="14">
        <f t="shared" si="267"/>
        <v>0</v>
      </c>
      <c r="BL160" s="14">
        <f t="shared" si="267"/>
        <v>0</v>
      </c>
      <c r="BM160" s="14">
        <f t="shared" si="267"/>
        <v>0</v>
      </c>
      <c r="BN160" s="14">
        <f t="shared" si="267"/>
        <v>-15430</v>
      </c>
      <c r="BO160" s="14">
        <f t="shared" si="267"/>
        <v>0</v>
      </c>
      <c r="BP160" s="14">
        <f t="shared" si="267"/>
        <v>-20100</v>
      </c>
      <c r="BQ160" s="14">
        <f t="shared" si="267"/>
        <v>0</v>
      </c>
      <c r="BR160" s="14">
        <f t="shared" si="267"/>
        <v>-35379</v>
      </c>
      <c r="BS160" s="14">
        <f t="shared" si="267"/>
        <v>0</v>
      </c>
      <c r="BT160" s="14">
        <f t="shared" si="267"/>
        <v>-97965</v>
      </c>
      <c r="BU160" s="14">
        <f t="shared" si="267"/>
        <v>0</v>
      </c>
      <c r="BV160" s="14">
        <f t="shared" si="267"/>
        <v>-513383</v>
      </c>
      <c r="BW160" s="14">
        <f t="shared" si="267"/>
        <v>0</v>
      </c>
      <c r="BX160" s="14">
        <f t="shared" si="267"/>
        <v>1647361</v>
      </c>
      <c r="BY160" s="159"/>
      <c r="BZ160" s="14">
        <f>SUM(BZ76:BZ159)</f>
        <v>-1233</v>
      </c>
      <c r="CA160" s="14">
        <f>SUM(CA76:CA159)</f>
        <v>186396</v>
      </c>
      <c r="CB160" s="14"/>
      <c r="CC160" s="14">
        <f t="shared" ref="CC160:DE160" si="268">SUM(CC76:CC159)</f>
        <v>451881.41674800002</v>
      </c>
      <c r="CD160" s="14">
        <f t="shared" si="268"/>
        <v>-49251</v>
      </c>
      <c r="CE160" s="14">
        <f t="shared" si="268"/>
        <v>0</v>
      </c>
      <c r="CF160" s="14">
        <f t="shared" si="268"/>
        <v>0</v>
      </c>
      <c r="CG160" s="14">
        <f t="shared" si="268"/>
        <v>-85070.97</v>
      </c>
      <c r="CH160" s="14">
        <f t="shared" si="268"/>
        <v>-90748.5</v>
      </c>
      <c r="CI160" s="14">
        <f t="shared" si="268"/>
        <v>0</v>
      </c>
      <c r="CJ160" s="14">
        <f t="shared" si="268"/>
        <v>-72554.429999999993</v>
      </c>
      <c r="CK160" s="14">
        <f t="shared" si="268"/>
        <v>0</v>
      </c>
      <c r="CL160" s="14">
        <f t="shared" si="268"/>
        <v>-40593.229999999996</v>
      </c>
      <c r="CM160" s="14">
        <f t="shared" si="268"/>
        <v>0</v>
      </c>
      <c r="CN160" s="14">
        <f t="shared" si="268"/>
        <v>-31223.18</v>
      </c>
      <c r="CO160" s="14">
        <f t="shared" si="268"/>
        <v>0</v>
      </c>
      <c r="CP160" s="14">
        <f t="shared" si="268"/>
        <v>-162737.45000000001</v>
      </c>
      <c r="CQ160" s="14">
        <f t="shared" si="268"/>
        <v>0</v>
      </c>
      <c r="CR160" s="14">
        <f t="shared" si="268"/>
        <v>-35249.999999999993</v>
      </c>
      <c r="CS160" s="14">
        <f t="shared" si="268"/>
        <v>0</v>
      </c>
      <c r="CT160" s="14">
        <f t="shared" si="268"/>
        <v>-57378.030000000006</v>
      </c>
      <c r="CU160" s="14">
        <f t="shared" si="268"/>
        <v>0</v>
      </c>
      <c r="CV160" s="14">
        <f t="shared" si="268"/>
        <v>-5648.8</v>
      </c>
      <c r="CW160" s="14">
        <f t="shared" si="268"/>
        <v>0</v>
      </c>
      <c r="CX160" s="14">
        <f t="shared" si="268"/>
        <v>-5050</v>
      </c>
      <c r="CY160" s="14">
        <f t="shared" si="268"/>
        <v>0</v>
      </c>
      <c r="CZ160" s="14">
        <f t="shared" si="268"/>
        <v>-6667.65</v>
      </c>
      <c r="DA160" s="14">
        <f t="shared" si="268"/>
        <v>0</v>
      </c>
      <c r="DB160" s="14">
        <f t="shared" si="268"/>
        <v>-49251</v>
      </c>
      <c r="DC160" s="14">
        <f t="shared" si="268"/>
        <v>-592922.24</v>
      </c>
      <c r="DD160" s="14">
        <f t="shared" si="268"/>
        <v>0</v>
      </c>
      <c r="DE160" s="14">
        <f t="shared" si="268"/>
        <v>1642232.1767480001</v>
      </c>
      <c r="DF160" s="159"/>
      <c r="DG160" s="14">
        <f>SUM(DG76:DG159)</f>
        <v>48057.199200000003</v>
      </c>
      <c r="DH160" s="14">
        <f>SUM(DH76:DH159)</f>
        <v>0</v>
      </c>
      <c r="DI160" s="14"/>
      <c r="DJ160" s="14">
        <f t="shared" ref="DJ160:FK160" si="269">SUM(DJ76:DJ159)</f>
        <v>159606</v>
      </c>
      <c r="DK160" s="14">
        <f t="shared" si="269"/>
        <v>-36225.999300000003</v>
      </c>
      <c r="DL160" s="14">
        <f t="shared" si="269"/>
        <v>0</v>
      </c>
      <c r="DM160" s="14">
        <f t="shared" si="269"/>
        <v>-75527.350000000006</v>
      </c>
      <c r="DN160" s="14">
        <f t="shared" si="269"/>
        <v>0</v>
      </c>
      <c r="DO160" s="14">
        <f t="shared" si="269"/>
        <v>-12207</v>
      </c>
      <c r="DP160" s="132">
        <f t="shared" si="269"/>
        <v>-452610.32</v>
      </c>
      <c r="DQ160" s="14">
        <f t="shared" si="269"/>
        <v>-5072.8100000000004</v>
      </c>
      <c r="DR160" s="14">
        <f t="shared" si="269"/>
        <v>0</v>
      </c>
      <c r="DS160" s="14">
        <f t="shared" si="269"/>
        <v>-32069.61</v>
      </c>
      <c r="DT160" s="14">
        <f t="shared" si="269"/>
        <v>0</v>
      </c>
      <c r="DU160" s="14">
        <f t="shared" si="269"/>
        <v>-609.66</v>
      </c>
      <c r="DV160" s="14">
        <f t="shared" si="269"/>
        <v>0</v>
      </c>
      <c r="DW160" s="14">
        <f t="shared" si="269"/>
        <v>-26169.519800000002</v>
      </c>
      <c r="DX160" s="14">
        <f t="shared" si="269"/>
        <v>0</v>
      </c>
      <c r="DY160" s="14">
        <f t="shared" si="269"/>
        <v>-1718.72</v>
      </c>
      <c r="DZ160" s="14">
        <f t="shared" si="269"/>
        <v>0</v>
      </c>
      <c r="EA160" s="14">
        <f t="shared" si="269"/>
        <v>-2592</v>
      </c>
      <c r="EB160" s="14">
        <f t="shared" si="269"/>
        <v>0</v>
      </c>
      <c r="EC160" s="14">
        <f t="shared" si="269"/>
        <v>-3199.5299999999997</v>
      </c>
      <c r="ED160" s="14">
        <f t="shared" si="269"/>
        <v>0</v>
      </c>
      <c r="EE160" s="14">
        <f t="shared" si="269"/>
        <v>-15000</v>
      </c>
      <c r="EF160" s="14">
        <f t="shared" si="269"/>
        <v>0</v>
      </c>
      <c r="EG160" s="132">
        <f t="shared" si="269"/>
        <v>0</v>
      </c>
      <c r="EH160" s="14">
        <f t="shared" si="269"/>
        <v>-13526.369999999999</v>
      </c>
      <c r="EI160" s="14">
        <f t="shared" si="269"/>
        <v>-12663.52</v>
      </c>
      <c r="EJ160" s="14">
        <f t="shared" si="269"/>
        <v>-452610.32</v>
      </c>
      <c r="EK160" s="14">
        <f t="shared" si="269"/>
        <v>-223918.56910000002</v>
      </c>
      <c r="EL160" s="14">
        <f t="shared" si="269"/>
        <v>-12663.52</v>
      </c>
      <c r="EM160" s="14">
        <f t="shared" si="269"/>
        <v>1160702.9668480002</v>
      </c>
      <c r="EN160" s="14">
        <f t="shared" si="269"/>
        <v>0</v>
      </c>
      <c r="EO160" s="14">
        <f t="shared" si="269"/>
        <v>0</v>
      </c>
      <c r="EP160" s="14">
        <f t="shared" si="269"/>
        <v>0</v>
      </c>
      <c r="EQ160" s="14">
        <f t="shared" si="269"/>
        <v>140130</v>
      </c>
      <c r="ER160" s="14">
        <f t="shared" si="269"/>
        <v>0</v>
      </c>
      <c r="ES160" s="68">
        <f t="shared" si="269"/>
        <v>-49173.82</v>
      </c>
      <c r="ET160" s="68">
        <f t="shared" si="269"/>
        <v>-1296</v>
      </c>
      <c r="EU160" s="68">
        <f t="shared" si="269"/>
        <v>-118453.52999999998</v>
      </c>
      <c r="EV160" s="68">
        <f t="shared" ref="EV160" si="270">SUM(EV76:EV159)</f>
        <v>70</v>
      </c>
      <c r="EW160" s="68">
        <f t="shared" si="269"/>
        <v>-37184.039999999994</v>
      </c>
      <c r="EX160" s="68">
        <f t="shared" si="269"/>
        <v>-4654.03</v>
      </c>
      <c r="EY160" s="68">
        <f t="shared" si="269"/>
        <v>-35910.61</v>
      </c>
      <c r="EZ160" s="68">
        <f t="shared" ref="EZ160:FB160" si="271">SUM(EZ76:EZ159)</f>
        <v>-70</v>
      </c>
      <c r="FA160" s="68">
        <f t="shared" si="271"/>
        <v>0</v>
      </c>
      <c r="FB160" s="68">
        <f t="shared" si="271"/>
        <v>70</v>
      </c>
      <c r="FC160" s="68">
        <f t="shared" si="269"/>
        <v>-8503.73</v>
      </c>
      <c r="FD160" s="68">
        <f t="shared" si="269"/>
        <v>-20165.650000000001</v>
      </c>
      <c r="FE160" s="68">
        <f t="shared" si="269"/>
        <v>-7145.79</v>
      </c>
      <c r="FF160" s="68">
        <f t="shared" si="269"/>
        <v>0</v>
      </c>
      <c r="FG160" s="68">
        <f t="shared" si="269"/>
        <v>0</v>
      </c>
      <c r="FH160" s="68">
        <f t="shared" si="269"/>
        <v>0</v>
      </c>
      <c r="FI160" s="68">
        <f t="shared" ref="FI160:FJ160" si="272">SUM(FI76:FI159)</f>
        <v>0</v>
      </c>
      <c r="FJ160" s="68">
        <f t="shared" si="272"/>
        <v>0</v>
      </c>
      <c r="FK160" s="68">
        <f t="shared" si="269"/>
        <v>-282417.2</v>
      </c>
      <c r="FL160" s="14">
        <f>EM160+EO160+EP160+EQ160+FK160</f>
        <v>1018415.7668480002</v>
      </c>
    </row>
    <row r="161" spans="1:169" hidden="1" x14ac:dyDescent="0.2">
      <c r="E161" s="77"/>
      <c r="F161" s="77"/>
      <c r="G161" s="77"/>
      <c r="H161" s="77"/>
      <c r="I161" s="77"/>
      <c r="J161" s="77"/>
      <c r="K161" s="77"/>
      <c r="L161" s="77" t="s">
        <v>701</v>
      </c>
      <c r="M161" s="77" t="str">
        <f t="shared" si="265"/>
        <v/>
      </c>
      <c r="Q161" s="78"/>
      <c r="R161" s="78"/>
      <c r="AV161" s="79"/>
      <c r="DP161" s="131"/>
    </row>
    <row r="162" spans="1:169" hidden="1" outlineLevel="1" x14ac:dyDescent="0.2">
      <c r="A162" s="76" t="s">
        <v>8</v>
      </c>
      <c r="B162" s="76" t="s">
        <v>34</v>
      </c>
      <c r="C162" s="76" t="s">
        <v>89</v>
      </c>
      <c r="D162" s="76" t="s">
        <v>111</v>
      </c>
      <c r="E162" s="77" t="s">
        <v>211</v>
      </c>
      <c r="F162" s="77" t="s">
        <v>712</v>
      </c>
      <c r="G162" s="77" t="str">
        <f t="shared" ref="G162:G197" si="273">IF(S162&gt;0, "1", "0")</f>
        <v>1</v>
      </c>
      <c r="H162" s="77" t="str">
        <f t="shared" ref="H162:H197" si="274">IF(AW162&gt;0, "1", "0")</f>
        <v>0</v>
      </c>
      <c r="I162" s="77" t="str">
        <f t="shared" ref="I162:I197" si="275">IF(CC162&gt;0, "1", "0")</f>
        <v>0</v>
      </c>
      <c r="J162" s="77" t="str">
        <f t="shared" ref="J162:J197" si="276">IF(DJ162&gt;0, "1", "0")</f>
        <v>0</v>
      </c>
      <c r="K162" s="77" t="str">
        <f t="shared" ref="K162:K197" si="277">CONCATENATE(G162,H162,I162,J162)</f>
        <v>1000</v>
      </c>
      <c r="L162" s="77" t="str">
        <f>IFERROR(VLOOKUP(K162,Sheet2!$A$20:$B$23,2,FALSE),"X")</f>
        <v>01</v>
      </c>
      <c r="M162" s="77" t="str">
        <f t="shared" ref="M162:M197" si="278">A162&amp;B162&amp;E162</f>
        <v>0010N/ADistrict Design and Led 17-20</v>
      </c>
      <c r="N162" s="76" t="s">
        <v>161</v>
      </c>
      <c r="O162" s="76" t="s">
        <v>160</v>
      </c>
      <c r="P162" s="69" t="s">
        <v>168</v>
      </c>
      <c r="Q162" s="78">
        <v>43168</v>
      </c>
      <c r="R162" s="78">
        <v>43168</v>
      </c>
      <c r="S162" s="79">
        <v>18704</v>
      </c>
      <c r="AR162" s="79">
        <f>SUMIF($T$2:$AQ$2,$AR$2,$T162:$AQ162)</f>
        <v>0</v>
      </c>
      <c r="AS162" s="79">
        <f>SUMIF($T$2:$AQ$2,$AS$2,$T162:$AQ162)</f>
        <v>0</v>
      </c>
      <c r="AT162" s="79">
        <f t="shared" ref="AT162:AT197" si="279">S162+(AR162+AS162)</f>
        <v>18704</v>
      </c>
      <c r="AU162" s="158" t="s">
        <v>161</v>
      </c>
      <c r="AV162" s="79">
        <v>82968</v>
      </c>
      <c r="BB162" s="79">
        <v>-5774</v>
      </c>
      <c r="BF162" s="79">
        <v>-2902</v>
      </c>
      <c r="BH162" s="79">
        <v>-9780</v>
      </c>
      <c r="BL162" s="79">
        <v>-12698</v>
      </c>
      <c r="BP162" s="79">
        <v>-18558</v>
      </c>
      <c r="BV162" s="79">
        <f>SUMIF($AX$2:$BU$2,$BV$2,$AX162:$BU162)</f>
        <v>-49712</v>
      </c>
      <c r="BW162" s="79">
        <f>SUMIF($AX$2:$BU$2,$BW$2,$AX162:$BU162)</f>
        <v>0</v>
      </c>
      <c r="BX162" s="79">
        <f t="shared" ref="BX162:BX197" si="280">AT162+AV162+AW162+(BV162+BW162)</f>
        <v>51960</v>
      </c>
      <c r="BY162" s="158" t="s">
        <v>341</v>
      </c>
      <c r="BZ162" s="79">
        <v>63579</v>
      </c>
      <c r="CJ162" s="79">
        <v>-2400</v>
      </c>
      <c r="CN162" s="79">
        <v>-9339.4</v>
      </c>
      <c r="CR162" s="79">
        <v>-13622.83</v>
      </c>
      <c r="CV162" s="79">
        <f>-9344.15-1048.38</f>
        <v>-10392.529999999999</v>
      </c>
      <c r="CX162" s="79">
        <v>-5381.12</v>
      </c>
      <c r="DB162" s="79">
        <f>SUMIF($CD$2:$DA$2,$DB$2,$CD162:$DA162)</f>
        <v>0</v>
      </c>
      <c r="DC162" s="79">
        <f>SUMIF($CD$2:$DA$2,$DC$2,$CD162:$DA162)</f>
        <v>-41135.879999999997</v>
      </c>
      <c r="DD162" s="79">
        <f>SUMIF($CD$2:$DA$2,$DD$2,$CD162:$DA162)</f>
        <v>0</v>
      </c>
      <c r="DE162" s="79">
        <f t="shared" ref="DE162:DE197" si="281">BX162+CA162+BZ162+CC162+(DB162+DC162+DD162)</f>
        <v>74403.12</v>
      </c>
      <c r="DK162" s="79">
        <v>-3500</v>
      </c>
      <c r="DP162" s="131"/>
      <c r="DU162" s="79">
        <v>-2752.68</v>
      </c>
      <c r="DY162" s="79">
        <v>-4349.51</v>
      </c>
      <c r="EA162" s="79">
        <f>-(221.93+3370.86+3450.9)</f>
        <v>-7043.6900000000005</v>
      </c>
      <c r="EC162" s="79">
        <v>-15528.83</v>
      </c>
      <c r="EE162" s="79">
        <v>-19608.490000000002</v>
      </c>
      <c r="EH162" s="79">
        <v>-13054.4</v>
      </c>
      <c r="EJ162" s="79">
        <f>SUMIF($DK$2:$EI$2,$EJ$2,$DK162:$EI162)</f>
        <v>0</v>
      </c>
      <c r="EK162" s="79">
        <f>SUMIF($DK$2:$EI$2,$EK$2,$DK162:$EI162)</f>
        <v>-65837.599999999991</v>
      </c>
      <c r="EL162" s="79">
        <f>SUMIF($DK$2:$EI$2,$EL$2,$DK162:$EI162)</f>
        <v>0</v>
      </c>
      <c r="EM162" s="79">
        <f t="shared" ref="EM162:EM197" si="282">DE162+DH162+DG162+DJ162+(EJ162+EK162+EL162)</f>
        <v>8565.5200000000041</v>
      </c>
      <c r="ES162" s="66">
        <v>-5208.42</v>
      </c>
      <c r="ET162" s="66">
        <v>-3357.1</v>
      </c>
      <c r="FI162" s="66">
        <f t="shared" ref="FI162:FI193" si="283">SUMIF($ES$2:$FH$2,$FI$2,$ES162:$FH162)</f>
        <v>0</v>
      </c>
      <c r="FJ162" s="66">
        <f t="shared" ref="FJ162:FJ193" si="284">SUMIF($ES$2:$FH$2,$FJ$2,$ES162:$FH162)</f>
        <v>0</v>
      </c>
      <c r="FK162" s="66">
        <f t="shared" ref="FK162:FK193" si="285">SUMIF($ES$2:$FH$2,$FK$2,$ES162:$FH162)</f>
        <v>-8565.52</v>
      </c>
      <c r="FL162" s="173">
        <f t="shared" ref="FL162:FL193" si="286">EM162+EO162+EP162+EQ162+(FK162+FI162+FJ162)</f>
        <v>0</v>
      </c>
    </row>
    <row r="163" spans="1:169" hidden="1" outlineLevel="1" x14ac:dyDescent="0.2">
      <c r="A163" s="88" t="s">
        <v>9</v>
      </c>
      <c r="B163" s="88" t="s">
        <v>34</v>
      </c>
      <c r="C163" s="88" t="s">
        <v>90</v>
      </c>
      <c r="D163" s="88" t="s">
        <v>111</v>
      </c>
      <c r="E163" s="89" t="s">
        <v>214</v>
      </c>
      <c r="F163" s="89" t="s">
        <v>712</v>
      </c>
      <c r="G163" s="77" t="str">
        <f t="shared" si="273"/>
        <v>0</v>
      </c>
      <c r="H163" s="77" t="str">
        <f t="shared" si="274"/>
        <v>0</v>
      </c>
      <c r="I163" s="77" t="str">
        <f t="shared" si="275"/>
        <v>1</v>
      </c>
      <c r="J163" s="77" t="str">
        <f t="shared" si="276"/>
        <v>0</v>
      </c>
      <c r="K163" s="77" t="str">
        <f t="shared" si="277"/>
        <v>0010</v>
      </c>
      <c r="L163" s="77" t="str">
        <f>IFERROR(VLOOKUP(K163,Sheet2!$A$20:$B$23,2,FALSE),"X")</f>
        <v>03</v>
      </c>
      <c r="M163" s="77" t="str">
        <f t="shared" si="278"/>
        <v>0030N/ADistrict Design and Led 19-22</v>
      </c>
      <c r="N163" s="88"/>
      <c r="O163" s="88" t="s">
        <v>160</v>
      </c>
      <c r="P163" s="90" t="s">
        <v>168</v>
      </c>
      <c r="Q163" s="91"/>
      <c r="R163" s="91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>
        <f>SUMIF($T$2:$AQ$2,$AR$2,$T163:$AQ163)</f>
        <v>0</v>
      </c>
      <c r="AS163" s="92">
        <f>SUMIF($T$2:$AQ$2,$AS$2,$T163:$AQ163)</f>
        <v>0</v>
      </c>
      <c r="AT163" s="92">
        <f t="shared" si="279"/>
        <v>0</v>
      </c>
      <c r="AU163" s="161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>
        <f>SUMIF($AX$2:$BU$2,$BV$2,$AX163:$BU163)</f>
        <v>0</v>
      </c>
      <c r="BW163" s="92">
        <f>SUMIF($AX$2:$BU$2,$BW$2,$AX163:$BU163)</f>
        <v>0</v>
      </c>
      <c r="BX163" s="92">
        <f t="shared" si="280"/>
        <v>0</v>
      </c>
      <c r="BY163" s="92"/>
      <c r="BZ163" s="92"/>
      <c r="CA163" s="92"/>
      <c r="CB163" s="92"/>
      <c r="CC163" s="92">
        <v>27625</v>
      </c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>
        <f>SUMIF($CD$2:$DA$2,$DB$2,$CD163:$DA163)</f>
        <v>0</v>
      </c>
      <c r="DC163" s="92">
        <f>SUMIF($CD$2:$DA$2,$DC$2,$CD163:$DA163)</f>
        <v>0</v>
      </c>
      <c r="DD163" s="92">
        <f>SUMIF($CD$2:$DA$2,$DD$2,$CD163:$DA163)</f>
        <v>0</v>
      </c>
      <c r="DE163" s="92">
        <f t="shared" si="281"/>
        <v>27625</v>
      </c>
      <c r="DF163" s="79"/>
      <c r="DP163" s="131"/>
      <c r="EC163" s="79" t="s">
        <v>701</v>
      </c>
      <c r="EJ163" s="79">
        <f>SUMIF($DK$2:$EI$2,$EJ$2,$DK163:$EI163)</f>
        <v>0</v>
      </c>
      <c r="EK163" s="79">
        <f>SUMIF($DK$2:$EI$2,$EK$2,$DK163:$EI163)</f>
        <v>0</v>
      </c>
      <c r="EL163" s="79">
        <f>SUMIF($DK$2:$EI$2,$EL$2,$DK163:$EI163)</f>
        <v>0</v>
      </c>
      <c r="EM163" s="79">
        <f t="shared" si="282"/>
        <v>27625</v>
      </c>
      <c r="EU163" s="145"/>
      <c r="FI163" s="66">
        <f t="shared" si="283"/>
        <v>0</v>
      </c>
      <c r="FJ163" s="66">
        <f t="shared" si="284"/>
        <v>0</v>
      </c>
      <c r="FK163" s="66">
        <f t="shared" si="285"/>
        <v>0</v>
      </c>
      <c r="FL163" s="173">
        <f t="shared" si="286"/>
        <v>27625</v>
      </c>
    </row>
    <row r="164" spans="1:169" hidden="1" outlineLevel="1" x14ac:dyDescent="0.2">
      <c r="A164" s="76" t="s">
        <v>9</v>
      </c>
      <c r="B164" s="76" t="s">
        <v>34</v>
      </c>
      <c r="C164" s="76" t="s">
        <v>90</v>
      </c>
      <c r="D164" s="76" t="s">
        <v>111</v>
      </c>
      <c r="E164" s="77" t="s">
        <v>211</v>
      </c>
      <c r="F164" s="77" t="s">
        <v>712</v>
      </c>
      <c r="G164" s="77" t="str">
        <f t="shared" si="273"/>
        <v>1</v>
      </c>
      <c r="H164" s="77" t="str">
        <f t="shared" si="274"/>
        <v>0</v>
      </c>
      <c r="I164" s="77" t="str">
        <f t="shared" si="275"/>
        <v>0</v>
      </c>
      <c r="J164" s="77" t="str">
        <f t="shared" si="276"/>
        <v>0</v>
      </c>
      <c r="K164" s="77" t="str">
        <f t="shared" si="277"/>
        <v>1000</v>
      </c>
      <c r="L164" s="77" t="str">
        <f>IFERROR(VLOOKUP(K164,Sheet2!$A$20:$B$23,2,FALSE),"X")</f>
        <v>01</v>
      </c>
      <c r="M164" s="77" t="str">
        <f t="shared" si="278"/>
        <v>0030N/ADistrict Design and Led 17-20</v>
      </c>
      <c r="N164" s="76" t="s">
        <v>161</v>
      </c>
      <c r="O164" s="76" t="s">
        <v>160</v>
      </c>
      <c r="P164" s="69" t="s">
        <v>168</v>
      </c>
      <c r="Q164" s="78">
        <v>43168</v>
      </c>
      <c r="R164" s="78">
        <v>43168</v>
      </c>
      <c r="S164" s="79">
        <v>25000</v>
      </c>
      <c r="AR164" s="79">
        <f>SUMIF($T$2:$AQ$2,$AR$2,$T164:$AQ164)</f>
        <v>0</v>
      </c>
      <c r="AS164" s="79">
        <f>SUMIF($T$2:$AQ$2,$AS$2,$T164:$AQ164)</f>
        <v>0</v>
      </c>
      <c r="AT164" s="79">
        <f t="shared" si="279"/>
        <v>25000</v>
      </c>
      <c r="AV164" s="79"/>
      <c r="BV164" s="79">
        <f>SUMIF($AX$2:$BU$2,$BV$2,$AX164:$BU164)</f>
        <v>0</v>
      </c>
      <c r="BW164" s="79">
        <f>SUMIF($AX$2:$BU$2,$BW$2,$AX164:$BU164)</f>
        <v>0</v>
      </c>
      <c r="BX164" s="79">
        <f t="shared" si="280"/>
        <v>25000</v>
      </c>
      <c r="DB164" s="79">
        <f>SUMIF($CD$2:$DA$2,$DB$2,$CD164:$DA164)</f>
        <v>0</v>
      </c>
      <c r="DC164" s="79">
        <f>SUMIF($CD$2:$DA$2,$DC$2,$CD164:$DA164)</f>
        <v>0</v>
      </c>
      <c r="DD164" s="79">
        <f>SUMIF($CD$2:$DA$2,$DD$2,$CD164:$DA164)</f>
        <v>0</v>
      </c>
      <c r="DE164" s="79">
        <f t="shared" si="281"/>
        <v>25000</v>
      </c>
      <c r="DP164" s="131"/>
      <c r="EJ164" s="79">
        <f>SUMIF($DK$2:$EI$2,$EJ$2,$DK164:$EI164)</f>
        <v>0</v>
      </c>
      <c r="EK164" s="79">
        <f>SUMIF($DK$2:$EI$2,$EK$2,$DK164:$EI164)</f>
        <v>0</v>
      </c>
      <c r="EL164" s="79">
        <f>SUMIF($DK$2:$EI$2,$EL$2,$DK164:$EI164)</f>
        <v>0</v>
      </c>
      <c r="EM164" s="79">
        <f t="shared" si="282"/>
        <v>25000</v>
      </c>
      <c r="EU164" s="145">
        <v>-10978.89</v>
      </c>
      <c r="FI164" s="66">
        <f t="shared" si="283"/>
        <v>0</v>
      </c>
      <c r="FJ164" s="66">
        <f t="shared" si="284"/>
        <v>0</v>
      </c>
      <c r="FK164" s="66">
        <f t="shared" si="285"/>
        <v>-10978.89</v>
      </c>
      <c r="FL164" s="173">
        <f t="shared" si="286"/>
        <v>14021.11</v>
      </c>
    </row>
    <row r="165" spans="1:169" s="118" customFormat="1" hidden="1" outlineLevel="1" x14ac:dyDescent="0.2">
      <c r="A165" s="118" t="s">
        <v>9</v>
      </c>
      <c r="B165" s="118" t="s">
        <v>748</v>
      </c>
      <c r="C165" s="118" t="s">
        <v>90</v>
      </c>
      <c r="D165" s="118" t="s">
        <v>111</v>
      </c>
      <c r="E165" s="119" t="s">
        <v>456</v>
      </c>
      <c r="F165" s="119"/>
      <c r="G165" s="119"/>
      <c r="H165" s="119"/>
      <c r="I165" s="119"/>
      <c r="J165" s="119"/>
      <c r="K165" s="119"/>
      <c r="L165" s="119"/>
      <c r="M165" s="119" t="str">
        <f t="shared" si="278"/>
        <v>00309999District Design and Led 20-23</v>
      </c>
      <c r="O165" s="118" t="s">
        <v>160</v>
      </c>
      <c r="P165" s="120"/>
      <c r="Q165" s="121"/>
      <c r="R165" s="121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60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60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60"/>
      <c r="DG165" s="122"/>
      <c r="DH165" s="122"/>
      <c r="DI165" s="122"/>
      <c r="DJ165" s="122">
        <v>205331</v>
      </c>
      <c r="DK165" s="122"/>
      <c r="DL165" s="122"/>
      <c r="DM165" s="122"/>
      <c r="DN165" s="122"/>
      <c r="DO165" s="122"/>
      <c r="DP165" s="122"/>
      <c r="DQ165" s="122"/>
      <c r="DR165" s="122"/>
      <c r="DS165" s="122"/>
      <c r="DT165" s="122"/>
      <c r="DU165" s="122"/>
      <c r="DV165" s="122"/>
      <c r="DW165" s="122"/>
      <c r="DX165" s="122"/>
      <c r="DY165" s="122"/>
      <c r="DZ165" s="122"/>
      <c r="EA165" s="122"/>
      <c r="EB165" s="122"/>
      <c r="EC165" s="122"/>
      <c r="ED165" s="122"/>
      <c r="EE165" s="122"/>
      <c r="EF165" s="122"/>
      <c r="EG165" s="131"/>
      <c r="EH165" s="122"/>
      <c r="EI165" s="122"/>
      <c r="EJ165" s="122"/>
      <c r="EK165" s="122"/>
      <c r="EL165" s="122"/>
      <c r="EM165" s="122">
        <f t="shared" si="282"/>
        <v>205331</v>
      </c>
      <c r="EN165" s="122"/>
      <c r="EO165" s="122"/>
      <c r="EP165" s="122"/>
      <c r="EQ165" s="103">
        <v>382356</v>
      </c>
      <c r="ER165" s="122"/>
      <c r="ES165" s="126"/>
      <c r="ET165" s="126" t="s">
        <v>701</v>
      </c>
      <c r="EU165" s="148">
        <v>-126560.91</v>
      </c>
      <c r="EV165" s="6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66">
        <f t="shared" si="283"/>
        <v>0</v>
      </c>
      <c r="FJ165" s="66">
        <f t="shared" si="284"/>
        <v>0</v>
      </c>
      <c r="FK165" s="66">
        <f t="shared" si="285"/>
        <v>-126560.91</v>
      </c>
      <c r="FL165" s="173">
        <f t="shared" si="286"/>
        <v>461126.08999999997</v>
      </c>
      <c r="FM165" s="123"/>
    </row>
    <row r="166" spans="1:169" hidden="1" outlineLevel="1" x14ac:dyDescent="0.2">
      <c r="A166" s="76" t="s">
        <v>10</v>
      </c>
      <c r="B166" s="76" t="s">
        <v>34</v>
      </c>
      <c r="C166" s="76" t="s">
        <v>91</v>
      </c>
      <c r="D166" s="76" t="s">
        <v>111</v>
      </c>
      <c r="E166" s="77" t="s">
        <v>211</v>
      </c>
      <c r="F166" s="77" t="s">
        <v>712</v>
      </c>
      <c r="G166" s="77" t="str">
        <f t="shared" si="273"/>
        <v>1</v>
      </c>
      <c r="H166" s="77" t="str">
        <f t="shared" si="274"/>
        <v>0</v>
      </c>
      <c r="I166" s="77" t="str">
        <f t="shared" si="275"/>
        <v>0</v>
      </c>
      <c r="J166" s="77" t="str">
        <f t="shared" si="276"/>
        <v>0</v>
      </c>
      <c r="K166" s="77" t="str">
        <f t="shared" si="277"/>
        <v>1000</v>
      </c>
      <c r="L166" s="77" t="str">
        <f>IFERROR(VLOOKUP(K166,Sheet2!$A$20:$B$23,2,FALSE),"X")</f>
        <v>01</v>
      </c>
      <c r="M166" s="77" t="str">
        <f t="shared" si="278"/>
        <v>0050N/ADistrict Design and Led 17-20</v>
      </c>
      <c r="N166" s="76" t="s">
        <v>161</v>
      </c>
      <c r="O166" s="76" t="s">
        <v>160</v>
      </c>
      <c r="P166" s="69" t="s">
        <v>168</v>
      </c>
      <c r="Q166" s="78">
        <v>43168</v>
      </c>
      <c r="R166" s="78">
        <v>43168</v>
      </c>
      <c r="S166" s="79">
        <v>49872</v>
      </c>
      <c r="AN166" s="79">
        <v>-49872</v>
      </c>
      <c r="AR166" s="79">
        <f>SUMIF($T$2:$AQ$2,$AR$2,$T166:$AQ166)</f>
        <v>-49872</v>
      </c>
      <c r="AS166" s="79">
        <f>SUMIF($T$2:$AQ$2,$AS$2,$T166:$AQ166)</f>
        <v>0</v>
      </c>
      <c r="AT166" s="79">
        <f t="shared" si="279"/>
        <v>0</v>
      </c>
      <c r="AU166" s="79"/>
      <c r="AV166" s="79"/>
      <c r="BV166" s="79">
        <f>SUMIF($AX$2:$BU$2,$BV$2,$AX166:$BU166)</f>
        <v>0</v>
      </c>
      <c r="BW166" s="79">
        <f>SUMIF($AX$2:$BU$2,$BW$2,$AX166:$BU166)</f>
        <v>0</v>
      </c>
      <c r="BX166" s="79">
        <f t="shared" si="280"/>
        <v>0</v>
      </c>
      <c r="BY166" s="79"/>
      <c r="DB166" s="79">
        <f>SUMIF($CD$2:$DA$2,$DB$2,$CD166:$DA166)</f>
        <v>0</v>
      </c>
      <c r="DC166" s="79">
        <f>SUMIF($CD$2:$DA$2,$DC$2,$CD166:$DA166)</f>
        <v>0</v>
      </c>
      <c r="DD166" s="79">
        <f>SUMIF($CD$2:$DA$2,$DD$2,$CD166:$DA166)</f>
        <v>0</v>
      </c>
      <c r="DE166" s="79">
        <f t="shared" si="281"/>
        <v>0</v>
      </c>
      <c r="DF166" s="79"/>
      <c r="DP166" s="131"/>
      <c r="EJ166" s="79">
        <f>SUMIF($DK$2:$EI$2,$EJ$2,$DK166:$EI166)</f>
        <v>0</v>
      </c>
      <c r="EK166" s="79">
        <f>SUMIF($DK$2:$EI$2,$EK$2,$DK166:$EI166)</f>
        <v>0</v>
      </c>
      <c r="EL166" s="79">
        <f>SUMIF($DK$2:$EI$2,$EL$2,$DK166:$EI166)</f>
        <v>0</v>
      </c>
      <c r="EM166" s="79">
        <f t="shared" si="282"/>
        <v>0</v>
      </c>
      <c r="FI166" s="66">
        <f t="shared" si="283"/>
        <v>0</v>
      </c>
      <c r="FJ166" s="66">
        <f t="shared" si="284"/>
        <v>0</v>
      </c>
      <c r="FK166" s="66">
        <f t="shared" si="285"/>
        <v>0</v>
      </c>
      <c r="FL166" s="173">
        <f t="shared" si="286"/>
        <v>0</v>
      </c>
    </row>
    <row r="167" spans="1:169" hidden="1" outlineLevel="1" x14ac:dyDescent="0.2">
      <c r="A167" s="76" t="s">
        <v>12</v>
      </c>
      <c r="B167" s="76" t="s">
        <v>34</v>
      </c>
      <c r="C167" s="76" t="s">
        <v>93</v>
      </c>
      <c r="D167" s="76" t="s">
        <v>111</v>
      </c>
      <c r="E167" s="77" t="s">
        <v>211</v>
      </c>
      <c r="F167" s="77" t="s">
        <v>712</v>
      </c>
      <c r="G167" s="77" t="str">
        <f t="shared" si="273"/>
        <v>1</v>
      </c>
      <c r="H167" s="77" t="str">
        <f t="shared" si="274"/>
        <v>0</v>
      </c>
      <c r="I167" s="77" t="str">
        <f t="shared" si="275"/>
        <v>0</v>
      </c>
      <c r="J167" s="77" t="str">
        <f t="shared" si="276"/>
        <v>0</v>
      </c>
      <c r="K167" s="77" t="str">
        <f t="shared" si="277"/>
        <v>1000</v>
      </c>
      <c r="L167" s="77" t="str">
        <f>IFERROR(VLOOKUP(K167,Sheet2!$A$20:$B$23,2,FALSE),"X")</f>
        <v>01</v>
      </c>
      <c r="M167" s="77" t="str">
        <f t="shared" si="278"/>
        <v>0070N/ADistrict Design and Led 17-20</v>
      </c>
      <c r="N167" s="76" t="s">
        <v>161</v>
      </c>
      <c r="O167" s="76" t="s">
        <v>160</v>
      </c>
      <c r="P167" s="69" t="s">
        <v>168</v>
      </c>
      <c r="Q167" s="78">
        <v>43168</v>
      </c>
      <c r="R167" s="78">
        <v>43168</v>
      </c>
      <c r="S167" s="79">
        <v>358789</v>
      </c>
      <c r="AR167" s="79">
        <f>SUMIF($T$2:$AQ$2,$AR$2,$T167:$AQ167)</f>
        <v>0</v>
      </c>
      <c r="AS167" s="79">
        <f>SUMIF($T$2:$AQ$2,$AS$2,$T167:$AQ167)</f>
        <v>0</v>
      </c>
      <c r="AT167" s="79">
        <f t="shared" si="279"/>
        <v>358789</v>
      </c>
      <c r="AU167" s="79"/>
      <c r="AV167" s="79"/>
      <c r="BB167" s="79">
        <v>-1746</v>
      </c>
      <c r="BD167" s="79">
        <v>-9359</v>
      </c>
      <c r="BF167" s="79">
        <v>-5636</v>
      </c>
      <c r="BH167" s="79">
        <v>-30766</v>
      </c>
      <c r="BJ167" s="79">
        <v>-12952</v>
      </c>
      <c r="BL167" s="79">
        <v>-37200</v>
      </c>
      <c r="BN167" s="79">
        <v>-24226</v>
      </c>
      <c r="BP167" s="79">
        <v>-10500</v>
      </c>
      <c r="BV167" s="79">
        <f>SUMIF($AX$2:$BU$2,$BV$2,$AX167:$BU167)</f>
        <v>-132385</v>
      </c>
      <c r="BW167" s="79">
        <f>SUMIF($AX$2:$BU$2,$BW$2,$AX167:$BU167)</f>
        <v>0</v>
      </c>
      <c r="BX167" s="79">
        <f t="shared" si="280"/>
        <v>226404</v>
      </c>
      <c r="BY167" s="79"/>
      <c r="CD167" s="79">
        <v>-154595.37</v>
      </c>
      <c r="CT167" s="79">
        <v>-33500</v>
      </c>
      <c r="CV167" s="79">
        <v>-32744.7</v>
      </c>
      <c r="CX167" s="79">
        <v>-3400</v>
      </c>
      <c r="DB167" s="79">
        <f>SUMIF($CD$2:$DA$2,$DB$2,$CD167:$DA167)</f>
        <v>-154595.37</v>
      </c>
      <c r="DC167" s="79">
        <f>SUMIF($CD$2:$DA$2,$DC$2,$CD167:$DA167)</f>
        <v>-69644.7</v>
      </c>
      <c r="DD167" s="79">
        <f>SUMIF($CD$2:$DA$2,$DD$2,$CD167:$DA167)</f>
        <v>0</v>
      </c>
      <c r="DE167" s="79">
        <f t="shared" si="281"/>
        <v>2163.929999999993</v>
      </c>
      <c r="DF167" s="79"/>
      <c r="DP167" s="131"/>
      <c r="EJ167" s="79">
        <f>SUMIF($DK$2:$EI$2,$EJ$2,$DK167:$EI167)</f>
        <v>0</v>
      </c>
      <c r="EK167" s="79">
        <f>SUMIF($DK$2:$EI$2,$EK$2,$DK167:$EI167)</f>
        <v>0</v>
      </c>
      <c r="EL167" s="79">
        <f>SUMIF($DK$2:$EI$2,$EL$2,$DK167:$EI167)</f>
        <v>0</v>
      </c>
      <c r="EM167" s="79">
        <f t="shared" si="282"/>
        <v>2163.929999999993</v>
      </c>
      <c r="EX167" s="144">
        <v>-2163.9299999999998</v>
      </c>
      <c r="FI167" s="66">
        <f t="shared" si="283"/>
        <v>0</v>
      </c>
      <c r="FJ167" s="66">
        <f t="shared" si="284"/>
        <v>0</v>
      </c>
      <c r="FK167" s="66">
        <f t="shared" si="285"/>
        <v>-2163.9299999999998</v>
      </c>
      <c r="FL167" s="173">
        <f t="shared" si="286"/>
        <v>-6.8212102632969618E-12</v>
      </c>
    </row>
    <row r="168" spans="1:169" hidden="1" outlineLevel="1" x14ac:dyDescent="0.2">
      <c r="A168" s="76" t="s">
        <v>12</v>
      </c>
      <c r="B168" s="76" t="s">
        <v>34</v>
      </c>
      <c r="C168" s="76" t="s">
        <v>93</v>
      </c>
      <c r="D168" s="76" t="s">
        <v>111</v>
      </c>
      <c r="E168" s="77" t="s">
        <v>213</v>
      </c>
      <c r="F168" s="77" t="s">
        <v>712</v>
      </c>
      <c r="G168" s="77" t="str">
        <f t="shared" si="273"/>
        <v>0</v>
      </c>
      <c r="H168" s="77" t="str">
        <f t="shared" si="274"/>
        <v>1</v>
      </c>
      <c r="I168" s="77" t="str">
        <f t="shared" si="275"/>
        <v>0</v>
      </c>
      <c r="J168" s="77" t="str">
        <f t="shared" si="276"/>
        <v>0</v>
      </c>
      <c r="K168" s="77" t="str">
        <f t="shared" si="277"/>
        <v>0100</v>
      </c>
      <c r="L168" s="77" t="str">
        <f>IFERROR(VLOOKUP(K168,Sheet2!$A$20:$B$23,2,FALSE),"X")</f>
        <v>02</v>
      </c>
      <c r="M168" s="77" t="str">
        <f t="shared" si="278"/>
        <v>0070N/ADistrict Design and Led 18-21</v>
      </c>
      <c r="O168" s="76" t="s">
        <v>160</v>
      </c>
      <c r="P168" s="69" t="s">
        <v>168</v>
      </c>
      <c r="Q168" s="78"/>
      <c r="R168" s="78"/>
      <c r="AR168" s="79">
        <f>SUMIF($T$2:$AQ$2,$AR$2,$T168:$AQ168)</f>
        <v>0</v>
      </c>
      <c r="AS168" s="79">
        <f>SUMIF($T$2:$AQ$2,$AS$2,$T168:$AQ168)</f>
        <v>0</v>
      </c>
      <c r="AT168" s="79">
        <f t="shared" si="279"/>
        <v>0</v>
      </c>
      <c r="AU168" s="158" t="s">
        <v>336</v>
      </c>
      <c r="AV168" s="79"/>
      <c r="AW168" s="79">
        <v>135500</v>
      </c>
      <c r="BR168" s="79">
        <v>-5869</v>
      </c>
      <c r="BT168" s="79">
        <v>-25200</v>
      </c>
      <c r="BV168" s="79">
        <f>SUMIF($AX$2:$BU$2,$BV$2,$AX168:$BU168)</f>
        <v>-31069</v>
      </c>
      <c r="BW168" s="79">
        <f>SUMIF($AX$2:$BU$2,$BW$2,$AX168:$BU168)</f>
        <v>0</v>
      </c>
      <c r="BX168" s="79">
        <f t="shared" si="280"/>
        <v>104431</v>
      </c>
      <c r="BY168" s="79"/>
      <c r="CF168" s="79">
        <v>-40679.279999999999</v>
      </c>
      <c r="CP168" s="79">
        <v>-10500</v>
      </c>
      <c r="CR168" s="79">
        <v>-1050</v>
      </c>
      <c r="DB168" s="79">
        <f>SUMIF($CD$2:$DA$2,$DB$2,$CD168:$DA168)</f>
        <v>-40679.279999999999</v>
      </c>
      <c r="DC168" s="79">
        <f>SUMIF($CD$2:$DA$2,$DC$2,$CD168:$DA168)</f>
        <v>-11550</v>
      </c>
      <c r="DD168" s="79">
        <f>SUMIF($CD$2:$DA$2,$DD$2,$CD168:$DA168)</f>
        <v>0</v>
      </c>
      <c r="DE168" s="79">
        <f t="shared" si="281"/>
        <v>52201.72</v>
      </c>
      <c r="DF168" s="79"/>
      <c r="DP168" s="131">
        <v>-31848.06</v>
      </c>
      <c r="EJ168" s="79">
        <f>SUMIF($DK$2:$EI$2,$EJ$2,$DK168:$EI168)</f>
        <v>-31848.06</v>
      </c>
      <c r="EK168" s="79">
        <f>SUMIF($DK$2:$EI$2,$EK$2,$DK168:$EI168)</f>
        <v>0</v>
      </c>
      <c r="EL168" s="79">
        <f>SUMIF($DK$2:$EI$2,$EL$2,$DK168:$EI168)</f>
        <v>0</v>
      </c>
      <c r="EM168" s="79">
        <f t="shared" si="282"/>
        <v>20353.66</v>
      </c>
      <c r="EX168" s="144">
        <v>-14100.540000000006</v>
      </c>
      <c r="EY168" s="144">
        <v>-6252.74</v>
      </c>
      <c r="FI168" s="66">
        <f t="shared" si="283"/>
        <v>0</v>
      </c>
      <c r="FJ168" s="66">
        <f t="shared" si="284"/>
        <v>0</v>
      </c>
      <c r="FK168" s="66">
        <f t="shared" si="285"/>
        <v>-20353.280000000006</v>
      </c>
      <c r="FL168" s="173">
        <f t="shared" si="286"/>
        <v>0.37999999999374268</v>
      </c>
    </row>
    <row r="169" spans="1:169" s="118" customFormat="1" hidden="1" outlineLevel="1" x14ac:dyDescent="0.2">
      <c r="A169" s="118" t="s">
        <v>12</v>
      </c>
      <c r="B169" s="119" t="s">
        <v>651</v>
      </c>
      <c r="C169" s="118" t="s">
        <v>93</v>
      </c>
      <c r="D169" s="118" t="s">
        <v>662</v>
      </c>
      <c r="E169" s="119" t="s">
        <v>456</v>
      </c>
      <c r="F169" s="119"/>
      <c r="G169" s="119"/>
      <c r="H169" s="119"/>
      <c r="I169" s="119"/>
      <c r="J169" s="119"/>
      <c r="K169" s="119"/>
      <c r="L169" s="119"/>
      <c r="M169" s="119" t="str">
        <f t="shared" si="278"/>
        <v>00703931District Design and Led 20-23</v>
      </c>
      <c r="O169" s="118" t="s">
        <v>160</v>
      </c>
      <c r="P169" s="120"/>
      <c r="Q169" s="121"/>
      <c r="R169" s="121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60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60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60"/>
      <c r="DG169" s="122"/>
      <c r="DH169" s="122"/>
      <c r="DI169" s="122"/>
      <c r="DJ169" s="122">
        <v>22875</v>
      </c>
      <c r="DK169" s="122"/>
      <c r="DL169" s="122"/>
      <c r="DM169" s="122"/>
      <c r="DN169" s="122"/>
      <c r="DO169" s="122"/>
      <c r="DP169" s="122"/>
      <c r="DQ169" s="122"/>
      <c r="DR169" s="122"/>
      <c r="DS169" s="122"/>
      <c r="DT169" s="122"/>
      <c r="DU169" s="122"/>
      <c r="DV169" s="122"/>
      <c r="DW169" s="122"/>
      <c r="DX169" s="122"/>
      <c r="DY169" s="122"/>
      <c r="DZ169" s="122"/>
      <c r="EA169" s="122"/>
      <c r="EB169" s="122"/>
      <c r="EC169" s="122"/>
      <c r="ED169" s="122"/>
      <c r="EE169" s="122"/>
      <c r="EF169" s="122"/>
      <c r="EG169" s="131"/>
      <c r="EH169" s="122"/>
      <c r="EI169" s="122"/>
      <c r="EJ169" s="122"/>
      <c r="EK169" s="122"/>
      <c r="EL169" s="122"/>
      <c r="EM169" s="122">
        <f t="shared" si="282"/>
        <v>22875</v>
      </c>
      <c r="EN169" s="122"/>
      <c r="EO169" s="122"/>
      <c r="EP169" s="122"/>
      <c r="EQ169" s="103">
        <v>50750</v>
      </c>
      <c r="ER169" s="122"/>
      <c r="ES169" s="126"/>
      <c r="ET169" s="126"/>
      <c r="EU169" s="126"/>
      <c r="EV169" s="66"/>
      <c r="EW169" s="126"/>
      <c r="EX169" s="126"/>
      <c r="EY169" s="144">
        <v>-6467.16</v>
      </c>
      <c r="EZ169" s="126"/>
      <c r="FA169" s="126"/>
      <c r="FB169" s="126"/>
      <c r="FC169" s="126">
        <f>-8723.74-6467.16</f>
        <v>-15190.9</v>
      </c>
      <c r="FD169" s="66">
        <v>-8076.48</v>
      </c>
      <c r="FE169" s="126"/>
      <c r="FF169" s="126"/>
      <c r="FG169" s="126"/>
      <c r="FH169" s="126"/>
      <c r="FI169" s="66">
        <f t="shared" si="283"/>
        <v>0</v>
      </c>
      <c r="FJ169" s="66">
        <f t="shared" si="284"/>
        <v>0</v>
      </c>
      <c r="FK169" s="66">
        <f t="shared" si="285"/>
        <v>-29734.539999999997</v>
      </c>
      <c r="FL169" s="173">
        <f t="shared" si="286"/>
        <v>43890.460000000006</v>
      </c>
      <c r="FM169" s="123"/>
    </row>
    <row r="170" spans="1:169" hidden="1" outlineLevel="1" x14ac:dyDescent="0.2">
      <c r="A170" s="77" t="s">
        <v>13</v>
      </c>
      <c r="B170" s="76" t="s">
        <v>34</v>
      </c>
      <c r="C170" s="76" t="s">
        <v>94</v>
      </c>
      <c r="D170" s="76" t="s">
        <v>111</v>
      </c>
      <c r="E170" s="77" t="s">
        <v>213</v>
      </c>
      <c r="F170" s="77" t="s">
        <v>712</v>
      </c>
      <c r="G170" s="77" t="str">
        <f t="shared" si="273"/>
        <v>0</v>
      </c>
      <c r="H170" s="77" t="str">
        <f t="shared" si="274"/>
        <v>1</v>
      </c>
      <c r="I170" s="77" t="str">
        <f t="shared" si="275"/>
        <v>0</v>
      </c>
      <c r="J170" s="77" t="str">
        <f t="shared" si="276"/>
        <v>0</v>
      </c>
      <c r="K170" s="77" t="str">
        <f t="shared" si="277"/>
        <v>0100</v>
      </c>
      <c r="L170" s="77" t="str">
        <f>IFERROR(VLOOKUP(K170,Sheet2!$A$20:$B$23,2,FALSE),"X")</f>
        <v>02</v>
      </c>
      <c r="M170" s="77" t="str">
        <f t="shared" si="278"/>
        <v>0120N/ADistrict Design and Led 18-21</v>
      </c>
      <c r="O170" s="76" t="s">
        <v>160</v>
      </c>
      <c r="P170" s="69" t="s">
        <v>168</v>
      </c>
      <c r="Q170" s="78"/>
      <c r="R170" s="78"/>
      <c r="AR170" s="79">
        <f>SUMIF($T$2:$AQ$2,$AR$2,$T170:$AQ170)</f>
        <v>0</v>
      </c>
      <c r="AS170" s="79">
        <f>SUMIF($T$2:$AQ$2,$AS$2,$T170:$AQ170)</f>
        <v>0</v>
      </c>
      <c r="AT170" s="79">
        <f t="shared" si="279"/>
        <v>0</v>
      </c>
      <c r="AU170" s="158" t="s">
        <v>336</v>
      </c>
      <c r="AV170" s="79"/>
      <c r="AW170" s="79">
        <v>10525</v>
      </c>
      <c r="BV170" s="79">
        <f>SUMIF($AX$2:$BU$2,$BV$2,$AX170:$BU170)</f>
        <v>0</v>
      </c>
      <c r="BW170" s="79">
        <f>SUMIF($AX$2:$BU$2,$BW$2,$AX170:$BU170)</f>
        <v>0</v>
      </c>
      <c r="BX170" s="79">
        <f t="shared" si="280"/>
        <v>10525</v>
      </c>
      <c r="BY170" s="158" t="s">
        <v>341</v>
      </c>
      <c r="CA170" s="79">
        <v>74124</v>
      </c>
      <c r="CD170" s="79">
        <v>-9163</v>
      </c>
      <c r="CT170" s="79">
        <f>-1362-9764</f>
        <v>-11126</v>
      </c>
      <c r="CV170" s="79">
        <v>-270</v>
      </c>
      <c r="DB170" s="79">
        <f>SUMIF($CD$2:$DA$2,$DB$2,$CD170:$DA170)</f>
        <v>-9163</v>
      </c>
      <c r="DC170" s="79">
        <f>SUMIF($CD$2:$DA$2,$DC$2,$CD170:$DA170)</f>
        <v>-11396</v>
      </c>
      <c r="DD170" s="79">
        <f>SUMIF($CD$2:$DA$2,$DD$2,$CD170:$DA170)</f>
        <v>0</v>
      </c>
      <c r="DE170" s="79">
        <f t="shared" si="281"/>
        <v>64090</v>
      </c>
      <c r="DG170" s="79">
        <v>81390</v>
      </c>
      <c r="DM170" s="79">
        <v>-4527</v>
      </c>
      <c r="DP170" s="131"/>
      <c r="DQ170" s="79">
        <v>-25147</v>
      </c>
      <c r="DS170" s="79">
        <v>-835</v>
      </c>
      <c r="DU170" s="79">
        <v>-450</v>
      </c>
      <c r="DW170" s="79">
        <v>-4590</v>
      </c>
      <c r="DY170" s="79">
        <v>-3273</v>
      </c>
      <c r="EA170" s="79">
        <v>-6900</v>
      </c>
      <c r="EE170" s="79">
        <v>-1878</v>
      </c>
      <c r="EJ170" s="79">
        <f>SUMIF($DK$2:$EI$2,$EJ$2,$DK170:$EI170)</f>
        <v>0</v>
      </c>
      <c r="EK170" s="79">
        <f>SUMIF($DK$2:$EI$2,$EK$2,$DK170:$EI170)</f>
        <v>-47600</v>
      </c>
      <c r="EL170" s="79">
        <f>SUMIF($DK$2:$EI$2,$EL$2,$DK170:$EI170)</f>
        <v>0</v>
      </c>
      <c r="EM170" s="79">
        <f t="shared" si="282"/>
        <v>97880</v>
      </c>
      <c r="ES170" s="144">
        <v>-20614</v>
      </c>
      <c r="ET170" s="144">
        <v>-3207</v>
      </c>
      <c r="EY170" s="144">
        <v>-13398</v>
      </c>
      <c r="FE170" s="312">
        <v>-7363.53</v>
      </c>
      <c r="FI170" s="66">
        <f t="shared" si="283"/>
        <v>0</v>
      </c>
      <c r="FJ170" s="66">
        <f t="shared" si="284"/>
        <v>0</v>
      </c>
      <c r="FK170" s="66">
        <f t="shared" si="285"/>
        <v>-44582.53</v>
      </c>
      <c r="FL170" s="173">
        <f t="shared" si="286"/>
        <v>53297.47</v>
      </c>
    </row>
    <row r="171" spans="1:169" hidden="1" outlineLevel="1" x14ac:dyDescent="0.2">
      <c r="A171" s="88" t="s">
        <v>14</v>
      </c>
      <c r="B171" s="88" t="s">
        <v>351</v>
      </c>
      <c r="C171" s="88" t="s">
        <v>95</v>
      </c>
      <c r="D171" s="88" t="s">
        <v>570</v>
      </c>
      <c r="E171" s="89" t="s">
        <v>214</v>
      </c>
      <c r="F171" s="89" t="s">
        <v>712</v>
      </c>
      <c r="G171" s="77" t="str">
        <f t="shared" si="273"/>
        <v>0</v>
      </c>
      <c r="H171" s="77" t="str">
        <f t="shared" si="274"/>
        <v>0</v>
      </c>
      <c r="I171" s="77" t="str">
        <f t="shared" si="275"/>
        <v>1</v>
      </c>
      <c r="J171" s="77" t="str">
        <f t="shared" si="276"/>
        <v>0</v>
      </c>
      <c r="K171" s="77" t="str">
        <f t="shared" si="277"/>
        <v>0010</v>
      </c>
      <c r="L171" s="77" t="str">
        <f>IFERROR(VLOOKUP(K171,Sheet2!$A$20:$B$23,2,FALSE),"X")</f>
        <v>03</v>
      </c>
      <c r="M171" s="77" t="str">
        <f t="shared" si="278"/>
        <v>01233054District Design and Led 19-22</v>
      </c>
      <c r="N171" s="88"/>
      <c r="O171" s="88" t="s">
        <v>160</v>
      </c>
      <c r="P171" s="90" t="s">
        <v>168</v>
      </c>
      <c r="Q171" s="91"/>
      <c r="R171" s="91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>
        <f>SUMIF($T$2:$AQ$2,$AR$2,$T171:$AQ171)</f>
        <v>0</v>
      </c>
      <c r="AS171" s="92">
        <f>SUMIF($T$2:$AQ$2,$AS$2,$T171:$AQ171)</f>
        <v>0</v>
      </c>
      <c r="AT171" s="92">
        <f t="shared" si="279"/>
        <v>0</v>
      </c>
      <c r="AU171" s="161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>
        <f>SUMIF($AX$2:$BU$2,$BV$2,$AX171:$BU171)</f>
        <v>0</v>
      </c>
      <c r="BW171" s="92">
        <f>SUMIF($AX$2:$BU$2,$BW$2,$AX171:$BU171)</f>
        <v>0</v>
      </c>
      <c r="BX171" s="92">
        <f t="shared" si="280"/>
        <v>0</v>
      </c>
      <c r="BY171" s="161"/>
      <c r="BZ171" s="92"/>
      <c r="CA171" s="92"/>
      <c r="CB171" s="92"/>
      <c r="CC171" s="92">
        <v>37150.1</v>
      </c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>
        <v>-826.03</v>
      </c>
      <c r="CY171" s="92"/>
      <c r="CZ171" s="92"/>
      <c r="DA171" s="92"/>
      <c r="DB171" s="92">
        <f>SUMIF($CD$2:$DA$2,$DB$2,$CD171:$DA171)</f>
        <v>0</v>
      </c>
      <c r="DC171" s="92">
        <f>SUMIF($CD$2:$DA$2,$DC$2,$CD171:$DA171)</f>
        <v>-826.03</v>
      </c>
      <c r="DD171" s="92">
        <f>SUMIF($CD$2:$DA$2,$DD$2,$CD171:$DA171)</f>
        <v>0</v>
      </c>
      <c r="DE171" s="92">
        <f t="shared" si="281"/>
        <v>36324.07</v>
      </c>
      <c r="DH171" s="103">
        <v>74256</v>
      </c>
      <c r="DP171" s="131"/>
      <c r="EJ171" s="79">
        <f>SUMIF($DK$2:$EI$2,$EJ$2,$DK171:$EI171)</f>
        <v>0</v>
      </c>
      <c r="EK171" s="79">
        <f>SUMIF($DK$2:$EI$2,$EK$2,$DK171:$EI171)</f>
        <v>0</v>
      </c>
      <c r="EL171" s="79">
        <f>SUMIF($DK$2:$EI$2,$EL$2,$DK171:$EI171)</f>
        <v>0</v>
      </c>
      <c r="EM171" s="79">
        <f t="shared" si="282"/>
        <v>110580.07</v>
      </c>
      <c r="EP171" s="103">
        <v>74256</v>
      </c>
      <c r="ES171" s="144">
        <v>-58571.05</v>
      </c>
      <c r="EW171" s="144">
        <v>-3966.03</v>
      </c>
      <c r="FI171" s="66">
        <f t="shared" si="283"/>
        <v>0</v>
      </c>
      <c r="FJ171" s="66">
        <f t="shared" si="284"/>
        <v>0</v>
      </c>
      <c r="FK171" s="66">
        <f t="shared" si="285"/>
        <v>-62537.08</v>
      </c>
      <c r="FL171" s="173">
        <f t="shared" si="286"/>
        <v>122298.99</v>
      </c>
    </row>
    <row r="172" spans="1:169" hidden="1" outlineLevel="1" x14ac:dyDescent="0.2">
      <c r="A172" s="76" t="s">
        <v>14</v>
      </c>
      <c r="B172" s="76" t="s">
        <v>37</v>
      </c>
      <c r="C172" s="76" t="s">
        <v>95</v>
      </c>
      <c r="D172" s="76" t="s">
        <v>114</v>
      </c>
      <c r="E172" s="77" t="s">
        <v>211</v>
      </c>
      <c r="F172" s="77" t="s">
        <v>712</v>
      </c>
      <c r="G172" s="77" t="str">
        <f t="shared" si="273"/>
        <v>1</v>
      </c>
      <c r="H172" s="77" t="str">
        <f t="shared" si="274"/>
        <v>0</v>
      </c>
      <c r="I172" s="77" t="str">
        <f t="shared" si="275"/>
        <v>0</v>
      </c>
      <c r="J172" s="77" t="str">
        <f t="shared" si="276"/>
        <v>0</v>
      </c>
      <c r="K172" s="77" t="str">
        <f t="shared" si="277"/>
        <v>1000</v>
      </c>
      <c r="L172" s="77" t="str">
        <f>IFERROR(VLOOKUP(K172,Sheet2!$A$20:$B$23,2,FALSE),"X")</f>
        <v>01</v>
      </c>
      <c r="M172" s="77" t="str">
        <f t="shared" si="278"/>
        <v>01238123District Design and Led 17-20</v>
      </c>
      <c r="N172" s="76" t="s">
        <v>161</v>
      </c>
      <c r="O172" s="76" t="s">
        <v>160</v>
      </c>
      <c r="P172" s="69" t="s">
        <v>168</v>
      </c>
      <c r="Q172" s="78">
        <v>43168</v>
      </c>
      <c r="R172" s="78">
        <v>43168</v>
      </c>
      <c r="S172" s="79">
        <v>86765</v>
      </c>
      <c r="AP172" s="79">
        <v>-25257</v>
      </c>
      <c r="AR172" s="79">
        <f>SUMIF($T$2:$AQ$2,$AR$2,$T172:$AQ172)</f>
        <v>-25257</v>
      </c>
      <c r="AS172" s="79">
        <f>SUMIF($T$2:$AQ$2,$AS$2,$T172:$AQ172)</f>
        <v>0</v>
      </c>
      <c r="AT172" s="79">
        <f t="shared" si="279"/>
        <v>61508</v>
      </c>
      <c r="AU172" s="158" t="s">
        <v>161</v>
      </c>
      <c r="AV172" s="79">
        <v>224141</v>
      </c>
      <c r="AZ172" s="79">
        <v>-26648</v>
      </c>
      <c r="BF172" s="79">
        <v>-70161</v>
      </c>
      <c r="BH172" s="79">
        <v>-4037</v>
      </c>
      <c r="BN172" s="79">
        <v>-36149</v>
      </c>
      <c r="BR172" s="79">
        <v>-30074</v>
      </c>
      <c r="BV172" s="79">
        <f>SUMIF($AX$2:$BU$2,$BV$2,$AX172:$BU172)</f>
        <v>-167069</v>
      </c>
      <c r="BW172" s="79">
        <f>SUMIF($AX$2:$BU$2,$BW$2,$AX172:$BU172)</f>
        <v>0</v>
      </c>
      <c r="BX172" s="79">
        <f t="shared" si="280"/>
        <v>118580</v>
      </c>
      <c r="BY172" s="158" t="s">
        <v>341</v>
      </c>
      <c r="BZ172" s="79">
        <v>129184</v>
      </c>
      <c r="CJ172" s="79">
        <v>-21863.1</v>
      </c>
      <c r="CN172" s="79">
        <v>-46769.73</v>
      </c>
      <c r="CT172" s="79">
        <v>-38333.26</v>
      </c>
      <c r="CX172" s="79">
        <f>-11613.91-44891.58</f>
        <v>-56505.490000000005</v>
      </c>
      <c r="CZ172" s="79">
        <v>-18074.099999999999</v>
      </c>
      <c r="DB172" s="79">
        <f>SUMIF($CD$2:$DA$2,$DB$2,$CD172:$DA172)</f>
        <v>0</v>
      </c>
      <c r="DC172" s="79">
        <f>SUMIF($CD$2:$DA$2,$DC$2,$CD172:$DA172)</f>
        <v>-181545.68000000002</v>
      </c>
      <c r="DD172" s="79">
        <f>SUMIF($CD$2:$DA$2,$DD$2,$CD172:$DA172)</f>
        <v>0</v>
      </c>
      <c r="DE172" s="79">
        <f t="shared" si="281"/>
        <v>66218.319999999978</v>
      </c>
      <c r="DM172" s="79">
        <v>-26874.46</v>
      </c>
      <c r="DP172" s="131"/>
      <c r="DU172" s="79">
        <v>-23944.15</v>
      </c>
      <c r="EA172" s="79">
        <v>-15399.71</v>
      </c>
      <c r="EJ172" s="79">
        <f>SUMIF($DK$2:$EI$2,$EJ$2,$DK172:$EI172)</f>
        <v>0</v>
      </c>
      <c r="EK172" s="79">
        <f>SUMIF($DK$2:$EI$2,$EK$2,$DK172:$EI172)</f>
        <v>-66218.320000000007</v>
      </c>
      <c r="EL172" s="79">
        <f>SUMIF($DK$2:$EI$2,$EL$2,$DK172:$EI172)</f>
        <v>0</v>
      </c>
      <c r="EM172" s="79">
        <f t="shared" si="282"/>
        <v>0</v>
      </c>
      <c r="FI172" s="66">
        <f t="shared" si="283"/>
        <v>0</v>
      </c>
      <c r="FJ172" s="66">
        <f t="shared" si="284"/>
        <v>0</v>
      </c>
      <c r="FK172" s="66">
        <f t="shared" si="285"/>
        <v>0</v>
      </c>
      <c r="FL172" s="173">
        <f t="shared" si="286"/>
        <v>0</v>
      </c>
    </row>
    <row r="173" spans="1:169" hidden="1" outlineLevel="1" x14ac:dyDescent="0.2">
      <c r="A173" s="88" t="s">
        <v>481</v>
      </c>
      <c r="B173" s="88" t="s">
        <v>486</v>
      </c>
      <c r="C173" s="88" t="s">
        <v>483</v>
      </c>
      <c r="D173" s="88" t="s">
        <v>487</v>
      </c>
      <c r="E173" s="89" t="s">
        <v>214</v>
      </c>
      <c r="F173" s="89" t="s">
        <v>712</v>
      </c>
      <c r="G173" s="77" t="str">
        <f t="shared" si="273"/>
        <v>0</v>
      </c>
      <c r="H173" s="77" t="str">
        <f t="shared" si="274"/>
        <v>0</v>
      </c>
      <c r="I173" s="77" t="str">
        <f t="shared" si="275"/>
        <v>1</v>
      </c>
      <c r="J173" s="77" t="str">
        <f t="shared" si="276"/>
        <v>0</v>
      </c>
      <c r="K173" s="77" t="str">
        <f t="shared" si="277"/>
        <v>0010</v>
      </c>
      <c r="L173" s="77" t="str">
        <f>IFERROR(VLOOKUP(K173,Sheet2!$A$20:$B$23,2,FALSE),"X")</f>
        <v>03</v>
      </c>
      <c r="M173" s="77" t="str">
        <f t="shared" si="278"/>
        <v>01303988District Design and Led 19-22</v>
      </c>
      <c r="N173" s="88"/>
      <c r="O173" s="88" t="s">
        <v>160</v>
      </c>
      <c r="P173" s="90" t="s">
        <v>168</v>
      </c>
      <c r="Q173" s="91"/>
      <c r="R173" s="91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>
        <f>SUMIF($T$2:$AQ$2,$AR$2,$T173:$AQ173)</f>
        <v>0</v>
      </c>
      <c r="AS173" s="92">
        <f>SUMIF($T$2:$AQ$2,$AS$2,$T173:$AQ173)</f>
        <v>0</v>
      </c>
      <c r="AT173" s="92">
        <f t="shared" si="279"/>
        <v>0</v>
      </c>
      <c r="AU173" s="161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>
        <f>SUMIF($AX$2:$BU$2,$BV$2,$AX173:$BU173)</f>
        <v>0</v>
      </c>
      <c r="BW173" s="92">
        <f>SUMIF($AX$2:$BU$2,$BW$2,$AX173:$BU173)</f>
        <v>0</v>
      </c>
      <c r="BX173" s="92">
        <f t="shared" si="280"/>
        <v>0</v>
      </c>
      <c r="BY173" s="161"/>
      <c r="BZ173" s="92"/>
      <c r="CA173" s="92"/>
      <c r="CB173" s="92"/>
      <c r="CC173" s="92">
        <v>54337.013632429997</v>
      </c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>
        <f>SUMIF($CD$2:$DA$2,$DB$2,$CD173:$DA173)</f>
        <v>0</v>
      </c>
      <c r="DC173" s="92">
        <f>SUMIF($CD$2:$DA$2,$DC$2,$CD173:$DA173)</f>
        <v>0</v>
      </c>
      <c r="DD173" s="92">
        <f>SUMIF($CD$2:$DA$2,$DD$2,$CD173:$DA173)</f>
        <v>0</v>
      </c>
      <c r="DE173" s="92">
        <f t="shared" si="281"/>
        <v>54337.013632429997</v>
      </c>
      <c r="DP173" s="131"/>
      <c r="DS173" s="79">
        <v>-11471.92</v>
      </c>
      <c r="EA173" s="79">
        <v>-550.58000000000004</v>
      </c>
      <c r="EC173" s="79">
        <v>-8384.0400000000009</v>
      </c>
      <c r="EE173" s="79">
        <v>-1009.35</v>
      </c>
      <c r="EJ173" s="79">
        <f>SUMIF($DK$2:$EI$2,$EJ$2,$DK173:$EI173)</f>
        <v>0</v>
      </c>
      <c r="EK173" s="79">
        <f>SUMIF($DK$2:$EI$2,$EK$2,$DK173:$EI173)</f>
        <v>-21415.89</v>
      </c>
      <c r="EL173" s="79">
        <f>SUMIF($DK$2:$EI$2,$EL$2,$DK173:$EI173)</f>
        <v>0</v>
      </c>
      <c r="EM173" s="79">
        <f t="shared" si="282"/>
        <v>32921.123632429997</v>
      </c>
      <c r="EP173" s="103">
        <v>2919.7499656499999</v>
      </c>
      <c r="ES173" s="144">
        <v>-1366.77</v>
      </c>
      <c r="EU173" s="66">
        <v>-15094.32</v>
      </c>
      <c r="FI173" s="66">
        <f t="shared" si="283"/>
        <v>0</v>
      </c>
      <c r="FJ173" s="66">
        <f t="shared" si="284"/>
        <v>0</v>
      </c>
      <c r="FK173" s="66">
        <f t="shared" si="285"/>
        <v>-16461.09</v>
      </c>
      <c r="FL173" s="173">
        <f t="shared" si="286"/>
        <v>19379.783598079997</v>
      </c>
    </row>
    <row r="174" spans="1:169" s="118" customFormat="1" hidden="1" outlineLevel="1" x14ac:dyDescent="0.2">
      <c r="A174" s="118" t="s">
        <v>494</v>
      </c>
      <c r="B174" s="119" t="s">
        <v>495</v>
      </c>
      <c r="C174" s="118" t="s">
        <v>496</v>
      </c>
      <c r="D174" s="118" t="s">
        <v>497</v>
      </c>
      <c r="E174" s="119" t="s">
        <v>456</v>
      </c>
      <c r="F174" s="119"/>
      <c r="G174" s="119"/>
      <c r="H174" s="119"/>
      <c r="I174" s="119"/>
      <c r="J174" s="119"/>
      <c r="K174" s="119"/>
      <c r="L174" s="119"/>
      <c r="M174" s="119" t="str">
        <f t="shared" si="278"/>
        <v>01702136District Design and Led 20-23</v>
      </c>
      <c r="O174" s="118" t="s">
        <v>160</v>
      </c>
      <c r="P174" s="120"/>
      <c r="Q174" s="121"/>
      <c r="R174" s="121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60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60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60"/>
      <c r="DG174" s="122"/>
      <c r="DH174" s="122"/>
      <c r="DI174" s="122"/>
      <c r="DJ174" s="122">
        <v>3000</v>
      </c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31"/>
      <c r="EH174" s="122"/>
      <c r="EI174" s="122"/>
      <c r="EJ174" s="122"/>
      <c r="EK174" s="122"/>
      <c r="EL174" s="122"/>
      <c r="EM174" s="122">
        <f t="shared" si="282"/>
        <v>3000</v>
      </c>
      <c r="EN174" s="122"/>
      <c r="EO174" s="122"/>
      <c r="EP174" s="122"/>
      <c r="EQ174" s="103">
        <v>47000</v>
      </c>
      <c r="ER174" s="122"/>
      <c r="ES174" s="126"/>
      <c r="ET174" s="126"/>
      <c r="EU174" s="126"/>
      <c r="EV174" s="66"/>
      <c r="EW174" s="126"/>
      <c r="EX174" s="126"/>
      <c r="EY174" s="126"/>
      <c r="EZ174" s="126"/>
      <c r="FA174" s="126"/>
      <c r="FB174" s="126"/>
      <c r="FC174" s="224">
        <v>-3000</v>
      </c>
      <c r="FD174" s="311">
        <v>-20384.62</v>
      </c>
      <c r="FE174" s="126"/>
      <c r="FF174" s="126"/>
      <c r="FG174" s="126"/>
      <c r="FH174" s="126"/>
      <c r="FI174" s="66">
        <f t="shared" si="283"/>
        <v>0</v>
      </c>
      <c r="FJ174" s="66">
        <f t="shared" si="284"/>
        <v>0</v>
      </c>
      <c r="FK174" s="66">
        <f t="shared" si="285"/>
        <v>-23384.62</v>
      </c>
      <c r="FL174" s="173">
        <f t="shared" si="286"/>
        <v>26615.38</v>
      </c>
      <c r="FM174" s="123"/>
    </row>
    <row r="175" spans="1:169" s="118" customFormat="1" hidden="1" outlineLevel="1" x14ac:dyDescent="0.2">
      <c r="A175" s="118" t="s">
        <v>15</v>
      </c>
      <c r="B175" s="118" t="s">
        <v>750</v>
      </c>
      <c r="C175" s="118" t="s">
        <v>296</v>
      </c>
      <c r="D175" s="118" t="s">
        <v>751</v>
      </c>
      <c r="E175" s="119" t="s">
        <v>456</v>
      </c>
      <c r="F175" s="119" t="s">
        <v>712</v>
      </c>
      <c r="G175" s="119" t="str">
        <f t="shared" ref="G175" si="287">IF(S175&gt;0, "1", "0")</f>
        <v>0</v>
      </c>
      <c r="H175" s="119" t="str">
        <f t="shared" ref="H175" si="288">IF(AW175&gt;0, "1", "0")</f>
        <v>0</v>
      </c>
      <c r="I175" s="119" t="str">
        <f t="shared" ref="I175" si="289">IF(CC175&gt;0, "1", "0")</f>
        <v>0</v>
      </c>
      <c r="J175" s="119" t="str">
        <f t="shared" ref="J175" si="290">IF(DJ175&gt;0, "1", "0")</f>
        <v>1</v>
      </c>
      <c r="K175" s="119" t="str">
        <f t="shared" ref="K175" si="291">CONCATENATE(G175,H175,I175,J175)</f>
        <v>0001</v>
      </c>
      <c r="L175" s="119" t="str">
        <f>IFERROR(VLOOKUP(K175,Sheet2!$A$20:$B$23,2,FALSE),"X")</f>
        <v>04</v>
      </c>
      <c r="M175" s="119" t="str">
        <f t="shared" si="278"/>
        <v>01809060District Design and Led 20-23</v>
      </c>
      <c r="O175" s="118" t="s">
        <v>160</v>
      </c>
      <c r="P175" s="120"/>
      <c r="Q175" s="121"/>
      <c r="R175" s="121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60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60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60"/>
      <c r="DG175" s="122"/>
      <c r="DH175" s="122"/>
      <c r="DI175" s="122"/>
      <c r="DJ175" s="122">
        <v>20000</v>
      </c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31"/>
      <c r="EH175" s="122"/>
      <c r="EI175" s="122"/>
      <c r="EJ175" s="122"/>
      <c r="EK175" s="122"/>
      <c r="EL175" s="122"/>
      <c r="EM175" s="122">
        <f t="shared" si="282"/>
        <v>20000</v>
      </c>
      <c r="EN175" s="122"/>
      <c r="EO175" s="122"/>
      <c r="EP175" s="122"/>
      <c r="EQ175" s="122"/>
      <c r="ER175" s="122"/>
      <c r="ES175" s="126"/>
      <c r="ET175" s="126"/>
      <c r="EU175" s="126"/>
      <c r="EV175" s="66"/>
      <c r="EW175" s="144">
        <v>-20000</v>
      </c>
      <c r="EX175" s="126"/>
      <c r="EY175" s="126"/>
      <c r="EZ175" s="126"/>
      <c r="FA175" s="126"/>
      <c r="FB175" s="126"/>
      <c r="FC175" s="126"/>
      <c r="FD175" s="126"/>
      <c r="FE175" s="126"/>
      <c r="FF175" s="126"/>
      <c r="FG175" s="126"/>
      <c r="FH175" s="126"/>
      <c r="FI175" s="66">
        <f t="shared" si="283"/>
        <v>0</v>
      </c>
      <c r="FJ175" s="66">
        <f t="shared" si="284"/>
        <v>0</v>
      </c>
      <c r="FK175" s="66">
        <f t="shared" si="285"/>
        <v>-20000</v>
      </c>
      <c r="FL175" s="173">
        <f t="shared" si="286"/>
        <v>0</v>
      </c>
      <c r="FM175" s="123"/>
    </row>
    <row r="176" spans="1:169" hidden="1" outlineLevel="1" x14ac:dyDescent="0.2">
      <c r="A176" s="76" t="s">
        <v>15</v>
      </c>
      <c r="B176" s="76" t="s">
        <v>34</v>
      </c>
      <c r="C176" s="76" t="s">
        <v>529</v>
      </c>
      <c r="D176" s="76" t="s">
        <v>111</v>
      </c>
      <c r="E176" s="77" t="s">
        <v>213</v>
      </c>
      <c r="F176" s="77" t="s">
        <v>712</v>
      </c>
      <c r="G176" s="77" t="str">
        <f t="shared" si="273"/>
        <v>0</v>
      </c>
      <c r="H176" s="77" t="str">
        <f t="shared" si="274"/>
        <v>1</v>
      </c>
      <c r="I176" s="77" t="str">
        <f t="shared" si="275"/>
        <v>0</v>
      </c>
      <c r="J176" s="77" t="str">
        <f t="shared" si="276"/>
        <v>0</v>
      </c>
      <c r="K176" s="77" t="str">
        <f t="shared" si="277"/>
        <v>0100</v>
      </c>
      <c r="L176" s="77" t="str">
        <f>IFERROR(VLOOKUP(K176,Sheet2!$A$20:$B$23,2,FALSE),"X")</f>
        <v>02</v>
      </c>
      <c r="M176" s="77" t="str">
        <f t="shared" si="278"/>
        <v>0180N/ADistrict Design and Led 18-21</v>
      </c>
      <c r="O176" s="76" t="s">
        <v>160</v>
      </c>
      <c r="P176" s="69" t="s">
        <v>168</v>
      </c>
      <c r="Q176" s="78"/>
      <c r="R176" s="78"/>
      <c r="AR176" s="79">
        <f t="shared" ref="AR176:AR218" si="292">SUMIF($T$2:$AQ$2,$AR$2,$T176:$AQ176)</f>
        <v>0</v>
      </c>
      <c r="AS176" s="79">
        <f t="shared" ref="AS176:AS218" si="293">SUMIF($T$2:$AQ$2,$AS$2,$T176:$AQ176)</f>
        <v>0</v>
      </c>
      <c r="AT176" s="79">
        <f t="shared" si="279"/>
        <v>0</v>
      </c>
      <c r="AU176" s="158" t="s">
        <v>336</v>
      </c>
      <c r="AV176" s="79"/>
      <c r="AW176" s="79">
        <v>155183</v>
      </c>
      <c r="BV176" s="79">
        <f t="shared" ref="BV176:BV218" si="294">SUMIF($AX$2:$BU$2,$BV$2,$AX176:$BU176)</f>
        <v>0</v>
      </c>
      <c r="BW176" s="79">
        <f t="shared" ref="BW176:BW218" si="295">SUMIF($AX$2:$BU$2,$BW$2,$AX176:$BU176)</f>
        <v>0</v>
      </c>
      <c r="BX176" s="79">
        <f t="shared" si="280"/>
        <v>155183</v>
      </c>
      <c r="BY176" s="158" t="s">
        <v>341</v>
      </c>
      <c r="CA176" s="79">
        <v>451500</v>
      </c>
      <c r="CH176" s="79">
        <v>-12260.58</v>
      </c>
      <c r="CL176" s="79">
        <v>-46772.86</v>
      </c>
      <c r="DB176" s="79">
        <f t="shared" ref="DB176:DB218" si="296">SUMIF($CD$2:$DA$2,$DB$2,$CD176:$DA176)</f>
        <v>0</v>
      </c>
      <c r="DC176" s="79">
        <f t="shared" ref="DC176:DC218" si="297">SUMIF($CD$2:$DA$2,$DC$2,$CD176:$DA176)</f>
        <v>-59033.440000000002</v>
      </c>
      <c r="DD176" s="79">
        <f t="shared" ref="DD176:DD218" si="298">SUMIF($CD$2:$DA$2,$DD$2,$CD176:$DA176)</f>
        <v>0</v>
      </c>
      <c r="DE176" s="79">
        <f t="shared" si="281"/>
        <v>547649.56000000006</v>
      </c>
      <c r="DG176" s="79">
        <v>311140</v>
      </c>
      <c r="DP176" s="131">
        <v>-96149.56</v>
      </c>
      <c r="DR176" s="79">
        <f>-116816.45-34193.68-170000</f>
        <v>-321010.13</v>
      </c>
      <c r="EF176" s="79">
        <v>321010.13</v>
      </c>
      <c r="EG176" s="131">
        <f>-EF176</f>
        <v>-321010.13</v>
      </c>
      <c r="EH176" s="79">
        <v>-255332.94</v>
      </c>
      <c r="EJ176" s="79">
        <f t="shared" ref="EJ176:EJ218" si="299">SUMIF($DK$2:$EI$2,$EJ$2,$DK176:$EI176)</f>
        <v>-417159.69</v>
      </c>
      <c r="EK176" s="79">
        <f t="shared" ref="EK176:EK218" si="300">SUMIF($DK$2:$EI$2,$EK$2,$DK176:$EI176)</f>
        <v>-255332.94</v>
      </c>
      <c r="EL176" s="79">
        <f t="shared" ref="EL176:EL218" si="301">SUMIF($DK$2:$EI$2,$EL$2,$DK176:$EI176)</f>
        <v>0</v>
      </c>
      <c r="EM176" s="79">
        <f t="shared" si="282"/>
        <v>186296.93000000005</v>
      </c>
      <c r="EX176" s="144">
        <v>-45476.15</v>
      </c>
      <c r="FI176" s="66">
        <f t="shared" si="283"/>
        <v>0</v>
      </c>
      <c r="FJ176" s="66">
        <f t="shared" si="284"/>
        <v>0</v>
      </c>
      <c r="FK176" s="66">
        <f t="shared" si="285"/>
        <v>-45476.15</v>
      </c>
      <c r="FL176" s="173">
        <f t="shared" si="286"/>
        <v>140820.78000000006</v>
      </c>
    </row>
    <row r="177" spans="1:168" hidden="1" outlineLevel="1" x14ac:dyDescent="0.2">
      <c r="A177" s="88" t="s">
        <v>377</v>
      </c>
      <c r="B177" s="89" t="s">
        <v>353</v>
      </c>
      <c r="C177" s="88" t="s">
        <v>601</v>
      </c>
      <c r="D177" s="88" t="s">
        <v>577</v>
      </c>
      <c r="E177" s="89" t="s">
        <v>214</v>
      </c>
      <c r="F177" s="89" t="s">
        <v>712</v>
      </c>
      <c r="G177" s="77" t="str">
        <f t="shared" si="273"/>
        <v>0</v>
      </c>
      <c r="H177" s="77" t="str">
        <f t="shared" si="274"/>
        <v>0</v>
      </c>
      <c r="I177" s="77" t="str">
        <f t="shared" si="275"/>
        <v>1</v>
      </c>
      <c r="J177" s="77" t="str">
        <f t="shared" si="276"/>
        <v>0</v>
      </c>
      <c r="K177" s="77" t="str">
        <f t="shared" si="277"/>
        <v>0010</v>
      </c>
      <c r="L177" s="77" t="str">
        <f>IFERROR(VLOOKUP(K177,Sheet2!$A$20:$B$23,2,FALSE),"X")</f>
        <v>03</v>
      </c>
      <c r="M177" s="77" t="str">
        <f t="shared" si="278"/>
        <v>05004085District Design and Led 19-22</v>
      </c>
      <c r="N177" s="88"/>
      <c r="O177" s="88" t="s">
        <v>160</v>
      </c>
      <c r="P177" s="90" t="s">
        <v>168</v>
      </c>
      <c r="Q177" s="91"/>
      <c r="R177" s="91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>
        <f t="shared" si="292"/>
        <v>0</v>
      </c>
      <c r="AS177" s="92">
        <f t="shared" si="293"/>
        <v>0</v>
      </c>
      <c r="AT177" s="92">
        <f t="shared" si="279"/>
        <v>0</v>
      </c>
      <c r="AU177" s="161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>
        <f t="shared" si="294"/>
        <v>0</v>
      </c>
      <c r="BW177" s="92">
        <f t="shared" si="295"/>
        <v>0</v>
      </c>
      <c r="BX177" s="92">
        <f t="shared" si="280"/>
        <v>0</v>
      </c>
      <c r="BY177" s="161"/>
      <c r="BZ177" s="92"/>
      <c r="CA177" s="92"/>
      <c r="CB177" s="92"/>
      <c r="CC177" s="92">
        <v>55106.35</v>
      </c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>
        <v>-4800.53</v>
      </c>
      <c r="CU177" s="92"/>
      <c r="CV177" s="92"/>
      <c r="CW177" s="92"/>
      <c r="CX177" s="92">
        <v>-825</v>
      </c>
      <c r="CY177" s="92"/>
      <c r="CZ177" s="92">
        <v>-12928.95</v>
      </c>
      <c r="DA177" s="92"/>
      <c r="DB177" s="92">
        <f t="shared" si="296"/>
        <v>0</v>
      </c>
      <c r="DC177" s="92">
        <f t="shared" si="297"/>
        <v>-18554.48</v>
      </c>
      <c r="DD177" s="92">
        <f t="shared" si="298"/>
        <v>0</v>
      </c>
      <c r="DE177" s="92">
        <f t="shared" si="281"/>
        <v>36551.869999999995</v>
      </c>
      <c r="DH177" s="103">
        <v>77389</v>
      </c>
      <c r="DK177" s="79">
        <v>-4792.95</v>
      </c>
      <c r="DP177" s="131">
        <v>-5525</v>
      </c>
      <c r="DS177" s="79">
        <v>-10057.31</v>
      </c>
      <c r="DU177" s="79">
        <v>-1212.29</v>
      </c>
      <c r="DW177" s="79">
        <v>-4369.58</v>
      </c>
      <c r="DY177" s="79">
        <v>-5986.26</v>
      </c>
      <c r="EA177" s="79">
        <f>-(4608.48+3833.87)</f>
        <v>-8442.3499999999985</v>
      </c>
      <c r="EC177" s="79">
        <v>-2211.02</v>
      </c>
      <c r="EE177" s="79">
        <v>-225.57</v>
      </c>
      <c r="EI177" s="79">
        <v>-1400.02</v>
      </c>
      <c r="EJ177" s="79">
        <f t="shared" si="299"/>
        <v>-5525</v>
      </c>
      <c r="EK177" s="79">
        <f t="shared" si="300"/>
        <v>-37297.329999999994</v>
      </c>
      <c r="EL177" s="79">
        <f t="shared" si="301"/>
        <v>-1400.02</v>
      </c>
      <c r="EM177" s="79">
        <f t="shared" si="282"/>
        <v>69718.52</v>
      </c>
      <c r="EP177" s="103">
        <v>74626.175000000003</v>
      </c>
      <c r="ES177" s="66">
        <v>-4247.7299999999996</v>
      </c>
      <c r="EY177" s="144">
        <v>-22251.29</v>
      </c>
      <c r="FC177" s="66">
        <f>-6200.84-6526.84</f>
        <v>-12727.68</v>
      </c>
      <c r="FE177" s="66">
        <f>-7902.24-7630.3</f>
        <v>-15532.54</v>
      </c>
      <c r="FI177" s="66">
        <f t="shared" si="283"/>
        <v>0</v>
      </c>
      <c r="FJ177" s="66">
        <f t="shared" si="284"/>
        <v>0</v>
      </c>
      <c r="FK177" s="66">
        <f t="shared" si="285"/>
        <v>-54759.24</v>
      </c>
      <c r="FL177" s="173">
        <f t="shared" si="286"/>
        <v>89585.455000000016</v>
      </c>
    </row>
    <row r="178" spans="1:168" hidden="1" outlineLevel="1" x14ac:dyDescent="0.2">
      <c r="A178" s="88" t="s">
        <v>220</v>
      </c>
      <c r="B178" s="88" t="s">
        <v>670</v>
      </c>
      <c r="C178" s="88" t="s">
        <v>221</v>
      </c>
      <c r="D178" s="88" t="s">
        <v>680</v>
      </c>
      <c r="E178" s="89" t="s">
        <v>214</v>
      </c>
      <c r="F178" s="89" t="s">
        <v>712</v>
      </c>
      <c r="G178" s="77" t="str">
        <f t="shared" si="273"/>
        <v>0</v>
      </c>
      <c r="H178" s="77" t="str">
        <f t="shared" si="274"/>
        <v>0</v>
      </c>
      <c r="I178" s="77" t="str">
        <f t="shared" si="275"/>
        <v>1</v>
      </c>
      <c r="J178" s="77" t="str">
        <f t="shared" si="276"/>
        <v>0</v>
      </c>
      <c r="K178" s="77" t="str">
        <f t="shared" si="277"/>
        <v>0010</v>
      </c>
      <c r="L178" s="77" t="str">
        <f>IFERROR(VLOOKUP(K178,Sheet2!$A$20:$B$23,2,FALSE),"X")</f>
        <v>03</v>
      </c>
      <c r="M178" s="77" t="str">
        <f t="shared" si="278"/>
        <v>05800248District Design and Led 19-22</v>
      </c>
      <c r="N178" s="88"/>
      <c r="O178" s="88" t="s">
        <v>160</v>
      </c>
      <c r="P178" s="90" t="s">
        <v>168</v>
      </c>
      <c r="Q178" s="91"/>
      <c r="R178" s="91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>
        <f t="shared" si="292"/>
        <v>0</v>
      </c>
      <c r="AS178" s="92">
        <f t="shared" si="293"/>
        <v>0</v>
      </c>
      <c r="AT178" s="92">
        <f t="shared" si="279"/>
        <v>0</v>
      </c>
      <c r="AU178" s="161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>
        <f t="shared" si="294"/>
        <v>0</v>
      </c>
      <c r="BW178" s="92">
        <f t="shared" si="295"/>
        <v>0</v>
      </c>
      <c r="BX178" s="92">
        <f t="shared" si="280"/>
        <v>0</v>
      </c>
      <c r="BY178" s="161"/>
      <c r="BZ178" s="92"/>
      <c r="CA178" s="92"/>
      <c r="CB178" s="92"/>
      <c r="CC178" s="92">
        <v>5000</v>
      </c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>
        <v>-5000</v>
      </c>
      <c r="CW178" s="92"/>
      <c r="CX178" s="92"/>
      <c r="CY178" s="92"/>
      <c r="CZ178" s="92"/>
      <c r="DA178" s="92"/>
      <c r="DB178" s="92">
        <f t="shared" si="296"/>
        <v>0</v>
      </c>
      <c r="DC178" s="92">
        <f t="shared" si="297"/>
        <v>-5000</v>
      </c>
      <c r="DD178" s="92">
        <f t="shared" si="298"/>
        <v>0</v>
      </c>
      <c r="DE178" s="92">
        <f t="shared" si="281"/>
        <v>0</v>
      </c>
      <c r="DH178" s="103">
        <v>80948</v>
      </c>
      <c r="DP178" s="131"/>
      <c r="DU178" s="79">
        <v>-3991.66</v>
      </c>
      <c r="DY178" s="79">
        <v>-32290.93</v>
      </c>
      <c r="EC178" s="79">
        <v>-11222.58</v>
      </c>
      <c r="EE178" s="79">
        <v>-16436.03</v>
      </c>
      <c r="EH178" s="79">
        <f>-(5877.74)</f>
        <v>-5877.74</v>
      </c>
      <c r="EI178" s="79">
        <v>-2832.59</v>
      </c>
      <c r="EJ178" s="79">
        <f t="shared" si="299"/>
        <v>0</v>
      </c>
      <c r="EK178" s="79">
        <f t="shared" si="300"/>
        <v>-69818.94</v>
      </c>
      <c r="EL178" s="79">
        <f t="shared" si="301"/>
        <v>-2832.59</v>
      </c>
      <c r="EM178" s="79">
        <f t="shared" si="282"/>
        <v>8296.4700000000012</v>
      </c>
      <c r="EP178" s="103">
        <v>64430.603999999999</v>
      </c>
      <c r="ES178" s="66">
        <v>-6433.43</v>
      </c>
      <c r="FC178" s="66">
        <v>-3890.4</v>
      </c>
      <c r="FE178" s="312">
        <v>-37500</v>
      </c>
      <c r="FI178" s="66">
        <f t="shared" si="283"/>
        <v>0</v>
      </c>
      <c r="FJ178" s="66">
        <f t="shared" si="284"/>
        <v>0</v>
      </c>
      <c r="FK178" s="66">
        <f t="shared" si="285"/>
        <v>-47823.83</v>
      </c>
      <c r="FL178" s="173">
        <f t="shared" si="286"/>
        <v>24903.243999999992</v>
      </c>
    </row>
    <row r="179" spans="1:168" hidden="1" outlineLevel="1" x14ac:dyDescent="0.2">
      <c r="A179" s="88" t="s">
        <v>220</v>
      </c>
      <c r="B179" s="88" t="s">
        <v>669</v>
      </c>
      <c r="C179" s="88" t="s">
        <v>221</v>
      </c>
      <c r="D179" s="88" t="s">
        <v>679</v>
      </c>
      <c r="E179" s="89" t="s">
        <v>214</v>
      </c>
      <c r="F179" s="89" t="s">
        <v>712</v>
      </c>
      <c r="G179" s="77" t="str">
        <f t="shared" si="273"/>
        <v>0</v>
      </c>
      <c r="H179" s="77" t="str">
        <f t="shared" si="274"/>
        <v>0</v>
      </c>
      <c r="I179" s="77" t="str">
        <f t="shared" si="275"/>
        <v>1</v>
      </c>
      <c r="J179" s="77" t="str">
        <f t="shared" si="276"/>
        <v>0</v>
      </c>
      <c r="K179" s="77" t="str">
        <f t="shared" si="277"/>
        <v>0010</v>
      </c>
      <c r="L179" s="77" t="str">
        <f>IFERROR(VLOOKUP(K179,Sheet2!$A$20:$B$23,2,FALSE),"X")</f>
        <v>03</v>
      </c>
      <c r="M179" s="77" t="str">
        <f t="shared" si="278"/>
        <v>05800252District Design and Led 19-22</v>
      </c>
      <c r="N179" s="88"/>
      <c r="O179" s="88" t="s">
        <v>160</v>
      </c>
      <c r="P179" s="90" t="s">
        <v>168</v>
      </c>
      <c r="Q179" s="91"/>
      <c r="R179" s="91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>
        <f t="shared" si="292"/>
        <v>0</v>
      </c>
      <c r="AS179" s="92">
        <f t="shared" si="293"/>
        <v>0</v>
      </c>
      <c r="AT179" s="92">
        <f t="shared" si="279"/>
        <v>0</v>
      </c>
      <c r="AU179" s="161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>
        <f t="shared" si="294"/>
        <v>0</v>
      </c>
      <c r="BW179" s="92">
        <f t="shared" si="295"/>
        <v>0</v>
      </c>
      <c r="BX179" s="92">
        <f t="shared" si="280"/>
        <v>0</v>
      </c>
      <c r="BY179" s="161"/>
      <c r="BZ179" s="92"/>
      <c r="CA179" s="92"/>
      <c r="CB179" s="92"/>
      <c r="CC179" s="92">
        <v>5000</v>
      </c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>
        <v>-5000</v>
      </c>
      <c r="CW179" s="92"/>
      <c r="CX179" s="92"/>
      <c r="CY179" s="92"/>
      <c r="CZ179" s="92"/>
      <c r="DA179" s="92"/>
      <c r="DB179" s="92">
        <f t="shared" si="296"/>
        <v>0</v>
      </c>
      <c r="DC179" s="92">
        <f t="shared" si="297"/>
        <v>-5000</v>
      </c>
      <c r="DD179" s="92">
        <f t="shared" si="298"/>
        <v>0</v>
      </c>
      <c r="DE179" s="92">
        <f t="shared" si="281"/>
        <v>0</v>
      </c>
      <c r="DH179" s="103">
        <v>80948</v>
      </c>
      <c r="DP179" s="131"/>
      <c r="DY179" s="79">
        <v>-25161.4</v>
      </c>
      <c r="EC179" s="79">
        <v>-14588.41</v>
      </c>
      <c r="EE179" s="79">
        <v>-17063.349999999999</v>
      </c>
      <c r="EH179" s="79">
        <f>-(6036.63)</f>
        <v>-6036.63</v>
      </c>
      <c r="EI179" s="79">
        <v>-2950.2</v>
      </c>
      <c r="EJ179" s="79">
        <f t="shared" si="299"/>
        <v>0</v>
      </c>
      <c r="EK179" s="79">
        <f t="shared" si="300"/>
        <v>-62849.789999999994</v>
      </c>
      <c r="EL179" s="79">
        <f t="shared" si="301"/>
        <v>-2950.2</v>
      </c>
      <c r="EM179" s="79">
        <f t="shared" si="282"/>
        <v>15148.010000000009</v>
      </c>
      <c r="EP179" s="103">
        <v>64430.603999999999</v>
      </c>
      <c r="FC179" s="66">
        <v>-163.56</v>
      </c>
      <c r="FE179" s="312">
        <v>-42500</v>
      </c>
      <c r="FI179" s="66">
        <f t="shared" si="283"/>
        <v>0</v>
      </c>
      <c r="FJ179" s="66">
        <f t="shared" si="284"/>
        <v>0</v>
      </c>
      <c r="FK179" s="66">
        <f t="shared" si="285"/>
        <v>-42663.56</v>
      </c>
      <c r="FL179" s="173">
        <f t="shared" si="286"/>
        <v>36915.054000000004</v>
      </c>
    </row>
    <row r="180" spans="1:168" hidden="1" outlineLevel="1" x14ac:dyDescent="0.2">
      <c r="A180" s="76" t="s">
        <v>23</v>
      </c>
      <c r="B180" s="76" t="s">
        <v>8</v>
      </c>
      <c r="C180" s="76" t="s">
        <v>507</v>
      </c>
      <c r="D180" s="76" t="s">
        <v>530</v>
      </c>
      <c r="E180" s="77" t="s">
        <v>213</v>
      </c>
      <c r="F180" s="77" t="s">
        <v>712</v>
      </c>
      <c r="G180" s="77" t="str">
        <f t="shared" si="273"/>
        <v>0</v>
      </c>
      <c r="H180" s="77" t="str">
        <f t="shared" si="274"/>
        <v>1</v>
      </c>
      <c r="I180" s="77" t="str">
        <f t="shared" si="275"/>
        <v>0</v>
      </c>
      <c r="J180" s="77" t="str">
        <f t="shared" si="276"/>
        <v>0</v>
      </c>
      <c r="K180" s="77" t="str">
        <f t="shared" si="277"/>
        <v>0100</v>
      </c>
      <c r="L180" s="77" t="str">
        <f>IFERROR(VLOOKUP(K180,Sheet2!$A$20:$B$23,2,FALSE),"X")</f>
        <v>02</v>
      </c>
      <c r="M180" s="77" t="str">
        <f t="shared" si="278"/>
        <v>08800010District Design and Led 18-21</v>
      </c>
      <c r="O180" s="76" t="s">
        <v>160</v>
      </c>
      <c r="P180" s="69" t="s">
        <v>168</v>
      </c>
      <c r="Q180" s="78"/>
      <c r="R180" s="78"/>
      <c r="AR180" s="79">
        <f t="shared" si="292"/>
        <v>0</v>
      </c>
      <c r="AS180" s="79">
        <f t="shared" si="293"/>
        <v>0</v>
      </c>
      <c r="AT180" s="79">
        <f t="shared" si="279"/>
        <v>0</v>
      </c>
      <c r="AU180" s="158" t="s">
        <v>336</v>
      </c>
      <c r="AV180" s="79"/>
      <c r="AW180" s="79">
        <v>7837</v>
      </c>
      <c r="BV180" s="79">
        <f t="shared" si="294"/>
        <v>0</v>
      </c>
      <c r="BW180" s="79">
        <f t="shared" si="295"/>
        <v>0</v>
      </c>
      <c r="BX180" s="79">
        <f t="shared" si="280"/>
        <v>7837</v>
      </c>
      <c r="BY180" s="79"/>
      <c r="DB180" s="79">
        <f t="shared" si="296"/>
        <v>0</v>
      </c>
      <c r="DC180" s="79">
        <f t="shared" si="297"/>
        <v>0</v>
      </c>
      <c r="DD180" s="79">
        <f t="shared" si="298"/>
        <v>0</v>
      </c>
      <c r="DE180" s="79">
        <f t="shared" si="281"/>
        <v>7837</v>
      </c>
      <c r="DF180" s="79"/>
      <c r="DP180" s="131"/>
      <c r="EJ180" s="79">
        <f t="shared" si="299"/>
        <v>0</v>
      </c>
      <c r="EK180" s="79">
        <f t="shared" si="300"/>
        <v>0</v>
      </c>
      <c r="EL180" s="79">
        <f t="shared" si="301"/>
        <v>0</v>
      </c>
      <c r="EM180" s="79">
        <f t="shared" si="282"/>
        <v>7837</v>
      </c>
      <c r="FI180" s="66">
        <f t="shared" si="283"/>
        <v>0</v>
      </c>
      <c r="FJ180" s="66">
        <f t="shared" si="284"/>
        <v>0</v>
      </c>
      <c r="FK180" s="66">
        <f t="shared" si="285"/>
        <v>0</v>
      </c>
      <c r="FL180" s="173">
        <f t="shared" si="286"/>
        <v>7837</v>
      </c>
    </row>
    <row r="181" spans="1:168" hidden="1" outlineLevel="1" x14ac:dyDescent="0.2">
      <c r="A181" s="76" t="s">
        <v>23</v>
      </c>
      <c r="B181" s="76" t="s">
        <v>409</v>
      </c>
      <c r="C181" s="76" t="s">
        <v>507</v>
      </c>
      <c r="D181" s="76" t="s">
        <v>545</v>
      </c>
      <c r="E181" s="77" t="s">
        <v>213</v>
      </c>
      <c r="F181" s="77" t="s">
        <v>712</v>
      </c>
      <c r="G181" s="77" t="str">
        <f t="shared" si="273"/>
        <v>0</v>
      </c>
      <c r="H181" s="77" t="str">
        <f t="shared" si="274"/>
        <v>1</v>
      </c>
      <c r="I181" s="77" t="str">
        <f t="shared" si="275"/>
        <v>1</v>
      </c>
      <c r="J181" s="77" t="str">
        <f t="shared" si="276"/>
        <v>0</v>
      </c>
      <c r="K181" s="77" t="str">
        <f t="shared" si="277"/>
        <v>0110</v>
      </c>
      <c r="L181" s="77" t="str">
        <f>IFERROR(VLOOKUP(K181,Sheet2!$A$20:$B$23,2,FALSE),"X")</f>
        <v>X</v>
      </c>
      <c r="M181" s="77" t="str">
        <f t="shared" si="278"/>
        <v>08800040District Design and Led 18-21</v>
      </c>
      <c r="O181" s="76" t="s">
        <v>160</v>
      </c>
      <c r="P181" s="69" t="s">
        <v>168</v>
      </c>
      <c r="Q181" s="78"/>
      <c r="R181" s="78"/>
      <c r="AR181" s="79">
        <f t="shared" si="292"/>
        <v>0</v>
      </c>
      <c r="AS181" s="79">
        <f t="shared" si="293"/>
        <v>0</v>
      </c>
      <c r="AT181" s="79">
        <f t="shared" si="279"/>
        <v>0</v>
      </c>
      <c r="AU181" s="158" t="s">
        <v>336</v>
      </c>
      <c r="AV181" s="79"/>
      <c r="AW181" s="79">
        <v>42469</v>
      </c>
      <c r="BV181" s="79">
        <f t="shared" si="294"/>
        <v>0</v>
      </c>
      <c r="BW181" s="79">
        <f t="shared" si="295"/>
        <v>0</v>
      </c>
      <c r="BX181" s="79">
        <f t="shared" si="280"/>
        <v>42469</v>
      </c>
      <c r="BY181" s="79"/>
      <c r="CC181" s="79">
        <v>810.48</v>
      </c>
      <c r="CH181" s="79">
        <v>-548.12</v>
      </c>
      <c r="DB181" s="79">
        <f t="shared" si="296"/>
        <v>0</v>
      </c>
      <c r="DC181" s="79">
        <f t="shared" si="297"/>
        <v>-548.12</v>
      </c>
      <c r="DD181" s="79">
        <f t="shared" si="298"/>
        <v>0</v>
      </c>
      <c r="DE181" s="79">
        <f t="shared" si="281"/>
        <v>42731.360000000001</v>
      </c>
      <c r="DF181" s="79"/>
      <c r="DH181" s="79">
        <v>73037.1728</v>
      </c>
      <c r="DP181" s="131"/>
      <c r="EJ181" s="79">
        <f t="shared" si="299"/>
        <v>0</v>
      </c>
      <c r="EK181" s="79">
        <f t="shared" si="300"/>
        <v>0</v>
      </c>
      <c r="EL181" s="79">
        <f t="shared" si="301"/>
        <v>0</v>
      </c>
      <c r="EM181" s="79">
        <f t="shared" si="282"/>
        <v>115768.5328</v>
      </c>
      <c r="EP181" s="103">
        <v>16825.466703499998</v>
      </c>
      <c r="FI181" s="66">
        <f t="shared" si="283"/>
        <v>0</v>
      </c>
      <c r="FJ181" s="66">
        <f t="shared" si="284"/>
        <v>0</v>
      </c>
      <c r="FK181" s="66">
        <f t="shared" si="285"/>
        <v>0</v>
      </c>
      <c r="FL181" s="173">
        <f t="shared" si="286"/>
        <v>132593.9995035</v>
      </c>
    </row>
    <row r="182" spans="1:168" hidden="1" outlineLevel="1" x14ac:dyDescent="0.2">
      <c r="A182" s="76" t="s">
        <v>23</v>
      </c>
      <c r="B182" s="76" t="s">
        <v>51</v>
      </c>
      <c r="C182" s="76" t="s">
        <v>507</v>
      </c>
      <c r="D182" s="76" t="s">
        <v>538</v>
      </c>
      <c r="E182" s="77" t="s">
        <v>211</v>
      </c>
      <c r="F182" s="77" t="s">
        <v>712</v>
      </c>
      <c r="G182" s="77" t="str">
        <f t="shared" si="273"/>
        <v>1</v>
      </c>
      <c r="H182" s="77" t="str">
        <f t="shared" si="274"/>
        <v>0</v>
      </c>
      <c r="I182" s="77" t="str">
        <f t="shared" si="275"/>
        <v>0</v>
      </c>
      <c r="J182" s="77" t="str">
        <f t="shared" si="276"/>
        <v>0</v>
      </c>
      <c r="K182" s="77" t="str">
        <f t="shared" si="277"/>
        <v>1000</v>
      </c>
      <c r="L182" s="77" t="str">
        <f>IFERROR(VLOOKUP(K182,Sheet2!$A$20:$B$23,2,FALSE),"X")</f>
        <v>01</v>
      </c>
      <c r="M182" s="77" t="str">
        <f t="shared" si="278"/>
        <v>08800220District Design and Led 17-20</v>
      </c>
      <c r="N182" s="76" t="s">
        <v>161</v>
      </c>
      <c r="O182" s="76" t="s">
        <v>160</v>
      </c>
      <c r="P182" s="69" t="s">
        <v>168</v>
      </c>
      <c r="Q182" s="78">
        <v>43173</v>
      </c>
      <c r="R182" s="78">
        <v>43173</v>
      </c>
      <c r="S182" s="79">
        <v>8046</v>
      </c>
      <c r="AR182" s="79">
        <f t="shared" si="292"/>
        <v>0</v>
      </c>
      <c r="AS182" s="79">
        <f t="shared" si="293"/>
        <v>0</v>
      </c>
      <c r="AT182" s="79">
        <f t="shared" si="279"/>
        <v>8046</v>
      </c>
      <c r="AU182" s="158" t="s">
        <v>161</v>
      </c>
      <c r="AV182" s="79">
        <v>7631</v>
      </c>
      <c r="BJ182" s="79">
        <v>-2167</v>
      </c>
      <c r="BV182" s="79">
        <f t="shared" si="294"/>
        <v>-2167</v>
      </c>
      <c r="BW182" s="79">
        <f t="shared" si="295"/>
        <v>0</v>
      </c>
      <c r="BX182" s="79">
        <f t="shared" si="280"/>
        <v>13510</v>
      </c>
      <c r="DB182" s="79">
        <f t="shared" si="296"/>
        <v>0</v>
      </c>
      <c r="DC182" s="79">
        <f t="shared" si="297"/>
        <v>0</v>
      </c>
      <c r="DD182" s="79">
        <f t="shared" si="298"/>
        <v>0</v>
      </c>
      <c r="DE182" s="79">
        <f t="shared" si="281"/>
        <v>13510</v>
      </c>
      <c r="DP182" s="131"/>
      <c r="EJ182" s="79">
        <f t="shared" si="299"/>
        <v>0</v>
      </c>
      <c r="EK182" s="79">
        <f t="shared" si="300"/>
        <v>0</v>
      </c>
      <c r="EL182" s="79">
        <f t="shared" si="301"/>
        <v>0</v>
      </c>
      <c r="EM182" s="79">
        <f t="shared" si="282"/>
        <v>13510</v>
      </c>
      <c r="EX182" s="144">
        <f>13510-13510</f>
        <v>0</v>
      </c>
      <c r="FI182" s="66">
        <f t="shared" si="283"/>
        <v>0</v>
      </c>
      <c r="FJ182" s="66">
        <f t="shared" si="284"/>
        <v>0</v>
      </c>
      <c r="FK182" s="66">
        <f t="shared" si="285"/>
        <v>0</v>
      </c>
      <c r="FL182" s="173">
        <f t="shared" si="286"/>
        <v>13510</v>
      </c>
    </row>
    <row r="183" spans="1:168" hidden="1" outlineLevel="1" x14ac:dyDescent="0.2">
      <c r="A183" s="76" t="s">
        <v>23</v>
      </c>
      <c r="B183" s="76" t="s">
        <v>51</v>
      </c>
      <c r="C183" s="76" t="s">
        <v>507</v>
      </c>
      <c r="D183" s="76" t="s">
        <v>538</v>
      </c>
      <c r="E183" s="77" t="s">
        <v>213</v>
      </c>
      <c r="F183" s="77" t="s">
        <v>712</v>
      </c>
      <c r="G183" s="77" t="str">
        <f t="shared" si="273"/>
        <v>0</v>
      </c>
      <c r="H183" s="77" t="str">
        <f t="shared" si="274"/>
        <v>1</v>
      </c>
      <c r="I183" s="77" t="str">
        <f t="shared" si="275"/>
        <v>0</v>
      </c>
      <c r="J183" s="77" t="str">
        <f t="shared" si="276"/>
        <v>0</v>
      </c>
      <c r="K183" s="77" t="str">
        <f t="shared" si="277"/>
        <v>0100</v>
      </c>
      <c r="L183" s="77" t="str">
        <f>IFERROR(VLOOKUP(K183,Sheet2!$A$20:$B$23,2,FALSE),"X")</f>
        <v>02</v>
      </c>
      <c r="M183" s="77" t="str">
        <f t="shared" si="278"/>
        <v>08800220District Design and Led 18-21</v>
      </c>
      <c r="O183" s="76" t="s">
        <v>160</v>
      </c>
      <c r="P183" s="69" t="s">
        <v>168</v>
      </c>
      <c r="Q183" s="78"/>
      <c r="R183" s="78"/>
      <c r="AR183" s="79">
        <f t="shared" si="292"/>
        <v>0</v>
      </c>
      <c r="AS183" s="79">
        <f t="shared" si="293"/>
        <v>0</v>
      </c>
      <c r="AT183" s="79">
        <f t="shared" si="279"/>
        <v>0</v>
      </c>
      <c r="AU183" s="158" t="s">
        <v>336</v>
      </c>
      <c r="AV183" s="79"/>
      <c r="AW183" s="79">
        <v>14191</v>
      </c>
      <c r="BV183" s="79">
        <f t="shared" si="294"/>
        <v>0</v>
      </c>
      <c r="BW183" s="79">
        <f t="shared" si="295"/>
        <v>0</v>
      </c>
      <c r="BX183" s="79">
        <f t="shared" si="280"/>
        <v>14191</v>
      </c>
      <c r="BY183" s="79"/>
      <c r="DB183" s="79">
        <f t="shared" si="296"/>
        <v>0</v>
      </c>
      <c r="DC183" s="79">
        <f t="shared" si="297"/>
        <v>0</v>
      </c>
      <c r="DD183" s="79">
        <f t="shared" si="298"/>
        <v>0</v>
      </c>
      <c r="DE183" s="79">
        <f t="shared" si="281"/>
        <v>14191</v>
      </c>
      <c r="DF183" s="79"/>
      <c r="DP183" s="131"/>
      <c r="EJ183" s="79">
        <f t="shared" si="299"/>
        <v>0</v>
      </c>
      <c r="EK183" s="79">
        <f t="shared" si="300"/>
        <v>0</v>
      </c>
      <c r="EL183" s="79">
        <f t="shared" si="301"/>
        <v>0</v>
      </c>
      <c r="EM183" s="79">
        <f t="shared" si="282"/>
        <v>14191</v>
      </c>
      <c r="EX183" s="144">
        <f>-1176+1176</f>
        <v>0</v>
      </c>
      <c r="FI183" s="66">
        <f t="shared" si="283"/>
        <v>0</v>
      </c>
      <c r="FJ183" s="66">
        <f t="shared" si="284"/>
        <v>0</v>
      </c>
      <c r="FK183" s="66">
        <f t="shared" si="285"/>
        <v>0</v>
      </c>
      <c r="FL183" s="173">
        <f t="shared" si="286"/>
        <v>14191</v>
      </c>
    </row>
    <row r="184" spans="1:168" hidden="1" outlineLevel="1" x14ac:dyDescent="0.2">
      <c r="A184" s="76" t="s">
        <v>23</v>
      </c>
      <c r="B184" s="76" t="s">
        <v>52</v>
      </c>
      <c r="C184" s="76" t="s">
        <v>507</v>
      </c>
      <c r="D184" s="76" t="s">
        <v>128</v>
      </c>
      <c r="E184" s="77" t="s">
        <v>211</v>
      </c>
      <c r="F184" s="77" t="s">
        <v>712</v>
      </c>
      <c r="G184" s="77" t="str">
        <f t="shared" si="273"/>
        <v>1</v>
      </c>
      <c r="H184" s="77" t="str">
        <f t="shared" si="274"/>
        <v>0</v>
      </c>
      <c r="I184" s="77" t="str">
        <f t="shared" si="275"/>
        <v>0</v>
      </c>
      <c r="J184" s="77" t="str">
        <f t="shared" si="276"/>
        <v>0</v>
      </c>
      <c r="K184" s="77" t="str">
        <f t="shared" si="277"/>
        <v>1000</v>
      </c>
      <c r="L184" s="77" t="str">
        <f>IFERROR(VLOOKUP(K184,Sheet2!$A$20:$B$23,2,FALSE),"X")</f>
        <v>01</v>
      </c>
      <c r="M184" s="77" t="str">
        <f t="shared" si="278"/>
        <v>08800388District Design and Led 17-20</v>
      </c>
      <c r="N184" s="76" t="s">
        <v>161</v>
      </c>
      <c r="O184" s="76" t="s">
        <v>160</v>
      </c>
      <c r="P184" s="69" t="s">
        <v>168</v>
      </c>
      <c r="Q184" s="78">
        <v>43173</v>
      </c>
      <c r="R184" s="78">
        <v>43173</v>
      </c>
      <c r="S184" s="79">
        <v>13946</v>
      </c>
      <c r="AR184" s="79">
        <f t="shared" si="292"/>
        <v>0</v>
      </c>
      <c r="AS184" s="79">
        <f t="shared" si="293"/>
        <v>0</v>
      </c>
      <c r="AT184" s="79">
        <f t="shared" si="279"/>
        <v>13946</v>
      </c>
      <c r="AU184" s="158" t="s">
        <v>161</v>
      </c>
      <c r="AV184" s="79">
        <v>9946</v>
      </c>
      <c r="BJ184" s="79">
        <v>-3467</v>
      </c>
      <c r="BV184" s="79">
        <f t="shared" si="294"/>
        <v>-3467</v>
      </c>
      <c r="BW184" s="79">
        <f t="shared" si="295"/>
        <v>0</v>
      </c>
      <c r="BX184" s="79">
        <f t="shared" si="280"/>
        <v>20425</v>
      </c>
      <c r="DB184" s="79">
        <f t="shared" si="296"/>
        <v>0</v>
      </c>
      <c r="DC184" s="79">
        <f t="shared" si="297"/>
        <v>0</v>
      </c>
      <c r="DD184" s="79">
        <f t="shared" si="298"/>
        <v>0</v>
      </c>
      <c r="DE184" s="79">
        <f t="shared" si="281"/>
        <v>20425</v>
      </c>
      <c r="DP184" s="131"/>
      <c r="EJ184" s="79">
        <f t="shared" si="299"/>
        <v>0</v>
      </c>
      <c r="EK184" s="79">
        <f t="shared" si="300"/>
        <v>0</v>
      </c>
      <c r="EL184" s="79">
        <f t="shared" si="301"/>
        <v>0</v>
      </c>
      <c r="EM184" s="79">
        <f t="shared" si="282"/>
        <v>20425</v>
      </c>
      <c r="EX184" s="144">
        <f>-20425+20425</f>
        <v>0</v>
      </c>
      <c r="FI184" s="66">
        <f t="shared" si="283"/>
        <v>0</v>
      </c>
      <c r="FJ184" s="66">
        <f t="shared" si="284"/>
        <v>0</v>
      </c>
      <c r="FK184" s="66">
        <f t="shared" si="285"/>
        <v>0</v>
      </c>
      <c r="FL184" s="173">
        <f t="shared" si="286"/>
        <v>20425</v>
      </c>
    </row>
    <row r="185" spans="1:168" hidden="1" outlineLevel="1" x14ac:dyDescent="0.2">
      <c r="A185" s="76" t="s">
        <v>23</v>
      </c>
      <c r="B185" s="76" t="s">
        <v>52</v>
      </c>
      <c r="C185" s="76" t="s">
        <v>507</v>
      </c>
      <c r="D185" s="76" t="s">
        <v>128</v>
      </c>
      <c r="E185" s="77" t="s">
        <v>213</v>
      </c>
      <c r="F185" s="77" t="s">
        <v>712</v>
      </c>
      <c r="G185" s="77" t="str">
        <f t="shared" si="273"/>
        <v>0</v>
      </c>
      <c r="H185" s="77" t="str">
        <f t="shared" si="274"/>
        <v>1</v>
      </c>
      <c r="I185" s="77" t="str">
        <f t="shared" si="275"/>
        <v>0</v>
      </c>
      <c r="J185" s="77" t="str">
        <f t="shared" si="276"/>
        <v>0</v>
      </c>
      <c r="K185" s="77" t="str">
        <f t="shared" si="277"/>
        <v>0100</v>
      </c>
      <c r="L185" s="77" t="str">
        <f>IFERROR(VLOOKUP(K185,Sheet2!$A$20:$B$23,2,FALSE),"X")</f>
        <v>02</v>
      </c>
      <c r="M185" s="77" t="str">
        <f t="shared" si="278"/>
        <v>08800388District Design and Led 18-21</v>
      </c>
      <c r="O185" s="76" t="s">
        <v>160</v>
      </c>
      <c r="P185" s="69" t="s">
        <v>168</v>
      </c>
      <c r="Q185" s="78"/>
      <c r="R185" s="78"/>
      <c r="AR185" s="79">
        <f t="shared" si="292"/>
        <v>0</v>
      </c>
      <c r="AS185" s="79">
        <f t="shared" si="293"/>
        <v>0</v>
      </c>
      <c r="AT185" s="79">
        <f t="shared" si="279"/>
        <v>0</v>
      </c>
      <c r="AU185" s="158" t="s">
        <v>336</v>
      </c>
      <c r="AV185" s="79"/>
      <c r="AW185" s="79">
        <v>42469</v>
      </c>
      <c r="BV185" s="79">
        <f t="shared" si="294"/>
        <v>0</v>
      </c>
      <c r="BW185" s="79">
        <f t="shared" si="295"/>
        <v>0</v>
      </c>
      <c r="BX185" s="79">
        <f t="shared" si="280"/>
        <v>42469</v>
      </c>
      <c r="BY185" s="79"/>
      <c r="DB185" s="79">
        <f t="shared" si="296"/>
        <v>0</v>
      </c>
      <c r="DC185" s="79">
        <f t="shared" si="297"/>
        <v>0</v>
      </c>
      <c r="DD185" s="79">
        <f t="shared" si="298"/>
        <v>0</v>
      </c>
      <c r="DE185" s="79">
        <f t="shared" si="281"/>
        <v>42469</v>
      </c>
      <c r="DF185" s="79"/>
      <c r="DP185" s="131"/>
      <c r="EJ185" s="79">
        <f t="shared" si="299"/>
        <v>0</v>
      </c>
      <c r="EK185" s="79">
        <f t="shared" si="300"/>
        <v>0</v>
      </c>
      <c r="EL185" s="79">
        <f t="shared" si="301"/>
        <v>0</v>
      </c>
      <c r="EM185" s="79">
        <f t="shared" si="282"/>
        <v>42469</v>
      </c>
      <c r="EX185" s="144">
        <f>-756+756</f>
        <v>0</v>
      </c>
      <c r="FI185" s="66">
        <f t="shared" si="283"/>
        <v>0</v>
      </c>
      <c r="FJ185" s="66">
        <f t="shared" si="284"/>
        <v>0</v>
      </c>
      <c r="FK185" s="66">
        <f t="shared" si="285"/>
        <v>0</v>
      </c>
      <c r="FL185" s="173">
        <f t="shared" si="286"/>
        <v>42469</v>
      </c>
    </row>
    <row r="186" spans="1:168" hidden="1" outlineLevel="1" x14ac:dyDescent="0.2">
      <c r="A186" s="76" t="s">
        <v>23</v>
      </c>
      <c r="B186" s="76" t="s">
        <v>53</v>
      </c>
      <c r="C186" s="76" t="s">
        <v>507</v>
      </c>
      <c r="D186" s="76" t="s">
        <v>129</v>
      </c>
      <c r="E186" s="77" t="s">
        <v>211</v>
      </c>
      <c r="F186" s="77" t="s">
        <v>712</v>
      </c>
      <c r="G186" s="77" t="str">
        <f t="shared" si="273"/>
        <v>1</v>
      </c>
      <c r="H186" s="77" t="str">
        <f t="shared" si="274"/>
        <v>0</v>
      </c>
      <c r="I186" s="77" t="str">
        <f t="shared" si="275"/>
        <v>0</v>
      </c>
      <c r="J186" s="77" t="str">
        <f t="shared" si="276"/>
        <v>0</v>
      </c>
      <c r="K186" s="77" t="str">
        <f t="shared" si="277"/>
        <v>1000</v>
      </c>
      <c r="L186" s="77" t="str">
        <f>IFERROR(VLOOKUP(K186,Sheet2!$A$20:$B$23,2,FALSE),"X")</f>
        <v>01</v>
      </c>
      <c r="M186" s="77" t="str">
        <f t="shared" si="278"/>
        <v>08800520District Design and Led 17-20</v>
      </c>
      <c r="N186" s="76" t="s">
        <v>161</v>
      </c>
      <c r="O186" s="76" t="s">
        <v>160</v>
      </c>
      <c r="P186" s="69" t="s">
        <v>168</v>
      </c>
      <c r="Q186" s="78">
        <v>43173</v>
      </c>
      <c r="R186" s="78">
        <v>43173</v>
      </c>
      <c r="S186" s="79">
        <v>13946</v>
      </c>
      <c r="AR186" s="79">
        <f t="shared" si="292"/>
        <v>0</v>
      </c>
      <c r="AS186" s="79">
        <f t="shared" si="293"/>
        <v>0</v>
      </c>
      <c r="AT186" s="79">
        <f t="shared" si="279"/>
        <v>13946</v>
      </c>
      <c r="AU186" s="158" t="s">
        <v>161</v>
      </c>
      <c r="AV186" s="79">
        <v>9946</v>
      </c>
      <c r="BJ186" s="79">
        <v>-3467</v>
      </c>
      <c r="BV186" s="79">
        <f t="shared" si="294"/>
        <v>-3467</v>
      </c>
      <c r="BW186" s="79">
        <f t="shared" si="295"/>
        <v>0</v>
      </c>
      <c r="BX186" s="79">
        <f t="shared" si="280"/>
        <v>20425</v>
      </c>
      <c r="DB186" s="79">
        <f t="shared" si="296"/>
        <v>0</v>
      </c>
      <c r="DC186" s="79">
        <f t="shared" si="297"/>
        <v>0</v>
      </c>
      <c r="DD186" s="79">
        <f t="shared" si="298"/>
        <v>0</v>
      </c>
      <c r="DE186" s="79">
        <f t="shared" si="281"/>
        <v>20425</v>
      </c>
      <c r="DP186" s="131"/>
      <c r="EJ186" s="79">
        <f t="shared" si="299"/>
        <v>0</v>
      </c>
      <c r="EK186" s="79">
        <f t="shared" si="300"/>
        <v>0</v>
      </c>
      <c r="EL186" s="79">
        <f t="shared" si="301"/>
        <v>0</v>
      </c>
      <c r="EM186" s="79">
        <f t="shared" si="282"/>
        <v>20425</v>
      </c>
      <c r="EX186" s="144">
        <f>-19832+19832</f>
        <v>0</v>
      </c>
      <c r="FI186" s="66">
        <f t="shared" si="283"/>
        <v>0</v>
      </c>
      <c r="FJ186" s="66">
        <f t="shared" si="284"/>
        <v>0</v>
      </c>
      <c r="FK186" s="66">
        <f t="shared" si="285"/>
        <v>0</v>
      </c>
      <c r="FL186" s="173">
        <f t="shared" si="286"/>
        <v>20425</v>
      </c>
    </row>
    <row r="187" spans="1:168" hidden="1" outlineLevel="1" x14ac:dyDescent="0.2">
      <c r="A187" s="76" t="s">
        <v>23</v>
      </c>
      <c r="B187" s="76" t="s">
        <v>53</v>
      </c>
      <c r="C187" s="76" t="s">
        <v>507</v>
      </c>
      <c r="D187" s="76" t="s">
        <v>129</v>
      </c>
      <c r="E187" s="77" t="s">
        <v>213</v>
      </c>
      <c r="F187" s="77" t="s">
        <v>712</v>
      </c>
      <c r="G187" s="77" t="str">
        <f t="shared" si="273"/>
        <v>0</v>
      </c>
      <c r="H187" s="77" t="str">
        <f t="shared" si="274"/>
        <v>1</v>
      </c>
      <c r="I187" s="77" t="str">
        <f t="shared" si="275"/>
        <v>0</v>
      </c>
      <c r="J187" s="77" t="str">
        <f t="shared" si="276"/>
        <v>0</v>
      </c>
      <c r="K187" s="77" t="str">
        <f t="shared" si="277"/>
        <v>0100</v>
      </c>
      <c r="L187" s="77" t="str">
        <f>IFERROR(VLOOKUP(K187,Sheet2!$A$20:$B$23,2,FALSE),"X")</f>
        <v>02</v>
      </c>
      <c r="M187" s="77" t="str">
        <f t="shared" si="278"/>
        <v>08800520District Design and Led 18-21</v>
      </c>
      <c r="O187" s="76" t="s">
        <v>160</v>
      </c>
      <c r="P187" s="69" t="s">
        <v>168</v>
      </c>
      <c r="Q187" s="78"/>
      <c r="R187" s="78"/>
      <c r="AR187" s="79">
        <f t="shared" si="292"/>
        <v>0</v>
      </c>
      <c r="AS187" s="79">
        <f t="shared" si="293"/>
        <v>0</v>
      </c>
      <c r="AT187" s="79">
        <f t="shared" si="279"/>
        <v>0</v>
      </c>
      <c r="AU187" s="158" t="s">
        <v>336</v>
      </c>
      <c r="AV187" s="79"/>
      <c r="AW187" s="79">
        <v>28278</v>
      </c>
      <c r="BV187" s="79">
        <f t="shared" si="294"/>
        <v>0</v>
      </c>
      <c r="BW187" s="79">
        <f t="shared" si="295"/>
        <v>0</v>
      </c>
      <c r="BX187" s="79">
        <f t="shared" si="280"/>
        <v>28278</v>
      </c>
      <c r="BY187" s="79"/>
      <c r="DB187" s="79">
        <f t="shared" si="296"/>
        <v>0</v>
      </c>
      <c r="DC187" s="79">
        <f t="shared" si="297"/>
        <v>0</v>
      </c>
      <c r="DD187" s="79">
        <f t="shared" si="298"/>
        <v>0</v>
      </c>
      <c r="DE187" s="79">
        <f t="shared" si="281"/>
        <v>28278</v>
      </c>
      <c r="DF187" s="79"/>
      <c r="DP187" s="131"/>
      <c r="EJ187" s="79">
        <f t="shared" si="299"/>
        <v>0</v>
      </c>
      <c r="EK187" s="79">
        <f t="shared" si="300"/>
        <v>0</v>
      </c>
      <c r="EL187" s="79">
        <f t="shared" si="301"/>
        <v>0</v>
      </c>
      <c r="EM187" s="79">
        <f t="shared" si="282"/>
        <v>28278</v>
      </c>
      <c r="FI187" s="66">
        <f t="shared" si="283"/>
        <v>0</v>
      </c>
      <c r="FJ187" s="66">
        <f t="shared" si="284"/>
        <v>0</v>
      </c>
      <c r="FK187" s="66">
        <f t="shared" si="285"/>
        <v>0</v>
      </c>
      <c r="FL187" s="173">
        <f t="shared" si="286"/>
        <v>28278</v>
      </c>
    </row>
    <row r="188" spans="1:168" hidden="1" outlineLevel="1" x14ac:dyDescent="0.2">
      <c r="A188" s="76" t="s">
        <v>23</v>
      </c>
      <c r="B188" s="76" t="s">
        <v>54</v>
      </c>
      <c r="C188" s="76" t="s">
        <v>507</v>
      </c>
      <c r="D188" s="76" t="s">
        <v>130</v>
      </c>
      <c r="E188" s="77" t="s">
        <v>211</v>
      </c>
      <c r="F188" s="77" t="s">
        <v>712</v>
      </c>
      <c r="G188" s="77" t="str">
        <f t="shared" si="273"/>
        <v>1</v>
      </c>
      <c r="H188" s="77" t="str">
        <f t="shared" si="274"/>
        <v>0</v>
      </c>
      <c r="I188" s="77" t="str">
        <f t="shared" si="275"/>
        <v>0</v>
      </c>
      <c r="J188" s="77" t="str">
        <f t="shared" si="276"/>
        <v>0</v>
      </c>
      <c r="K188" s="77" t="str">
        <f t="shared" si="277"/>
        <v>1000</v>
      </c>
      <c r="L188" s="77" t="str">
        <f>IFERROR(VLOOKUP(K188,Sheet2!$A$20:$B$23,2,FALSE),"X")</f>
        <v>01</v>
      </c>
      <c r="M188" s="77" t="str">
        <f t="shared" si="278"/>
        <v>08800650District Design and Led 17-20</v>
      </c>
      <c r="N188" s="76" t="s">
        <v>161</v>
      </c>
      <c r="O188" s="76" t="s">
        <v>160</v>
      </c>
      <c r="P188" s="69" t="s">
        <v>168</v>
      </c>
      <c r="Q188" s="78">
        <v>43173</v>
      </c>
      <c r="R188" s="78">
        <v>43173</v>
      </c>
      <c r="S188" s="79">
        <v>13946</v>
      </c>
      <c r="AR188" s="79">
        <f t="shared" si="292"/>
        <v>0</v>
      </c>
      <c r="AS188" s="79">
        <f t="shared" si="293"/>
        <v>0</v>
      </c>
      <c r="AT188" s="79">
        <f t="shared" si="279"/>
        <v>13946</v>
      </c>
      <c r="AU188" s="158" t="s">
        <v>161</v>
      </c>
      <c r="AV188" s="79">
        <v>9946</v>
      </c>
      <c r="BJ188" s="79">
        <v>-3467</v>
      </c>
      <c r="BV188" s="79">
        <f t="shared" si="294"/>
        <v>-3467</v>
      </c>
      <c r="BW188" s="79">
        <f t="shared" si="295"/>
        <v>0</v>
      </c>
      <c r="BX188" s="79">
        <f t="shared" si="280"/>
        <v>20425</v>
      </c>
      <c r="DB188" s="79">
        <f t="shared" si="296"/>
        <v>0</v>
      </c>
      <c r="DC188" s="79">
        <f t="shared" si="297"/>
        <v>0</v>
      </c>
      <c r="DD188" s="79">
        <f t="shared" si="298"/>
        <v>0</v>
      </c>
      <c r="DE188" s="79">
        <f t="shared" si="281"/>
        <v>20425</v>
      </c>
      <c r="DP188" s="131"/>
      <c r="EJ188" s="79">
        <f t="shared" si="299"/>
        <v>0</v>
      </c>
      <c r="EK188" s="79">
        <f t="shared" si="300"/>
        <v>0</v>
      </c>
      <c r="EL188" s="79">
        <f t="shared" si="301"/>
        <v>0</v>
      </c>
      <c r="EM188" s="79">
        <f t="shared" si="282"/>
        <v>20425</v>
      </c>
      <c r="EX188" s="144">
        <f>-15030+15030</f>
        <v>0</v>
      </c>
      <c r="FI188" s="66">
        <f t="shared" si="283"/>
        <v>0</v>
      </c>
      <c r="FJ188" s="66">
        <f t="shared" si="284"/>
        <v>0</v>
      </c>
      <c r="FK188" s="66">
        <f t="shared" si="285"/>
        <v>0</v>
      </c>
      <c r="FL188" s="173">
        <f t="shared" si="286"/>
        <v>20425</v>
      </c>
    </row>
    <row r="189" spans="1:168" hidden="1" outlineLevel="1" x14ac:dyDescent="0.2">
      <c r="A189" s="76" t="s">
        <v>23</v>
      </c>
      <c r="B189" s="76" t="s">
        <v>54</v>
      </c>
      <c r="C189" s="76" t="s">
        <v>507</v>
      </c>
      <c r="D189" s="76" t="s">
        <v>130</v>
      </c>
      <c r="E189" s="77" t="s">
        <v>213</v>
      </c>
      <c r="F189" s="77" t="s">
        <v>712</v>
      </c>
      <c r="G189" s="77" t="str">
        <f t="shared" si="273"/>
        <v>0</v>
      </c>
      <c r="H189" s="77" t="str">
        <f t="shared" si="274"/>
        <v>1</v>
      </c>
      <c r="I189" s="77" t="str">
        <f t="shared" si="275"/>
        <v>0</v>
      </c>
      <c r="J189" s="77" t="str">
        <f t="shared" si="276"/>
        <v>0</v>
      </c>
      <c r="K189" s="77" t="str">
        <f t="shared" si="277"/>
        <v>0100</v>
      </c>
      <c r="L189" s="77" t="str">
        <f>IFERROR(VLOOKUP(K189,Sheet2!$A$20:$B$23,2,FALSE),"X")</f>
        <v>02</v>
      </c>
      <c r="M189" s="77" t="str">
        <f t="shared" si="278"/>
        <v>08800650District Design and Led 18-21</v>
      </c>
      <c r="O189" s="76" t="s">
        <v>160</v>
      </c>
      <c r="P189" s="69" t="s">
        <v>168</v>
      </c>
      <c r="Q189" s="78"/>
      <c r="R189" s="78"/>
      <c r="AR189" s="79">
        <f t="shared" si="292"/>
        <v>0</v>
      </c>
      <c r="AS189" s="79">
        <f t="shared" si="293"/>
        <v>0</v>
      </c>
      <c r="AT189" s="79">
        <f t="shared" si="279"/>
        <v>0</v>
      </c>
      <c r="AU189" s="158" t="s">
        <v>336</v>
      </c>
      <c r="AV189" s="79"/>
      <c r="AW189" s="79">
        <v>22028</v>
      </c>
      <c r="BV189" s="79">
        <f t="shared" si="294"/>
        <v>0</v>
      </c>
      <c r="BW189" s="79">
        <f t="shared" si="295"/>
        <v>0</v>
      </c>
      <c r="BX189" s="79">
        <f t="shared" si="280"/>
        <v>22028</v>
      </c>
      <c r="BY189" s="79"/>
      <c r="DB189" s="79">
        <f t="shared" si="296"/>
        <v>0</v>
      </c>
      <c r="DC189" s="79">
        <f t="shared" si="297"/>
        <v>0</v>
      </c>
      <c r="DD189" s="79">
        <f t="shared" si="298"/>
        <v>0</v>
      </c>
      <c r="DE189" s="79">
        <f t="shared" si="281"/>
        <v>22028</v>
      </c>
      <c r="DF189" s="79"/>
      <c r="DP189" s="131"/>
      <c r="EJ189" s="79">
        <f t="shared" si="299"/>
        <v>0</v>
      </c>
      <c r="EK189" s="79">
        <f t="shared" si="300"/>
        <v>0</v>
      </c>
      <c r="EL189" s="79">
        <f t="shared" si="301"/>
        <v>0</v>
      </c>
      <c r="EM189" s="79">
        <f t="shared" si="282"/>
        <v>22028</v>
      </c>
      <c r="FI189" s="66">
        <f t="shared" si="283"/>
        <v>0</v>
      </c>
      <c r="FJ189" s="66">
        <f t="shared" si="284"/>
        <v>0</v>
      </c>
      <c r="FK189" s="66">
        <f t="shared" si="285"/>
        <v>0</v>
      </c>
      <c r="FL189" s="173">
        <f t="shared" si="286"/>
        <v>22028</v>
      </c>
    </row>
    <row r="190" spans="1:168" hidden="1" outlineLevel="1" x14ac:dyDescent="0.2">
      <c r="A190" s="76" t="s">
        <v>23</v>
      </c>
      <c r="B190" s="76" t="s">
        <v>410</v>
      </c>
      <c r="C190" s="76" t="s">
        <v>507</v>
      </c>
      <c r="D190" s="76" t="s">
        <v>531</v>
      </c>
      <c r="E190" s="77" t="s">
        <v>213</v>
      </c>
      <c r="F190" s="77" t="s">
        <v>712</v>
      </c>
      <c r="G190" s="77" t="str">
        <f t="shared" si="273"/>
        <v>0</v>
      </c>
      <c r="H190" s="77" t="str">
        <f t="shared" si="274"/>
        <v>1</v>
      </c>
      <c r="I190" s="77" t="str">
        <f t="shared" si="275"/>
        <v>0</v>
      </c>
      <c r="J190" s="77" t="str">
        <f t="shared" si="276"/>
        <v>0</v>
      </c>
      <c r="K190" s="77" t="str">
        <f t="shared" si="277"/>
        <v>0100</v>
      </c>
      <c r="L190" s="77" t="str">
        <f>IFERROR(VLOOKUP(K190,Sheet2!$A$20:$B$23,2,FALSE),"X")</f>
        <v>02</v>
      </c>
      <c r="M190" s="77" t="str">
        <f t="shared" si="278"/>
        <v>08801076District Design and Led 18-21</v>
      </c>
      <c r="O190" s="76" t="s">
        <v>160</v>
      </c>
      <c r="P190" s="69" t="s">
        <v>168</v>
      </c>
      <c r="Q190" s="78"/>
      <c r="R190" s="78"/>
      <c r="AR190" s="79">
        <f t="shared" si="292"/>
        <v>0</v>
      </c>
      <c r="AS190" s="79">
        <f t="shared" si="293"/>
        <v>0</v>
      </c>
      <c r="AT190" s="79">
        <f t="shared" si="279"/>
        <v>0</v>
      </c>
      <c r="AU190" s="158" t="s">
        <v>336</v>
      </c>
      <c r="AV190" s="79"/>
      <c r="AW190" s="79">
        <v>7837</v>
      </c>
      <c r="BV190" s="79">
        <f t="shared" si="294"/>
        <v>0</v>
      </c>
      <c r="BW190" s="79">
        <f t="shared" si="295"/>
        <v>0</v>
      </c>
      <c r="BX190" s="79">
        <f t="shared" si="280"/>
        <v>7837</v>
      </c>
      <c r="BY190" s="79"/>
      <c r="DB190" s="79">
        <f t="shared" si="296"/>
        <v>0</v>
      </c>
      <c r="DC190" s="79">
        <f t="shared" si="297"/>
        <v>0</v>
      </c>
      <c r="DD190" s="79">
        <f t="shared" si="298"/>
        <v>0</v>
      </c>
      <c r="DE190" s="79">
        <f t="shared" si="281"/>
        <v>7837</v>
      </c>
      <c r="DF190" s="79"/>
      <c r="DP190" s="131"/>
      <c r="EJ190" s="79">
        <f t="shared" si="299"/>
        <v>0</v>
      </c>
      <c r="EK190" s="79">
        <f t="shared" si="300"/>
        <v>0</v>
      </c>
      <c r="EL190" s="79">
        <f t="shared" si="301"/>
        <v>0</v>
      </c>
      <c r="EM190" s="79">
        <f t="shared" si="282"/>
        <v>7837</v>
      </c>
      <c r="FI190" s="66">
        <f t="shared" si="283"/>
        <v>0</v>
      </c>
      <c r="FJ190" s="66">
        <f t="shared" si="284"/>
        <v>0</v>
      </c>
      <c r="FK190" s="66">
        <f t="shared" si="285"/>
        <v>0</v>
      </c>
      <c r="FL190" s="173">
        <f t="shared" si="286"/>
        <v>7837</v>
      </c>
    </row>
    <row r="191" spans="1:168" hidden="1" outlineLevel="1" x14ac:dyDescent="0.2">
      <c r="A191" s="76" t="s">
        <v>23</v>
      </c>
      <c r="B191" s="76" t="s">
        <v>56</v>
      </c>
      <c r="C191" s="76" t="s">
        <v>507</v>
      </c>
      <c r="D191" s="76" t="s">
        <v>132</v>
      </c>
      <c r="E191" s="77" t="s">
        <v>211</v>
      </c>
      <c r="F191" s="77" t="s">
        <v>712</v>
      </c>
      <c r="G191" s="77" t="str">
        <f t="shared" si="273"/>
        <v>1</v>
      </c>
      <c r="H191" s="77" t="str">
        <f t="shared" si="274"/>
        <v>0</v>
      </c>
      <c r="I191" s="77" t="str">
        <f t="shared" si="275"/>
        <v>0</v>
      </c>
      <c r="J191" s="77" t="str">
        <f t="shared" si="276"/>
        <v>0</v>
      </c>
      <c r="K191" s="77" t="str">
        <f t="shared" si="277"/>
        <v>1000</v>
      </c>
      <c r="L191" s="77" t="str">
        <f>IFERROR(VLOOKUP(K191,Sheet2!$A$20:$B$23,2,FALSE),"X")</f>
        <v>01</v>
      </c>
      <c r="M191" s="77" t="str">
        <f t="shared" si="278"/>
        <v>08801295District Design and Led 17-20</v>
      </c>
      <c r="N191" s="76" t="s">
        <v>161</v>
      </c>
      <c r="O191" s="76" t="s">
        <v>160</v>
      </c>
      <c r="P191" s="69" t="s">
        <v>168</v>
      </c>
      <c r="Q191" s="78">
        <v>43173</v>
      </c>
      <c r="R191" s="78">
        <v>43173</v>
      </c>
      <c r="S191" s="79">
        <v>18112</v>
      </c>
      <c r="AR191" s="79">
        <f t="shared" si="292"/>
        <v>0</v>
      </c>
      <c r="AS191" s="79">
        <f t="shared" si="293"/>
        <v>0</v>
      </c>
      <c r="AT191" s="79">
        <f t="shared" si="279"/>
        <v>18112</v>
      </c>
      <c r="AU191" s="158" t="s">
        <v>161</v>
      </c>
      <c r="AV191" s="79">
        <v>14908</v>
      </c>
      <c r="BJ191" s="79">
        <v>-5555</v>
      </c>
      <c r="BV191" s="79">
        <f t="shared" si="294"/>
        <v>-5555</v>
      </c>
      <c r="BW191" s="79">
        <f t="shared" si="295"/>
        <v>0</v>
      </c>
      <c r="BX191" s="79">
        <f t="shared" si="280"/>
        <v>27465</v>
      </c>
      <c r="CJ191" s="79">
        <v>-12330.7</v>
      </c>
      <c r="DB191" s="79">
        <f t="shared" si="296"/>
        <v>0</v>
      </c>
      <c r="DC191" s="79">
        <f t="shared" si="297"/>
        <v>-12330.7</v>
      </c>
      <c r="DD191" s="79">
        <f t="shared" si="298"/>
        <v>0</v>
      </c>
      <c r="DE191" s="79">
        <f t="shared" si="281"/>
        <v>15134.3</v>
      </c>
      <c r="DP191" s="131"/>
      <c r="EJ191" s="79">
        <f t="shared" si="299"/>
        <v>0</v>
      </c>
      <c r="EK191" s="79">
        <f t="shared" si="300"/>
        <v>0</v>
      </c>
      <c r="EL191" s="79">
        <f t="shared" si="301"/>
        <v>0</v>
      </c>
      <c r="EM191" s="79">
        <f t="shared" si="282"/>
        <v>15134.3</v>
      </c>
      <c r="FI191" s="66">
        <f t="shared" si="283"/>
        <v>0</v>
      </c>
      <c r="FJ191" s="66">
        <f t="shared" si="284"/>
        <v>0</v>
      </c>
      <c r="FK191" s="66">
        <f t="shared" si="285"/>
        <v>0</v>
      </c>
      <c r="FL191" s="173">
        <f t="shared" si="286"/>
        <v>15134.3</v>
      </c>
    </row>
    <row r="192" spans="1:168" hidden="1" outlineLevel="1" x14ac:dyDescent="0.2">
      <c r="A192" s="76" t="s">
        <v>23</v>
      </c>
      <c r="B192" s="76" t="s">
        <v>58</v>
      </c>
      <c r="C192" s="76" t="s">
        <v>507</v>
      </c>
      <c r="D192" s="76" t="s">
        <v>134</v>
      </c>
      <c r="E192" s="77" t="s">
        <v>211</v>
      </c>
      <c r="F192" s="77" t="s">
        <v>712</v>
      </c>
      <c r="G192" s="77" t="str">
        <f t="shared" si="273"/>
        <v>1</v>
      </c>
      <c r="H192" s="77" t="str">
        <f t="shared" si="274"/>
        <v>0</v>
      </c>
      <c r="I192" s="77" t="str">
        <f t="shared" si="275"/>
        <v>0</v>
      </c>
      <c r="J192" s="77" t="str">
        <f t="shared" si="276"/>
        <v>0</v>
      </c>
      <c r="K192" s="77" t="str">
        <f t="shared" si="277"/>
        <v>1000</v>
      </c>
      <c r="L192" s="77" t="str">
        <f>IFERROR(VLOOKUP(K192,Sheet2!$A$20:$B$23,2,FALSE),"X")</f>
        <v>01</v>
      </c>
      <c r="M192" s="77" t="str">
        <f t="shared" si="278"/>
        <v>08801489District Design and Led 17-20</v>
      </c>
      <c r="N192" s="76" t="s">
        <v>161</v>
      </c>
      <c r="O192" s="76" t="s">
        <v>160</v>
      </c>
      <c r="P192" s="69" t="s">
        <v>168</v>
      </c>
      <c r="Q192" s="78">
        <v>43173</v>
      </c>
      <c r="R192" s="78">
        <v>43173</v>
      </c>
      <c r="S192" s="79">
        <v>8046</v>
      </c>
      <c r="AR192" s="79">
        <f t="shared" si="292"/>
        <v>0</v>
      </c>
      <c r="AS192" s="79">
        <f t="shared" si="293"/>
        <v>0</v>
      </c>
      <c r="AT192" s="79">
        <f t="shared" si="279"/>
        <v>8046</v>
      </c>
      <c r="AU192" s="158" t="s">
        <v>161</v>
      </c>
      <c r="AV192" s="79">
        <v>130979</v>
      </c>
      <c r="BJ192" s="79">
        <v>-30525</v>
      </c>
      <c r="BP192" s="79">
        <v>-47781</v>
      </c>
      <c r="BV192" s="79">
        <f t="shared" si="294"/>
        <v>-78306</v>
      </c>
      <c r="BW192" s="79">
        <f t="shared" si="295"/>
        <v>0</v>
      </c>
      <c r="BX192" s="79">
        <f t="shared" si="280"/>
        <v>60719</v>
      </c>
      <c r="DB192" s="79">
        <f t="shared" si="296"/>
        <v>0</v>
      </c>
      <c r="DC192" s="79">
        <f t="shared" si="297"/>
        <v>0</v>
      </c>
      <c r="DD192" s="79">
        <f t="shared" si="298"/>
        <v>0</v>
      </c>
      <c r="DE192" s="79">
        <f t="shared" si="281"/>
        <v>60719</v>
      </c>
      <c r="DP192" s="131"/>
      <c r="EJ192" s="79">
        <f t="shared" si="299"/>
        <v>0</v>
      </c>
      <c r="EK192" s="79">
        <f t="shared" si="300"/>
        <v>0</v>
      </c>
      <c r="EL192" s="79">
        <f t="shared" si="301"/>
        <v>0</v>
      </c>
      <c r="EM192" s="79">
        <f t="shared" si="282"/>
        <v>60719</v>
      </c>
      <c r="EX192" s="144">
        <f>-23791+23791-46635.02</f>
        <v>-46635.02</v>
      </c>
      <c r="FI192" s="66">
        <f t="shared" si="283"/>
        <v>0</v>
      </c>
      <c r="FJ192" s="66">
        <f t="shared" si="284"/>
        <v>0</v>
      </c>
      <c r="FK192" s="66">
        <f t="shared" si="285"/>
        <v>-46635.02</v>
      </c>
      <c r="FL192" s="173">
        <f t="shared" si="286"/>
        <v>14083.980000000003</v>
      </c>
    </row>
    <row r="193" spans="1:168" hidden="1" outlineLevel="1" x14ac:dyDescent="0.2">
      <c r="A193" s="76" t="s">
        <v>23</v>
      </c>
      <c r="B193" s="76" t="s">
        <v>58</v>
      </c>
      <c r="C193" s="76" t="s">
        <v>507</v>
      </c>
      <c r="D193" s="76" t="s">
        <v>134</v>
      </c>
      <c r="E193" s="77" t="s">
        <v>213</v>
      </c>
      <c r="F193" s="77" t="s">
        <v>712</v>
      </c>
      <c r="G193" s="77" t="str">
        <f t="shared" si="273"/>
        <v>0</v>
      </c>
      <c r="H193" s="77" t="str">
        <f t="shared" si="274"/>
        <v>1</v>
      </c>
      <c r="I193" s="77" t="str">
        <f t="shared" si="275"/>
        <v>0</v>
      </c>
      <c r="J193" s="77" t="str">
        <f t="shared" si="276"/>
        <v>0</v>
      </c>
      <c r="K193" s="77" t="str">
        <f t="shared" si="277"/>
        <v>0100</v>
      </c>
      <c r="L193" s="77" t="str">
        <f>IFERROR(VLOOKUP(K193,Sheet2!$A$20:$B$23,2,FALSE),"X")</f>
        <v>02</v>
      </c>
      <c r="M193" s="77" t="str">
        <f t="shared" si="278"/>
        <v>08801489District Design and Led 18-21</v>
      </c>
      <c r="O193" s="76" t="s">
        <v>160</v>
      </c>
      <c r="P193" s="69" t="s">
        <v>168</v>
      </c>
      <c r="Q193" s="78"/>
      <c r="R193" s="78"/>
      <c r="AR193" s="79">
        <f t="shared" si="292"/>
        <v>0</v>
      </c>
      <c r="AS193" s="79">
        <f t="shared" si="293"/>
        <v>0</v>
      </c>
      <c r="AT193" s="79">
        <f t="shared" si="279"/>
        <v>0</v>
      </c>
      <c r="AU193" s="158" t="s">
        <v>336</v>
      </c>
      <c r="AV193" s="79"/>
      <c r="AW193" s="79">
        <v>7837</v>
      </c>
      <c r="BV193" s="79">
        <f t="shared" si="294"/>
        <v>0</v>
      </c>
      <c r="BW193" s="79">
        <f t="shared" si="295"/>
        <v>0</v>
      </c>
      <c r="BX193" s="79">
        <f t="shared" si="280"/>
        <v>7837</v>
      </c>
      <c r="BY193" s="79"/>
      <c r="DB193" s="79">
        <f t="shared" si="296"/>
        <v>0</v>
      </c>
      <c r="DC193" s="79">
        <f t="shared" si="297"/>
        <v>0</v>
      </c>
      <c r="DD193" s="79">
        <f t="shared" si="298"/>
        <v>0</v>
      </c>
      <c r="DE193" s="79">
        <f t="shared" si="281"/>
        <v>7837</v>
      </c>
      <c r="DF193" s="79"/>
      <c r="DH193" s="79">
        <v>81780</v>
      </c>
      <c r="DP193" s="131"/>
      <c r="EJ193" s="79">
        <f t="shared" si="299"/>
        <v>0</v>
      </c>
      <c r="EK193" s="79">
        <f t="shared" si="300"/>
        <v>0</v>
      </c>
      <c r="EL193" s="79">
        <f t="shared" si="301"/>
        <v>0</v>
      </c>
      <c r="EM193" s="79">
        <f t="shared" si="282"/>
        <v>89617</v>
      </c>
      <c r="FI193" s="66">
        <f t="shared" si="283"/>
        <v>0</v>
      </c>
      <c r="FJ193" s="66">
        <f t="shared" si="284"/>
        <v>0</v>
      </c>
      <c r="FK193" s="66">
        <f t="shared" si="285"/>
        <v>0</v>
      </c>
      <c r="FL193" s="173">
        <f t="shared" si="286"/>
        <v>89617</v>
      </c>
    </row>
    <row r="194" spans="1:168" hidden="1" outlineLevel="1" x14ac:dyDescent="0.2">
      <c r="A194" s="76" t="s">
        <v>23</v>
      </c>
      <c r="B194" s="76" t="s">
        <v>57</v>
      </c>
      <c r="C194" s="76" t="s">
        <v>507</v>
      </c>
      <c r="D194" s="76" t="s">
        <v>133</v>
      </c>
      <c r="E194" s="77" t="s">
        <v>211</v>
      </c>
      <c r="F194" s="77" t="s">
        <v>712</v>
      </c>
      <c r="G194" s="77" t="str">
        <f t="shared" si="273"/>
        <v>1</v>
      </c>
      <c r="H194" s="77" t="str">
        <f t="shared" si="274"/>
        <v>0</v>
      </c>
      <c r="I194" s="77" t="str">
        <f t="shared" si="275"/>
        <v>0</v>
      </c>
      <c r="J194" s="77" t="str">
        <f t="shared" si="276"/>
        <v>0</v>
      </c>
      <c r="K194" s="77" t="str">
        <f t="shared" si="277"/>
        <v>1000</v>
      </c>
      <c r="L194" s="77" t="str">
        <f>IFERROR(VLOOKUP(K194,Sheet2!$A$20:$B$23,2,FALSE),"X")</f>
        <v>01</v>
      </c>
      <c r="M194" s="77" t="str">
        <f t="shared" si="278"/>
        <v>08801816District Design and Led 17-20</v>
      </c>
      <c r="N194" s="76" t="s">
        <v>161</v>
      </c>
      <c r="O194" s="76" t="s">
        <v>160</v>
      </c>
      <c r="P194" s="69" t="s">
        <v>168</v>
      </c>
      <c r="Q194" s="78">
        <v>43173</v>
      </c>
      <c r="R194" s="78">
        <v>43173</v>
      </c>
      <c r="S194" s="79">
        <v>18112</v>
      </c>
      <c r="AR194" s="79">
        <f t="shared" si="292"/>
        <v>0</v>
      </c>
      <c r="AS194" s="79">
        <f t="shared" si="293"/>
        <v>0</v>
      </c>
      <c r="AT194" s="79">
        <f t="shared" si="279"/>
        <v>18112</v>
      </c>
      <c r="AU194" s="158" t="s">
        <v>161</v>
      </c>
      <c r="AV194" s="79">
        <v>14908</v>
      </c>
      <c r="BJ194" s="79">
        <v>-5555</v>
      </c>
      <c r="BV194" s="79">
        <f t="shared" si="294"/>
        <v>-5555</v>
      </c>
      <c r="BW194" s="79">
        <f t="shared" si="295"/>
        <v>0</v>
      </c>
      <c r="BX194" s="79">
        <f t="shared" si="280"/>
        <v>27465</v>
      </c>
      <c r="CJ194" s="79">
        <v>-15688.48</v>
      </c>
      <c r="DB194" s="79">
        <f t="shared" si="296"/>
        <v>0</v>
      </c>
      <c r="DC194" s="79">
        <f t="shared" si="297"/>
        <v>-15688.48</v>
      </c>
      <c r="DD194" s="79">
        <f t="shared" si="298"/>
        <v>0</v>
      </c>
      <c r="DE194" s="79">
        <f t="shared" si="281"/>
        <v>11776.52</v>
      </c>
      <c r="DP194" s="131"/>
      <c r="EJ194" s="79">
        <f t="shared" si="299"/>
        <v>0</v>
      </c>
      <c r="EK194" s="79">
        <f t="shared" si="300"/>
        <v>0</v>
      </c>
      <c r="EL194" s="79">
        <f t="shared" si="301"/>
        <v>0</v>
      </c>
      <c r="EM194" s="79">
        <f t="shared" si="282"/>
        <v>11776.52</v>
      </c>
      <c r="FI194" s="66">
        <f t="shared" ref="FI194:FI225" si="302">SUMIF($ES$2:$FH$2,$FI$2,$ES194:$FH194)</f>
        <v>0</v>
      </c>
      <c r="FJ194" s="66">
        <f t="shared" ref="FJ194:FJ225" si="303">SUMIF($ES$2:$FH$2,$FJ$2,$ES194:$FH194)</f>
        <v>0</v>
      </c>
      <c r="FK194" s="66">
        <f t="shared" ref="FK194:FK225" si="304">SUMIF($ES$2:$FH$2,$FK$2,$ES194:$FH194)</f>
        <v>0</v>
      </c>
      <c r="FL194" s="173">
        <f t="shared" ref="FL194:FL225" si="305">EM194+EO194+EP194+EQ194+(FK194+FI194+FJ194)</f>
        <v>11776.52</v>
      </c>
    </row>
    <row r="195" spans="1:168" hidden="1" outlineLevel="1" x14ac:dyDescent="0.2">
      <c r="A195" s="76" t="s">
        <v>23</v>
      </c>
      <c r="B195" s="76" t="s">
        <v>62</v>
      </c>
      <c r="C195" s="76" t="s">
        <v>507</v>
      </c>
      <c r="D195" s="76" t="s">
        <v>514</v>
      </c>
      <c r="E195" s="77" t="s">
        <v>211</v>
      </c>
      <c r="F195" s="77" t="s">
        <v>712</v>
      </c>
      <c r="G195" s="77" t="str">
        <f t="shared" si="273"/>
        <v>1</v>
      </c>
      <c r="H195" s="77" t="str">
        <f t="shared" si="274"/>
        <v>0</v>
      </c>
      <c r="I195" s="77" t="str">
        <f t="shared" si="275"/>
        <v>0</v>
      </c>
      <c r="J195" s="77" t="str">
        <f t="shared" si="276"/>
        <v>0</v>
      </c>
      <c r="K195" s="77" t="str">
        <f t="shared" si="277"/>
        <v>1000</v>
      </c>
      <c r="L195" s="77" t="str">
        <f>IFERROR(VLOOKUP(K195,Sheet2!$A$20:$B$23,2,FALSE),"X")</f>
        <v>01</v>
      </c>
      <c r="M195" s="77" t="str">
        <f t="shared" si="278"/>
        <v>08802129District Design and Led 17-20</v>
      </c>
      <c r="N195" s="76" t="s">
        <v>161</v>
      </c>
      <c r="O195" s="76" t="s">
        <v>160</v>
      </c>
      <c r="P195" s="69" t="s">
        <v>168</v>
      </c>
      <c r="Q195" s="78">
        <v>43173</v>
      </c>
      <c r="R195" s="78">
        <v>43173</v>
      </c>
      <c r="S195" s="79">
        <v>8046</v>
      </c>
      <c r="AR195" s="79">
        <f t="shared" si="292"/>
        <v>0</v>
      </c>
      <c r="AS195" s="79">
        <f t="shared" si="293"/>
        <v>0</v>
      </c>
      <c r="AT195" s="79">
        <f t="shared" si="279"/>
        <v>8046</v>
      </c>
      <c r="AU195" s="158" t="s">
        <v>161</v>
      </c>
      <c r="AV195" s="79">
        <v>7631</v>
      </c>
      <c r="BJ195" s="79">
        <v>-2167</v>
      </c>
      <c r="BV195" s="79">
        <f t="shared" si="294"/>
        <v>-2167</v>
      </c>
      <c r="BW195" s="79">
        <f t="shared" si="295"/>
        <v>0</v>
      </c>
      <c r="BX195" s="79">
        <f t="shared" si="280"/>
        <v>13510</v>
      </c>
      <c r="DB195" s="79">
        <f t="shared" si="296"/>
        <v>0</v>
      </c>
      <c r="DC195" s="79">
        <f t="shared" si="297"/>
        <v>0</v>
      </c>
      <c r="DD195" s="79">
        <f t="shared" si="298"/>
        <v>0</v>
      </c>
      <c r="DE195" s="79">
        <f t="shared" si="281"/>
        <v>13510</v>
      </c>
      <c r="DP195" s="131"/>
      <c r="EJ195" s="79">
        <f t="shared" si="299"/>
        <v>0</v>
      </c>
      <c r="EK195" s="79">
        <f t="shared" si="300"/>
        <v>0</v>
      </c>
      <c r="EL195" s="79">
        <f t="shared" si="301"/>
        <v>0</v>
      </c>
      <c r="EM195" s="79">
        <f t="shared" si="282"/>
        <v>13510</v>
      </c>
      <c r="EX195" s="144">
        <f>-13510+13510</f>
        <v>0</v>
      </c>
      <c r="FI195" s="66">
        <f t="shared" si="302"/>
        <v>0</v>
      </c>
      <c r="FJ195" s="66">
        <f t="shared" si="303"/>
        <v>0</v>
      </c>
      <c r="FK195" s="66">
        <f t="shared" si="304"/>
        <v>0</v>
      </c>
      <c r="FL195" s="173">
        <f t="shared" si="305"/>
        <v>13510</v>
      </c>
    </row>
    <row r="196" spans="1:168" hidden="1" outlineLevel="1" x14ac:dyDescent="0.2">
      <c r="A196" s="76" t="s">
        <v>23</v>
      </c>
      <c r="B196" s="76" t="s">
        <v>62</v>
      </c>
      <c r="C196" s="76" t="s">
        <v>507</v>
      </c>
      <c r="D196" s="76" t="s">
        <v>514</v>
      </c>
      <c r="E196" s="77" t="s">
        <v>213</v>
      </c>
      <c r="F196" s="77" t="s">
        <v>712</v>
      </c>
      <c r="G196" s="77" t="str">
        <f t="shared" si="273"/>
        <v>0</v>
      </c>
      <c r="H196" s="77" t="str">
        <f t="shared" si="274"/>
        <v>1</v>
      </c>
      <c r="I196" s="77" t="str">
        <f t="shared" si="275"/>
        <v>0</v>
      </c>
      <c r="J196" s="77" t="str">
        <f t="shared" si="276"/>
        <v>0</v>
      </c>
      <c r="K196" s="77" t="str">
        <f t="shared" si="277"/>
        <v>0100</v>
      </c>
      <c r="L196" s="77" t="str">
        <f>IFERROR(VLOOKUP(K196,Sheet2!$A$20:$B$23,2,FALSE),"X")</f>
        <v>02</v>
      </c>
      <c r="M196" s="77" t="str">
        <f t="shared" si="278"/>
        <v>08802129District Design and Led 18-21</v>
      </c>
      <c r="O196" s="76" t="s">
        <v>160</v>
      </c>
      <c r="P196" s="69" t="s">
        <v>168</v>
      </c>
      <c r="Q196" s="78"/>
      <c r="R196" s="78"/>
      <c r="AR196" s="79">
        <f t="shared" si="292"/>
        <v>0</v>
      </c>
      <c r="AS196" s="79">
        <f t="shared" si="293"/>
        <v>0</v>
      </c>
      <c r="AT196" s="79">
        <f t="shared" si="279"/>
        <v>0</v>
      </c>
      <c r="AU196" s="158" t="s">
        <v>336</v>
      </c>
      <c r="AV196" s="79"/>
      <c r="AW196" s="79">
        <v>7837</v>
      </c>
      <c r="BV196" s="79">
        <f t="shared" si="294"/>
        <v>0</v>
      </c>
      <c r="BW196" s="79">
        <f t="shared" si="295"/>
        <v>0</v>
      </c>
      <c r="BX196" s="79">
        <f t="shared" si="280"/>
        <v>7837</v>
      </c>
      <c r="BY196" s="79"/>
      <c r="DB196" s="79">
        <f t="shared" si="296"/>
        <v>0</v>
      </c>
      <c r="DC196" s="79">
        <f t="shared" si="297"/>
        <v>0</v>
      </c>
      <c r="DD196" s="79">
        <f t="shared" si="298"/>
        <v>0</v>
      </c>
      <c r="DE196" s="79">
        <f t="shared" si="281"/>
        <v>7837</v>
      </c>
      <c r="DF196" s="79"/>
      <c r="DP196" s="131"/>
      <c r="EJ196" s="79">
        <f t="shared" si="299"/>
        <v>0</v>
      </c>
      <c r="EK196" s="79">
        <f t="shared" si="300"/>
        <v>0</v>
      </c>
      <c r="EL196" s="79">
        <f t="shared" si="301"/>
        <v>0</v>
      </c>
      <c r="EM196" s="79">
        <f t="shared" si="282"/>
        <v>7837</v>
      </c>
      <c r="EX196" s="144">
        <f>-1812+1812</f>
        <v>0</v>
      </c>
      <c r="FI196" s="66">
        <f t="shared" si="302"/>
        <v>0</v>
      </c>
      <c r="FJ196" s="66">
        <f t="shared" si="303"/>
        <v>0</v>
      </c>
      <c r="FK196" s="66">
        <f t="shared" si="304"/>
        <v>0</v>
      </c>
      <c r="FL196" s="173">
        <f t="shared" si="305"/>
        <v>7837</v>
      </c>
    </row>
    <row r="197" spans="1:168" hidden="1" outlineLevel="1" x14ac:dyDescent="0.2">
      <c r="A197" s="76" t="s">
        <v>23</v>
      </c>
      <c r="B197" s="76" t="s">
        <v>61</v>
      </c>
      <c r="C197" s="76" t="s">
        <v>507</v>
      </c>
      <c r="D197" s="76" t="s">
        <v>532</v>
      </c>
      <c r="E197" s="77" t="s">
        <v>211</v>
      </c>
      <c r="F197" s="77" t="s">
        <v>712</v>
      </c>
      <c r="G197" s="77" t="str">
        <f t="shared" si="273"/>
        <v>1</v>
      </c>
      <c r="H197" s="77" t="str">
        <f t="shared" si="274"/>
        <v>0</v>
      </c>
      <c r="I197" s="77" t="str">
        <f t="shared" si="275"/>
        <v>0</v>
      </c>
      <c r="J197" s="77" t="str">
        <f t="shared" si="276"/>
        <v>0</v>
      </c>
      <c r="K197" s="77" t="str">
        <f t="shared" si="277"/>
        <v>1000</v>
      </c>
      <c r="L197" s="77" t="str">
        <f>IFERROR(VLOOKUP(K197,Sheet2!$A$20:$B$23,2,FALSE),"X")</f>
        <v>01</v>
      </c>
      <c r="M197" s="77" t="str">
        <f t="shared" si="278"/>
        <v>08802188District Design and Led 17-20</v>
      </c>
      <c r="N197" s="76" t="s">
        <v>161</v>
      </c>
      <c r="O197" s="76" t="s">
        <v>160</v>
      </c>
      <c r="P197" s="69" t="s">
        <v>168</v>
      </c>
      <c r="Q197" s="78">
        <v>43173</v>
      </c>
      <c r="R197" s="78">
        <v>43173</v>
      </c>
      <c r="S197" s="79">
        <v>8046</v>
      </c>
      <c r="AR197" s="79">
        <f t="shared" si="292"/>
        <v>0</v>
      </c>
      <c r="AS197" s="79">
        <f t="shared" si="293"/>
        <v>0</v>
      </c>
      <c r="AT197" s="79">
        <f t="shared" si="279"/>
        <v>8046</v>
      </c>
      <c r="AU197" s="158" t="s">
        <v>161</v>
      </c>
      <c r="AV197" s="79">
        <v>130979</v>
      </c>
      <c r="BJ197" s="79">
        <v>-26727</v>
      </c>
      <c r="BP197" s="79">
        <v>-52619</v>
      </c>
      <c r="BV197" s="79">
        <f t="shared" si="294"/>
        <v>-79346</v>
      </c>
      <c r="BW197" s="79">
        <f t="shared" si="295"/>
        <v>0</v>
      </c>
      <c r="BX197" s="79">
        <f t="shared" si="280"/>
        <v>59679</v>
      </c>
      <c r="DB197" s="79">
        <f t="shared" si="296"/>
        <v>0</v>
      </c>
      <c r="DC197" s="79">
        <f t="shared" si="297"/>
        <v>0</v>
      </c>
      <c r="DD197" s="79">
        <f t="shared" si="298"/>
        <v>0</v>
      </c>
      <c r="DE197" s="79">
        <f t="shared" si="281"/>
        <v>59679</v>
      </c>
      <c r="DP197" s="131"/>
      <c r="EJ197" s="79">
        <f t="shared" si="299"/>
        <v>0</v>
      </c>
      <c r="EK197" s="79">
        <f t="shared" si="300"/>
        <v>0</v>
      </c>
      <c r="EL197" s="79">
        <f t="shared" si="301"/>
        <v>0</v>
      </c>
      <c r="EM197" s="79">
        <f t="shared" si="282"/>
        <v>59679</v>
      </c>
      <c r="EX197" s="144">
        <f>-1312.02-23084-5652.58+23084-34923.6</f>
        <v>-41888.199999999997</v>
      </c>
      <c r="FI197" s="66">
        <f t="shared" si="302"/>
        <v>0</v>
      </c>
      <c r="FJ197" s="66">
        <f t="shared" si="303"/>
        <v>0</v>
      </c>
      <c r="FK197" s="66">
        <f t="shared" si="304"/>
        <v>-41888.199999999997</v>
      </c>
      <c r="FL197" s="173">
        <f t="shared" si="305"/>
        <v>17790.800000000003</v>
      </c>
    </row>
    <row r="198" spans="1:168" hidden="1" outlineLevel="1" x14ac:dyDescent="0.2">
      <c r="A198" s="76" t="s">
        <v>23</v>
      </c>
      <c r="B198" s="76" t="s">
        <v>61</v>
      </c>
      <c r="C198" s="76" t="s">
        <v>507</v>
      </c>
      <c r="D198" s="76" t="s">
        <v>532</v>
      </c>
      <c r="E198" s="77" t="s">
        <v>213</v>
      </c>
      <c r="F198" s="77" t="s">
        <v>712</v>
      </c>
      <c r="G198" s="77" t="str">
        <f t="shared" ref="G198:G231" si="306">IF(S198&gt;0, "1", "0")</f>
        <v>0</v>
      </c>
      <c r="H198" s="77" t="str">
        <f t="shared" ref="H198:H231" si="307">IF(AW198&gt;0, "1", "0")</f>
        <v>1</v>
      </c>
      <c r="I198" s="77" t="str">
        <f t="shared" ref="I198:I231" si="308">IF(CC198&gt;0, "1", "0")</f>
        <v>0</v>
      </c>
      <c r="J198" s="77" t="str">
        <f t="shared" ref="J198:J231" si="309">IF(DJ198&gt;0, "1", "0")</f>
        <v>0</v>
      </c>
      <c r="K198" s="77" t="str">
        <f t="shared" ref="K198:K231" si="310">CONCATENATE(G198,H198,I198,J198)</f>
        <v>0100</v>
      </c>
      <c r="L198" s="77" t="str">
        <f>IFERROR(VLOOKUP(K198,Sheet2!$A$20:$B$23,2,FALSE),"X")</f>
        <v>02</v>
      </c>
      <c r="M198" s="77" t="str">
        <f t="shared" ref="M198:M232" si="311">A198&amp;B198&amp;E198</f>
        <v>08802188District Design and Led 18-21</v>
      </c>
      <c r="O198" s="76" t="s">
        <v>160</v>
      </c>
      <c r="P198" s="69" t="s">
        <v>168</v>
      </c>
      <c r="Q198" s="78"/>
      <c r="R198" s="78"/>
      <c r="AR198" s="79">
        <f t="shared" si="292"/>
        <v>0</v>
      </c>
      <c r="AS198" s="79">
        <f t="shared" si="293"/>
        <v>0</v>
      </c>
      <c r="AT198" s="79">
        <f t="shared" ref="AT198:AT231" si="312">S198+(AR198+AS198)</f>
        <v>0</v>
      </c>
      <c r="AU198" s="158" t="s">
        <v>336</v>
      </c>
      <c r="AV198" s="79"/>
      <c r="AW198" s="79">
        <v>7837</v>
      </c>
      <c r="BV198" s="79">
        <f t="shared" si="294"/>
        <v>0</v>
      </c>
      <c r="BW198" s="79">
        <f t="shared" si="295"/>
        <v>0</v>
      </c>
      <c r="BX198" s="79">
        <f t="shared" ref="BX198:BX231" si="313">AT198+AV198+AW198+(BV198+BW198)</f>
        <v>7837</v>
      </c>
      <c r="BY198" s="79"/>
      <c r="DB198" s="79">
        <f t="shared" si="296"/>
        <v>0</v>
      </c>
      <c r="DC198" s="79">
        <f t="shared" si="297"/>
        <v>0</v>
      </c>
      <c r="DD198" s="79">
        <f t="shared" si="298"/>
        <v>0</v>
      </c>
      <c r="DE198" s="79">
        <f t="shared" ref="DE198:DE231" si="314">BX198+CA198+BZ198+CC198+(DB198+DC198+DD198)</f>
        <v>7837</v>
      </c>
      <c r="DF198" s="79"/>
      <c r="DH198" s="79">
        <v>81780</v>
      </c>
      <c r="DP198" s="131"/>
      <c r="EJ198" s="79">
        <f t="shared" si="299"/>
        <v>0</v>
      </c>
      <c r="EK198" s="79">
        <f t="shared" si="300"/>
        <v>0</v>
      </c>
      <c r="EL198" s="79">
        <f t="shared" si="301"/>
        <v>0</v>
      </c>
      <c r="EM198" s="79">
        <f t="shared" ref="EM198:EM231" si="315">DE198+DH198+DG198+DJ198+(EJ198+EK198+EL198)</f>
        <v>89617</v>
      </c>
      <c r="FI198" s="66">
        <f t="shared" si="302"/>
        <v>0</v>
      </c>
      <c r="FJ198" s="66">
        <f t="shared" si="303"/>
        <v>0</v>
      </c>
      <c r="FK198" s="66">
        <f t="shared" si="304"/>
        <v>0</v>
      </c>
      <c r="FL198" s="173">
        <f t="shared" si="305"/>
        <v>89617</v>
      </c>
    </row>
    <row r="199" spans="1:168" hidden="1" outlineLevel="1" x14ac:dyDescent="0.2">
      <c r="A199" s="76" t="s">
        <v>23</v>
      </c>
      <c r="B199" s="76" t="s">
        <v>60</v>
      </c>
      <c r="C199" s="76" t="s">
        <v>507</v>
      </c>
      <c r="D199" s="76" t="s">
        <v>512</v>
      </c>
      <c r="E199" s="77" t="s">
        <v>211</v>
      </c>
      <c r="F199" s="77" t="s">
        <v>712</v>
      </c>
      <c r="G199" s="77" t="str">
        <f t="shared" si="306"/>
        <v>1</v>
      </c>
      <c r="H199" s="77" t="str">
        <f t="shared" si="307"/>
        <v>0</v>
      </c>
      <c r="I199" s="77" t="str">
        <f t="shared" si="308"/>
        <v>0</v>
      </c>
      <c r="J199" s="77" t="str">
        <f t="shared" si="309"/>
        <v>0</v>
      </c>
      <c r="K199" s="77" t="str">
        <f t="shared" si="310"/>
        <v>1000</v>
      </c>
      <c r="L199" s="77" t="str">
        <f>IFERROR(VLOOKUP(K199,Sheet2!$A$20:$B$23,2,FALSE),"X")</f>
        <v>01</v>
      </c>
      <c r="M199" s="77" t="str">
        <f t="shared" si="311"/>
        <v>08802209District Design and Led 17-20</v>
      </c>
      <c r="N199" s="76" t="s">
        <v>161</v>
      </c>
      <c r="O199" s="76" t="s">
        <v>160</v>
      </c>
      <c r="P199" s="69" t="s">
        <v>168</v>
      </c>
      <c r="Q199" s="78">
        <v>43173</v>
      </c>
      <c r="R199" s="78">
        <v>43173</v>
      </c>
      <c r="S199" s="79">
        <v>13946</v>
      </c>
      <c r="AR199" s="79">
        <f t="shared" si="292"/>
        <v>0</v>
      </c>
      <c r="AS199" s="79">
        <f t="shared" si="293"/>
        <v>0</v>
      </c>
      <c r="AT199" s="79">
        <f t="shared" si="312"/>
        <v>13946</v>
      </c>
      <c r="AU199" s="158" t="s">
        <v>161</v>
      </c>
      <c r="AV199" s="79">
        <v>9946</v>
      </c>
      <c r="BJ199" s="79">
        <v>-3467</v>
      </c>
      <c r="BV199" s="79">
        <f t="shared" si="294"/>
        <v>-3467</v>
      </c>
      <c r="BW199" s="79">
        <f t="shared" si="295"/>
        <v>0</v>
      </c>
      <c r="BX199" s="79">
        <f t="shared" si="313"/>
        <v>20425</v>
      </c>
      <c r="DB199" s="79">
        <f t="shared" si="296"/>
        <v>0</v>
      </c>
      <c r="DC199" s="79">
        <f t="shared" si="297"/>
        <v>0</v>
      </c>
      <c r="DD199" s="79">
        <f t="shared" si="298"/>
        <v>0</v>
      </c>
      <c r="DE199" s="79">
        <f t="shared" si="314"/>
        <v>20425</v>
      </c>
      <c r="DP199" s="131"/>
      <c r="EJ199" s="79">
        <f t="shared" si="299"/>
        <v>0</v>
      </c>
      <c r="EK199" s="79">
        <f t="shared" si="300"/>
        <v>0</v>
      </c>
      <c r="EL199" s="79">
        <f t="shared" si="301"/>
        <v>0</v>
      </c>
      <c r="EM199" s="79">
        <f t="shared" si="315"/>
        <v>20425</v>
      </c>
      <c r="EX199" s="144">
        <f>-12896+12896</f>
        <v>0</v>
      </c>
      <c r="FI199" s="66">
        <f t="shared" si="302"/>
        <v>0</v>
      </c>
      <c r="FJ199" s="66">
        <f t="shared" si="303"/>
        <v>0</v>
      </c>
      <c r="FK199" s="66">
        <f t="shared" si="304"/>
        <v>0</v>
      </c>
      <c r="FL199" s="173">
        <f t="shared" si="305"/>
        <v>20425</v>
      </c>
    </row>
    <row r="200" spans="1:168" hidden="1" outlineLevel="1" x14ac:dyDescent="0.2">
      <c r="A200" s="76" t="s">
        <v>23</v>
      </c>
      <c r="B200" s="76" t="s">
        <v>60</v>
      </c>
      <c r="C200" s="76" t="s">
        <v>507</v>
      </c>
      <c r="D200" s="76" t="s">
        <v>512</v>
      </c>
      <c r="E200" s="77" t="s">
        <v>213</v>
      </c>
      <c r="F200" s="77" t="s">
        <v>712</v>
      </c>
      <c r="G200" s="77" t="str">
        <f t="shared" si="306"/>
        <v>0</v>
      </c>
      <c r="H200" s="77" t="str">
        <f t="shared" si="307"/>
        <v>1</v>
      </c>
      <c r="I200" s="77" t="str">
        <f t="shared" si="308"/>
        <v>0</v>
      </c>
      <c r="J200" s="77" t="str">
        <f t="shared" si="309"/>
        <v>0</v>
      </c>
      <c r="K200" s="77" t="str">
        <f t="shared" si="310"/>
        <v>0100</v>
      </c>
      <c r="L200" s="77" t="str">
        <f>IFERROR(VLOOKUP(K200,Sheet2!$A$20:$B$23,2,FALSE),"X")</f>
        <v>02</v>
      </c>
      <c r="M200" s="77" t="str">
        <f t="shared" si="311"/>
        <v>08802209District Design and Led 18-21</v>
      </c>
      <c r="O200" s="76" t="s">
        <v>160</v>
      </c>
      <c r="P200" s="69" t="s">
        <v>168</v>
      </c>
      <c r="Q200" s="78"/>
      <c r="R200" s="78"/>
      <c r="AR200" s="79">
        <f t="shared" si="292"/>
        <v>0</v>
      </c>
      <c r="AS200" s="79">
        <f t="shared" si="293"/>
        <v>0</v>
      </c>
      <c r="AT200" s="79">
        <f t="shared" si="312"/>
        <v>0</v>
      </c>
      <c r="AU200" s="158" t="s">
        <v>336</v>
      </c>
      <c r="AV200" s="79"/>
      <c r="AW200" s="79">
        <v>14191</v>
      </c>
      <c r="BV200" s="79">
        <f t="shared" si="294"/>
        <v>0</v>
      </c>
      <c r="BW200" s="79">
        <f t="shared" si="295"/>
        <v>0</v>
      </c>
      <c r="BX200" s="79">
        <f t="shared" si="313"/>
        <v>14191</v>
      </c>
      <c r="BY200" s="79"/>
      <c r="DB200" s="79">
        <f t="shared" si="296"/>
        <v>0</v>
      </c>
      <c r="DC200" s="79">
        <f t="shared" si="297"/>
        <v>0</v>
      </c>
      <c r="DD200" s="79">
        <f t="shared" si="298"/>
        <v>0</v>
      </c>
      <c r="DE200" s="79">
        <f t="shared" si="314"/>
        <v>14191</v>
      </c>
      <c r="DF200" s="79"/>
      <c r="DP200" s="131"/>
      <c r="EJ200" s="79">
        <f t="shared" si="299"/>
        <v>0</v>
      </c>
      <c r="EK200" s="79">
        <f t="shared" si="300"/>
        <v>0</v>
      </c>
      <c r="EL200" s="79">
        <f t="shared" si="301"/>
        <v>0</v>
      </c>
      <c r="EM200" s="79">
        <f t="shared" si="315"/>
        <v>14191</v>
      </c>
      <c r="FI200" s="66">
        <f t="shared" si="302"/>
        <v>0</v>
      </c>
      <c r="FJ200" s="66">
        <f t="shared" si="303"/>
        <v>0</v>
      </c>
      <c r="FK200" s="66">
        <f t="shared" si="304"/>
        <v>0</v>
      </c>
      <c r="FL200" s="173">
        <f t="shared" si="305"/>
        <v>14191</v>
      </c>
    </row>
    <row r="201" spans="1:168" hidden="1" outlineLevel="1" x14ac:dyDescent="0.2">
      <c r="A201" s="76" t="s">
        <v>23</v>
      </c>
      <c r="B201" s="77" t="s">
        <v>735</v>
      </c>
      <c r="C201" s="76" t="s">
        <v>507</v>
      </c>
      <c r="D201" s="76" t="s">
        <v>736</v>
      </c>
      <c r="E201" s="77" t="s">
        <v>214</v>
      </c>
      <c r="F201" s="77" t="s">
        <v>712</v>
      </c>
      <c r="G201" s="77" t="str">
        <f t="shared" si="306"/>
        <v>0</v>
      </c>
      <c r="H201" s="77" t="str">
        <f t="shared" si="307"/>
        <v>0</v>
      </c>
      <c r="I201" s="77" t="str">
        <f t="shared" si="308"/>
        <v>0</v>
      </c>
      <c r="J201" s="77" t="str">
        <f t="shared" si="309"/>
        <v>0</v>
      </c>
      <c r="K201" s="77" t="str">
        <f t="shared" si="310"/>
        <v>0000</v>
      </c>
      <c r="L201" s="77" t="str">
        <f>IFERROR(VLOOKUP(K201,Sheet2!$A$20:$B$23,2,FALSE),"X")</f>
        <v>X</v>
      </c>
      <c r="M201" s="77" t="str">
        <f t="shared" si="311"/>
        <v>08802223District Design and Led 19-22</v>
      </c>
      <c r="O201" s="76" t="s">
        <v>160</v>
      </c>
      <c r="P201" s="69" t="s">
        <v>168</v>
      </c>
      <c r="Q201" s="78"/>
      <c r="R201" s="78"/>
      <c r="AR201" s="79">
        <f t="shared" si="292"/>
        <v>0</v>
      </c>
      <c r="AS201" s="79">
        <f t="shared" si="293"/>
        <v>0</v>
      </c>
      <c r="AT201" s="79">
        <f t="shared" si="312"/>
        <v>0</v>
      </c>
      <c r="AV201" s="79"/>
      <c r="BV201" s="79">
        <f t="shared" si="294"/>
        <v>0</v>
      </c>
      <c r="BW201" s="79">
        <f t="shared" si="295"/>
        <v>0</v>
      </c>
      <c r="BX201" s="79">
        <f t="shared" si="313"/>
        <v>0</v>
      </c>
      <c r="BY201" s="79"/>
      <c r="DB201" s="79">
        <f t="shared" si="296"/>
        <v>0</v>
      </c>
      <c r="DC201" s="79">
        <f t="shared" si="297"/>
        <v>0</v>
      </c>
      <c r="DD201" s="79">
        <f t="shared" si="298"/>
        <v>0</v>
      </c>
      <c r="DE201" s="79">
        <f t="shared" si="314"/>
        <v>0</v>
      </c>
      <c r="DF201" s="79"/>
      <c r="DG201" s="79">
        <v>50574.932800000002</v>
      </c>
      <c r="DP201" s="131"/>
      <c r="EJ201" s="79">
        <f t="shared" si="299"/>
        <v>0</v>
      </c>
      <c r="EK201" s="79">
        <f t="shared" si="300"/>
        <v>0</v>
      </c>
      <c r="EL201" s="79">
        <f t="shared" si="301"/>
        <v>0</v>
      </c>
      <c r="EM201" s="79">
        <f t="shared" si="315"/>
        <v>50574.932800000002</v>
      </c>
      <c r="FI201" s="66">
        <f t="shared" si="302"/>
        <v>0</v>
      </c>
      <c r="FJ201" s="66">
        <f t="shared" si="303"/>
        <v>0</v>
      </c>
      <c r="FK201" s="66">
        <f t="shared" si="304"/>
        <v>0</v>
      </c>
      <c r="FL201" s="173">
        <f t="shared" si="305"/>
        <v>50574.932800000002</v>
      </c>
    </row>
    <row r="202" spans="1:168" hidden="1" outlineLevel="1" x14ac:dyDescent="0.2">
      <c r="A202" s="76" t="s">
        <v>23</v>
      </c>
      <c r="B202" s="76" t="s">
        <v>411</v>
      </c>
      <c r="C202" s="76" t="s">
        <v>507</v>
      </c>
      <c r="D202" s="76" t="s">
        <v>535</v>
      </c>
      <c r="E202" s="77" t="s">
        <v>213</v>
      </c>
      <c r="F202" s="77" t="s">
        <v>712</v>
      </c>
      <c r="G202" s="77" t="str">
        <f t="shared" si="306"/>
        <v>0</v>
      </c>
      <c r="H202" s="77" t="str">
        <f t="shared" si="307"/>
        <v>1</v>
      </c>
      <c r="I202" s="77" t="str">
        <f t="shared" si="308"/>
        <v>0</v>
      </c>
      <c r="J202" s="77" t="str">
        <f t="shared" si="309"/>
        <v>0</v>
      </c>
      <c r="K202" s="77" t="str">
        <f t="shared" si="310"/>
        <v>0100</v>
      </c>
      <c r="L202" s="77" t="str">
        <f>IFERROR(VLOOKUP(K202,Sheet2!$A$20:$B$23,2,FALSE),"X")</f>
        <v>02</v>
      </c>
      <c r="M202" s="77" t="str">
        <f t="shared" si="311"/>
        <v>08802506District Design and Led 18-21</v>
      </c>
      <c r="O202" s="76" t="s">
        <v>160</v>
      </c>
      <c r="P202" s="69" t="s">
        <v>168</v>
      </c>
      <c r="Q202" s="78"/>
      <c r="R202" s="78"/>
      <c r="AR202" s="79">
        <f t="shared" si="292"/>
        <v>0</v>
      </c>
      <c r="AS202" s="79">
        <f t="shared" si="293"/>
        <v>0</v>
      </c>
      <c r="AT202" s="79">
        <f t="shared" si="312"/>
        <v>0</v>
      </c>
      <c r="AU202" s="158" t="s">
        <v>336</v>
      </c>
      <c r="AV202" s="79"/>
      <c r="AW202" s="79">
        <v>7837</v>
      </c>
      <c r="BV202" s="79">
        <f t="shared" si="294"/>
        <v>0</v>
      </c>
      <c r="BW202" s="79">
        <f t="shared" si="295"/>
        <v>0</v>
      </c>
      <c r="BX202" s="79">
        <f t="shared" si="313"/>
        <v>7837</v>
      </c>
      <c r="BY202" s="79"/>
      <c r="DB202" s="79">
        <f t="shared" si="296"/>
        <v>0</v>
      </c>
      <c r="DC202" s="79">
        <f t="shared" si="297"/>
        <v>0</v>
      </c>
      <c r="DD202" s="79">
        <f t="shared" si="298"/>
        <v>0</v>
      </c>
      <c r="DE202" s="79">
        <f t="shared" si="314"/>
        <v>7837</v>
      </c>
      <c r="DF202" s="79"/>
      <c r="DP202" s="131"/>
      <c r="EJ202" s="79">
        <f t="shared" si="299"/>
        <v>0</v>
      </c>
      <c r="EK202" s="79">
        <f t="shared" si="300"/>
        <v>0</v>
      </c>
      <c r="EL202" s="79">
        <f t="shared" si="301"/>
        <v>0</v>
      </c>
      <c r="EM202" s="79">
        <f t="shared" si="315"/>
        <v>7837</v>
      </c>
      <c r="FI202" s="66">
        <f t="shared" si="302"/>
        <v>0</v>
      </c>
      <c r="FJ202" s="66">
        <f t="shared" si="303"/>
        <v>0</v>
      </c>
      <c r="FK202" s="66">
        <f t="shared" si="304"/>
        <v>0</v>
      </c>
      <c r="FL202" s="173">
        <f t="shared" si="305"/>
        <v>7837</v>
      </c>
    </row>
    <row r="203" spans="1:168" hidden="1" outlineLevel="1" x14ac:dyDescent="0.2">
      <c r="A203" s="76" t="s">
        <v>23</v>
      </c>
      <c r="B203" s="76" t="s">
        <v>63</v>
      </c>
      <c r="C203" s="76" t="s">
        <v>507</v>
      </c>
      <c r="D203" s="76" t="s">
        <v>136</v>
      </c>
      <c r="E203" s="77" t="s">
        <v>211</v>
      </c>
      <c r="F203" s="77" t="s">
        <v>712</v>
      </c>
      <c r="G203" s="77" t="str">
        <f t="shared" si="306"/>
        <v>1</v>
      </c>
      <c r="H203" s="77" t="str">
        <f t="shared" si="307"/>
        <v>0</v>
      </c>
      <c r="I203" s="77" t="str">
        <f t="shared" si="308"/>
        <v>0</v>
      </c>
      <c r="J203" s="77" t="str">
        <f t="shared" si="309"/>
        <v>0</v>
      </c>
      <c r="K203" s="77" t="str">
        <f t="shared" si="310"/>
        <v>1000</v>
      </c>
      <c r="L203" s="77" t="str">
        <f>IFERROR(VLOOKUP(K203,Sheet2!$A$20:$B$23,2,FALSE),"X")</f>
        <v>01</v>
      </c>
      <c r="M203" s="77" t="str">
        <f t="shared" si="311"/>
        <v>08802652District Design and Led 17-20</v>
      </c>
      <c r="N203" s="76" t="s">
        <v>161</v>
      </c>
      <c r="O203" s="76" t="s">
        <v>160</v>
      </c>
      <c r="P203" s="69" t="s">
        <v>168</v>
      </c>
      <c r="Q203" s="78">
        <v>43173</v>
      </c>
      <c r="R203" s="78">
        <v>43173</v>
      </c>
      <c r="S203" s="79">
        <v>8046</v>
      </c>
      <c r="AR203" s="79">
        <f t="shared" si="292"/>
        <v>0</v>
      </c>
      <c r="AS203" s="79">
        <f t="shared" si="293"/>
        <v>0</v>
      </c>
      <c r="AT203" s="79">
        <f t="shared" si="312"/>
        <v>8046</v>
      </c>
      <c r="AU203" s="158" t="s">
        <v>161</v>
      </c>
      <c r="AV203" s="79">
        <v>7631</v>
      </c>
      <c r="BJ203" s="79">
        <v>-2167</v>
      </c>
      <c r="BV203" s="79">
        <f t="shared" si="294"/>
        <v>-2167</v>
      </c>
      <c r="BW203" s="79">
        <f t="shared" si="295"/>
        <v>0</v>
      </c>
      <c r="BX203" s="79">
        <f t="shared" si="313"/>
        <v>13510</v>
      </c>
      <c r="CJ203" s="79">
        <v>-12390.16</v>
      </c>
      <c r="DB203" s="79">
        <f t="shared" si="296"/>
        <v>0</v>
      </c>
      <c r="DC203" s="79">
        <f t="shared" si="297"/>
        <v>-12390.16</v>
      </c>
      <c r="DD203" s="79">
        <f t="shared" si="298"/>
        <v>0</v>
      </c>
      <c r="DE203" s="79">
        <f t="shared" si="314"/>
        <v>1119.8400000000001</v>
      </c>
      <c r="DP203" s="131"/>
      <c r="EJ203" s="79">
        <f t="shared" si="299"/>
        <v>0</v>
      </c>
      <c r="EK203" s="79">
        <f t="shared" si="300"/>
        <v>0</v>
      </c>
      <c r="EL203" s="79">
        <f t="shared" si="301"/>
        <v>0</v>
      </c>
      <c r="EM203" s="79">
        <f t="shared" si="315"/>
        <v>1119.8400000000001</v>
      </c>
      <c r="EX203" s="144">
        <f>1-1</f>
        <v>0</v>
      </c>
      <c r="FI203" s="66">
        <f t="shared" si="302"/>
        <v>0</v>
      </c>
      <c r="FJ203" s="66">
        <f t="shared" si="303"/>
        <v>0</v>
      </c>
      <c r="FK203" s="66">
        <f t="shared" si="304"/>
        <v>0</v>
      </c>
      <c r="FL203" s="173">
        <f t="shared" si="305"/>
        <v>1119.8400000000001</v>
      </c>
    </row>
    <row r="204" spans="1:168" hidden="1" outlineLevel="1" x14ac:dyDescent="0.2">
      <c r="A204" s="76" t="s">
        <v>23</v>
      </c>
      <c r="B204" s="76" t="s">
        <v>64</v>
      </c>
      <c r="C204" s="76" t="s">
        <v>507</v>
      </c>
      <c r="D204" s="76" t="s">
        <v>137</v>
      </c>
      <c r="E204" s="77" t="s">
        <v>211</v>
      </c>
      <c r="F204" s="77" t="s">
        <v>712</v>
      </c>
      <c r="G204" s="77" t="str">
        <f t="shared" si="306"/>
        <v>1</v>
      </c>
      <c r="H204" s="77" t="str">
        <f t="shared" si="307"/>
        <v>0</v>
      </c>
      <c r="I204" s="77" t="str">
        <f t="shared" si="308"/>
        <v>0</v>
      </c>
      <c r="J204" s="77" t="str">
        <f t="shared" si="309"/>
        <v>0</v>
      </c>
      <c r="K204" s="77" t="str">
        <f t="shared" si="310"/>
        <v>1000</v>
      </c>
      <c r="L204" s="77" t="str">
        <f>IFERROR(VLOOKUP(K204,Sheet2!$A$20:$B$23,2,FALSE),"X")</f>
        <v>01</v>
      </c>
      <c r="M204" s="77" t="str">
        <f t="shared" si="311"/>
        <v>08802726District Design and Led 17-20</v>
      </c>
      <c r="N204" s="76" t="s">
        <v>161</v>
      </c>
      <c r="O204" s="76" t="s">
        <v>160</v>
      </c>
      <c r="P204" s="69" t="s">
        <v>168</v>
      </c>
      <c r="Q204" s="78">
        <v>43173</v>
      </c>
      <c r="R204" s="78">
        <v>43173</v>
      </c>
      <c r="S204" s="79">
        <v>8046</v>
      </c>
      <c r="AR204" s="79">
        <f t="shared" si="292"/>
        <v>0</v>
      </c>
      <c r="AS204" s="79">
        <f t="shared" si="293"/>
        <v>0</v>
      </c>
      <c r="AT204" s="79">
        <f t="shared" si="312"/>
        <v>8046</v>
      </c>
      <c r="AU204" s="158" t="s">
        <v>161</v>
      </c>
      <c r="AV204" s="79">
        <v>130979</v>
      </c>
      <c r="BJ204" s="79">
        <v>-28213</v>
      </c>
      <c r="BP204" s="79">
        <v>-50021</v>
      </c>
      <c r="BV204" s="79">
        <f t="shared" si="294"/>
        <v>-78234</v>
      </c>
      <c r="BW204" s="79">
        <f t="shared" si="295"/>
        <v>0</v>
      </c>
      <c r="BX204" s="79">
        <f t="shared" si="313"/>
        <v>60791</v>
      </c>
      <c r="DB204" s="79">
        <f t="shared" si="296"/>
        <v>0</v>
      </c>
      <c r="DC204" s="79">
        <f t="shared" si="297"/>
        <v>0</v>
      </c>
      <c r="DD204" s="79">
        <f t="shared" si="298"/>
        <v>0</v>
      </c>
      <c r="DE204" s="79">
        <f t="shared" si="314"/>
        <v>60791</v>
      </c>
      <c r="DP204" s="131"/>
      <c r="EJ204" s="79">
        <f t="shared" si="299"/>
        <v>0</v>
      </c>
      <c r="EK204" s="79">
        <f t="shared" si="300"/>
        <v>0</v>
      </c>
      <c r="EL204" s="79">
        <f t="shared" si="301"/>
        <v>0</v>
      </c>
      <c r="EM204" s="79">
        <f t="shared" si="315"/>
        <v>60791</v>
      </c>
      <c r="EX204" s="144">
        <f>-18164+18164-60791</f>
        <v>-60791</v>
      </c>
      <c r="FI204" s="66">
        <f t="shared" si="302"/>
        <v>0</v>
      </c>
      <c r="FJ204" s="66">
        <f t="shared" si="303"/>
        <v>0</v>
      </c>
      <c r="FK204" s="66">
        <f t="shared" si="304"/>
        <v>-60791</v>
      </c>
      <c r="FL204" s="173">
        <f t="shared" si="305"/>
        <v>0</v>
      </c>
    </row>
    <row r="205" spans="1:168" hidden="1" outlineLevel="1" x14ac:dyDescent="0.2">
      <c r="A205" s="76" t="s">
        <v>23</v>
      </c>
      <c r="B205" s="76" t="s">
        <v>64</v>
      </c>
      <c r="C205" s="76" t="s">
        <v>507</v>
      </c>
      <c r="D205" s="76" t="s">
        <v>137</v>
      </c>
      <c r="E205" s="77" t="s">
        <v>213</v>
      </c>
      <c r="F205" s="77" t="s">
        <v>712</v>
      </c>
      <c r="G205" s="77" t="str">
        <f t="shared" si="306"/>
        <v>0</v>
      </c>
      <c r="H205" s="77" t="str">
        <f t="shared" si="307"/>
        <v>1</v>
      </c>
      <c r="I205" s="77" t="str">
        <f t="shared" si="308"/>
        <v>0</v>
      </c>
      <c r="J205" s="77" t="str">
        <f t="shared" si="309"/>
        <v>0</v>
      </c>
      <c r="K205" s="77" t="str">
        <f t="shared" si="310"/>
        <v>0100</v>
      </c>
      <c r="L205" s="77" t="str">
        <f>IFERROR(VLOOKUP(K205,Sheet2!$A$20:$B$23,2,FALSE),"X")</f>
        <v>02</v>
      </c>
      <c r="M205" s="77" t="str">
        <f t="shared" si="311"/>
        <v>08802726District Design and Led 18-21</v>
      </c>
      <c r="O205" s="76" t="s">
        <v>160</v>
      </c>
      <c r="P205" s="69" t="s">
        <v>168</v>
      </c>
      <c r="Q205" s="78"/>
      <c r="R205" s="78"/>
      <c r="AR205" s="79">
        <f t="shared" si="292"/>
        <v>0</v>
      </c>
      <c r="AS205" s="79">
        <f t="shared" si="293"/>
        <v>0</v>
      </c>
      <c r="AT205" s="79">
        <f t="shared" si="312"/>
        <v>0</v>
      </c>
      <c r="AU205" s="158" t="s">
        <v>336</v>
      </c>
      <c r="AV205" s="79"/>
      <c r="AW205" s="79">
        <v>7837</v>
      </c>
      <c r="BV205" s="79">
        <f t="shared" si="294"/>
        <v>0</v>
      </c>
      <c r="BW205" s="79">
        <f t="shared" si="295"/>
        <v>0</v>
      </c>
      <c r="BX205" s="79">
        <f t="shared" si="313"/>
        <v>7837</v>
      </c>
      <c r="BY205" s="79"/>
      <c r="DB205" s="79">
        <f t="shared" si="296"/>
        <v>0</v>
      </c>
      <c r="DC205" s="79">
        <f t="shared" si="297"/>
        <v>0</v>
      </c>
      <c r="DD205" s="79">
        <f t="shared" si="298"/>
        <v>0</v>
      </c>
      <c r="DE205" s="79">
        <f t="shared" si="314"/>
        <v>7837</v>
      </c>
      <c r="DF205" s="79"/>
      <c r="DH205" s="79">
        <v>81780</v>
      </c>
      <c r="DP205" s="131"/>
      <c r="EJ205" s="79">
        <f t="shared" si="299"/>
        <v>0</v>
      </c>
      <c r="EK205" s="79">
        <f t="shared" si="300"/>
        <v>0</v>
      </c>
      <c r="EL205" s="79">
        <f t="shared" si="301"/>
        <v>0</v>
      </c>
      <c r="EM205" s="79">
        <f t="shared" si="315"/>
        <v>89617</v>
      </c>
      <c r="EX205" s="144">
        <v>-14001.88</v>
      </c>
      <c r="FI205" s="66">
        <f t="shared" si="302"/>
        <v>0</v>
      </c>
      <c r="FJ205" s="66">
        <f t="shared" si="303"/>
        <v>0</v>
      </c>
      <c r="FK205" s="66">
        <f t="shared" si="304"/>
        <v>-14001.88</v>
      </c>
      <c r="FL205" s="173">
        <f t="shared" si="305"/>
        <v>75615.12</v>
      </c>
    </row>
    <row r="206" spans="1:168" hidden="1" outlineLevel="1" x14ac:dyDescent="0.2">
      <c r="A206" s="76" t="s">
        <v>23</v>
      </c>
      <c r="B206" s="76" t="s">
        <v>67</v>
      </c>
      <c r="C206" s="76" t="s">
        <v>507</v>
      </c>
      <c r="D206" s="76" t="s">
        <v>140</v>
      </c>
      <c r="E206" s="77" t="s">
        <v>211</v>
      </c>
      <c r="F206" s="77" t="s">
        <v>712</v>
      </c>
      <c r="G206" s="77" t="str">
        <f t="shared" si="306"/>
        <v>1</v>
      </c>
      <c r="H206" s="77" t="str">
        <f t="shared" si="307"/>
        <v>0</v>
      </c>
      <c r="I206" s="77" t="str">
        <f t="shared" si="308"/>
        <v>0</v>
      </c>
      <c r="J206" s="77" t="str">
        <f t="shared" si="309"/>
        <v>0</v>
      </c>
      <c r="K206" s="77" t="str">
        <f t="shared" si="310"/>
        <v>1000</v>
      </c>
      <c r="L206" s="77" t="str">
        <f>IFERROR(VLOOKUP(K206,Sheet2!$A$20:$B$23,2,FALSE),"X")</f>
        <v>01</v>
      </c>
      <c r="M206" s="77" t="str">
        <f t="shared" si="311"/>
        <v>08802757District Design and Led 17-20</v>
      </c>
      <c r="N206" s="76" t="s">
        <v>161</v>
      </c>
      <c r="O206" s="76" t="s">
        <v>160</v>
      </c>
      <c r="P206" s="69" t="s">
        <v>168</v>
      </c>
      <c r="Q206" s="78">
        <v>43173</v>
      </c>
      <c r="R206" s="78">
        <v>43173</v>
      </c>
      <c r="S206" s="79">
        <v>8046</v>
      </c>
      <c r="AR206" s="79">
        <f t="shared" si="292"/>
        <v>0</v>
      </c>
      <c r="AS206" s="79">
        <f t="shared" si="293"/>
        <v>0</v>
      </c>
      <c r="AT206" s="79">
        <f t="shared" si="312"/>
        <v>8046</v>
      </c>
      <c r="AU206" s="158" t="s">
        <v>161</v>
      </c>
      <c r="AV206" s="79">
        <v>7631</v>
      </c>
      <c r="BJ206" s="79">
        <v>-2167</v>
      </c>
      <c r="BV206" s="79">
        <f t="shared" si="294"/>
        <v>-2167</v>
      </c>
      <c r="BW206" s="79">
        <f t="shared" si="295"/>
        <v>0</v>
      </c>
      <c r="BX206" s="79">
        <f t="shared" si="313"/>
        <v>13510</v>
      </c>
      <c r="DB206" s="79">
        <f t="shared" si="296"/>
        <v>0</v>
      </c>
      <c r="DC206" s="79">
        <f t="shared" si="297"/>
        <v>0</v>
      </c>
      <c r="DD206" s="79">
        <f t="shared" si="298"/>
        <v>0</v>
      </c>
      <c r="DE206" s="79">
        <f t="shared" si="314"/>
        <v>13510</v>
      </c>
      <c r="DP206" s="131"/>
      <c r="EJ206" s="79">
        <f t="shared" si="299"/>
        <v>0</v>
      </c>
      <c r="EK206" s="79">
        <f t="shared" si="300"/>
        <v>0</v>
      </c>
      <c r="EL206" s="79">
        <f t="shared" si="301"/>
        <v>0</v>
      </c>
      <c r="EM206" s="79">
        <f t="shared" si="315"/>
        <v>13510</v>
      </c>
      <c r="EX206" s="144">
        <f>-11556+11556</f>
        <v>0</v>
      </c>
      <c r="FI206" s="66">
        <f t="shared" si="302"/>
        <v>0</v>
      </c>
      <c r="FJ206" s="66">
        <f t="shared" si="303"/>
        <v>0</v>
      </c>
      <c r="FK206" s="66">
        <f t="shared" si="304"/>
        <v>0</v>
      </c>
      <c r="FL206" s="173">
        <f t="shared" si="305"/>
        <v>13510</v>
      </c>
    </row>
    <row r="207" spans="1:168" hidden="1" outlineLevel="1" x14ac:dyDescent="0.2">
      <c r="A207" s="76" t="s">
        <v>23</v>
      </c>
      <c r="B207" s="76" t="s">
        <v>412</v>
      </c>
      <c r="C207" s="76" t="s">
        <v>507</v>
      </c>
      <c r="D207" s="76" t="s">
        <v>541</v>
      </c>
      <c r="E207" s="77" t="s">
        <v>213</v>
      </c>
      <c r="F207" s="77" t="s">
        <v>712</v>
      </c>
      <c r="G207" s="77" t="str">
        <f t="shared" si="306"/>
        <v>0</v>
      </c>
      <c r="H207" s="77" t="str">
        <f t="shared" si="307"/>
        <v>1</v>
      </c>
      <c r="I207" s="77" t="str">
        <f t="shared" si="308"/>
        <v>0</v>
      </c>
      <c r="J207" s="77" t="str">
        <f t="shared" si="309"/>
        <v>0</v>
      </c>
      <c r="K207" s="77" t="str">
        <f t="shared" si="310"/>
        <v>0100</v>
      </c>
      <c r="L207" s="77" t="str">
        <f>IFERROR(VLOOKUP(K207,Sheet2!$A$20:$B$23,2,FALSE),"X")</f>
        <v>02</v>
      </c>
      <c r="M207" s="77" t="str">
        <f t="shared" si="311"/>
        <v>08803340District Design and Led 18-21</v>
      </c>
      <c r="O207" s="76" t="s">
        <v>160</v>
      </c>
      <c r="P207" s="69" t="s">
        <v>168</v>
      </c>
      <c r="Q207" s="78"/>
      <c r="R207" s="78"/>
      <c r="AR207" s="79">
        <f t="shared" si="292"/>
        <v>0</v>
      </c>
      <c r="AS207" s="79">
        <f t="shared" si="293"/>
        <v>0</v>
      </c>
      <c r="AT207" s="79">
        <f t="shared" si="312"/>
        <v>0</v>
      </c>
      <c r="AU207" s="158" t="s">
        <v>336</v>
      </c>
      <c r="AV207" s="79"/>
      <c r="AW207" s="79">
        <v>7837</v>
      </c>
      <c r="BV207" s="79">
        <f t="shared" si="294"/>
        <v>0</v>
      </c>
      <c r="BW207" s="79">
        <f t="shared" si="295"/>
        <v>0</v>
      </c>
      <c r="BX207" s="79">
        <f t="shared" si="313"/>
        <v>7837</v>
      </c>
      <c r="BY207" s="79"/>
      <c r="DB207" s="79">
        <f t="shared" si="296"/>
        <v>0</v>
      </c>
      <c r="DC207" s="79">
        <f t="shared" si="297"/>
        <v>0</v>
      </c>
      <c r="DD207" s="79">
        <f t="shared" si="298"/>
        <v>0</v>
      </c>
      <c r="DE207" s="79">
        <f t="shared" si="314"/>
        <v>7837</v>
      </c>
      <c r="DF207" s="79"/>
      <c r="DP207" s="131"/>
      <c r="EJ207" s="79">
        <f t="shared" si="299"/>
        <v>0</v>
      </c>
      <c r="EK207" s="79">
        <f t="shared" si="300"/>
        <v>0</v>
      </c>
      <c r="EL207" s="79">
        <f t="shared" si="301"/>
        <v>0</v>
      </c>
      <c r="EM207" s="79">
        <f t="shared" si="315"/>
        <v>7837</v>
      </c>
      <c r="FI207" s="66">
        <f t="shared" si="302"/>
        <v>0</v>
      </c>
      <c r="FJ207" s="66">
        <f t="shared" si="303"/>
        <v>0</v>
      </c>
      <c r="FK207" s="66">
        <f t="shared" si="304"/>
        <v>0</v>
      </c>
      <c r="FL207" s="173">
        <f t="shared" si="305"/>
        <v>7837</v>
      </c>
    </row>
    <row r="208" spans="1:168" hidden="1" outlineLevel="1" x14ac:dyDescent="0.2">
      <c r="A208" s="76" t="s">
        <v>23</v>
      </c>
      <c r="B208" s="76" t="s">
        <v>65</v>
      </c>
      <c r="C208" s="76" t="s">
        <v>507</v>
      </c>
      <c r="D208" s="76" t="s">
        <v>617</v>
      </c>
      <c r="E208" s="77" t="s">
        <v>211</v>
      </c>
      <c r="F208" s="77" t="s">
        <v>712</v>
      </c>
      <c r="G208" s="77" t="str">
        <f t="shared" si="306"/>
        <v>1</v>
      </c>
      <c r="H208" s="77" t="str">
        <f t="shared" si="307"/>
        <v>0</v>
      </c>
      <c r="I208" s="77" t="str">
        <f t="shared" si="308"/>
        <v>0</v>
      </c>
      <c r="J208" s="77" t="str">
        <f t="shared" si="309"/>
        <v>0</v>
      </c>
      <c r="K208" s="77" t="str">
        <f t="shared" si="310"/>
        <v>1000</v>
      </c>
      <c r="L208" s="77" t="str">
        <f>IFERROR(VLOOKUP(K208,Sheet2!$A$20:$B$23,2,FALSE),"X")</f>
        <v>01</v>
      </c>
      <c r="M208" s="77" t="str">
        <f t="shared" si="311"/>
        <v>08803655District Design and Led 17-20</v>
      </c>
      <c r="N208" s="76" t="s">
        <v>161</v>
      </c>
      <c r="O208" s="76" t="s">
        <v>160</v>
      </c>
      <c r="P208" s="69" t="s">
        <v>168</v>
      </c>
      <c r="Q208" s="78">
        <v>43173</v>
      </c>
      <c r="R208" s="78">
        <v>43173</v>
      </c>
      <c r="S208" s="79">
        <v>13946</v>
      </c>
      <c r="AR208" s="79">
        <f t="shared" si="292"/>
        <v>0</v>
      </c>
      <c r="AS208" s="79">
        <f t="shared" si="293"/>
        <v>0</v>
      </c>
      <c r="AT208" s="79">
        <f t="shared" si="312"/>
        <v>13946</v>
      </c>
      <c r="AU208" s="158" t="s">
        <v>161</v>
      </c>
      <c r="AV208" s="79">
        <v>9946</v>
      </c>
      <c r="BJ208" s="79">
        <v>-3467</v>
      </c>
      <c r="BV208" s="79">
        <f t="shared" si="294"/>
        <v>-3467</v>
      </c>
      <c r="BW208" s="79">
        <f t="shared" si="295"/>
        <v>0</v>
      </c>
      <c r="BX208" s="79">
        <f t="shared" si="313"/>
        <v>20425</v>
      </c>
      <c r="DB208" s="79">
        <f t="shared" si="296"/>
        <v>0</v>
      </c>
      <c r="DC208" s="79">
        <f t="shared" si="297"/>
        <v>0</v>
      </c>
      <c r="DD208" s="79">
        <f t="shared" si="298"/>
        <v>0</v>
      </c>
      <c r="DE208" s="79">
        <f t="shared" si="314"/>
        <v>20425</v>
      </c>
      <c r="DP208" s="131"/>
      <c r="EJ208" s="79">
        <f t="shared" si="299"/>
        <v>0</v>
      </c>
      <c r="EK208" s="79">
        <f t="shared" si="300"/>
        <v>0</v>
      </c>
      <c r="EL208" s="79">
        <f t="shared" si="301"/>
        <v>0</v>
      </c>
      <c r="EM208" s="79">
        <f t="shared" si="315"/>
        <v>20425</v>
      </c>
      <c r="EX208" s="144">
        <f>-14237+14237</f>
        <v>0</v>
      </c>
      <c r="FI208" s="66">
        <f t="shared" si="302"/>
        <v>0</v>
      </c>
      <c r="FJ208" s="66">
        <f t="shared" si="303"/>
        <v>0</v>
      </c>
      <c r="FK208" s="66">
        <f t="shared" si="304"/>
        <v>0</v>
      </c>
      <c r="FL208" s="173">
        <f t="shared" si="305"/>
        <v>20425</v>
      </c>
    </row>
    <row r="209" spans="1:169" hidden="1" outlineLevel="1" x14ac:dyDescent="0.2">
      <c r="A209" s="76" t="s">
        <v>23</v>
      </c>
      <c r="B209" s="76" t="s">
        <v>413</v>
      </c>
      <c r="C209" s="76" t="s">
        <v>507</v>
      </c>
      <c r="D209" s="76" t="s">
        <v>537</v>
      </c>
      <c r="E209" s="77" t="s">
        <v>213</v>
      </c>
      <c r="F209" s="77" t="s">
        <v>712</v>
      </c>
      <c r="G209" s="77" t="str">
        <f t="shared" si="306"/>
        <v>0</v>
      </c>
      <c r="H209" s="77" t="str">
        <f t="shared" si="307"/>
        <v>1</v>
      </c>
      <c r="I209" s="77" t="str">
        <f t="shared" si="308"/>
        <v>0</v>
      </c>
      <c r="J209" s="77" t="str">
        <f t="shared" si="309"/>
        <v>0</v>
      </c>
      <c r="K209" s="77" t="str">
        <f t="shared" si="310"/>
        <v>0100</v>
      </c>
      <c r="L209" s="77" t="str">
        <f>IFERROR(VLOOKUP(K209,Sheet2!$A$20:$B$23,2,FALSE),"X")</f>
        <v>02</v>
      </c>
      <c r="M209" s="77" t="str">
        <f t="shared" si="311"/>
        <v>08804444District Design and Led 18-21</v>
      </c>
      <c r="O209" s="76" t="s">
        <v>160</v>
      </c>
      <c r="P209" s="69" t="s">
        <v>168</v>
      </c>
      <c r="Q209" s="78"/>
      <c r="R209" s="78"/>
      <c r="AR209" s="79">
        <f t="shared" si="292"/>
        <v>0</v>
      </c>
      <c r="AS209" s="79">
        <f t="shared" si="293"/>
        <v>0</v>
      </c>
      <c r="AT209" s="79">
        <f t="shared" si="312"/>
        <v>0</v>
      </c>
      <c r="AU209" s="158" t="s">
        <v>336</v>
      </c>
      <c r="AV209" s="79"/>
      <c r="AW209" s="79">
        <v>28278</v>
      </c>
      <c r="BV209" s="79">
        <f t="shared" si="294"/>
        <v>0</v>
      </c>
      <c r="BW209" s="79">
        <f t="shared" si="295"/>
        <v>0</v>
      </c>
      <c r="BX209" s="79">
        <f t="shared" si="313"/>
        <v>28278</v>
      </c>
      <c r="BY209" s="79"/>
      <c r="DB209" s="79">
        <f t="shared" si="296"/>
        <v>0</v>
      </c>
      <c r="DC209" s="79">
        <f t="shared" si="297"/>
        <v>0</v>
      </c>
      <c r="DD209" s="79">
        <f t="shared" si="298"/>
        <v>0</v>
      </c>
      <c r="DE209" s="79">
        <f t="shared" si="314"/>
        <v>28278</v>
      </c>
      <c r="DF209" s="79"/>
      <c r="DP209" s="131"/>
      <c r="EJ209" s="79">
        <f t="shared" si="299"/>
        <v>0</v>
      </c>
      <c r="EK209" s="79">
        <f t="shared" si="300"/>
        <v>0</v>
      </c>
      <c r="EL209" s="79">
        <f t="shared" si="301"/>
        <v>0</v>
      </c>
      <c r="EM209" s="79">
        <f t="shared" si="315"/>
        <v>28278</v>
      </c>
      <c r="FI209" s="66">
        <f t="shared" si="302"/>
        <v>0</v>
      </c>
      <c r="FJ209" s="66">
        <f t="shared" si="303"/>
        <v>0</v>
      </c>
      <c r="FK209" s="66">
        <f t="shared" si="304"/>
        <v>0</v>
      </c>
      <c r="FL209" s="173">
        <f t="shared" si="305"/>
        <v>28278</v>
      </c>
    </row>
    <row r="210" spans="1:169" hidden="1" outlineLevel="1" x14ac:dyDescent="0.2">
      <c r="A210" s="76" t="s">
        <v>23</v>
      </c>
      <c r="B210" s="76" t="s">
        <v>414</v>
      </c>
      <c r="C210" s="76" t="s">
        <v>507</v>
      </c>
      <c r="D210" s="76" t="s">
        <v>533</v>
      </c>
      <c r="E210" s="77" t="s">
        <v>213</v>
      </c>
      <c r="F210" s="77" t="s">
        <v>712</v>
      </c>
      <c r="G210" s="77" t="str">
        <f t="shared" si="306"/>
        <v>0</v>
      </c>
      <c r="H210" s="77" t="str">
        <f t="shared" si="307"/>
        <v>1</v>
      </c>
      <c r="I210" s="77" t="str">
        <f t="shared" si="308"/>
        <v>1</v>
      </c>
      <c r="J210" s="77" t="str">
        <f t="shared" si="309"/>
        <v>0</v>
      </c>
      <c r="K210" s="77" t="str">
        <f t="shared" si="310"/>
        <v>0110</v>
      </c>
      <c r="L210" s="77" t="str">
        <f>IFERROR(VLOOKUP(K210,Sheet2!$A$20:$B$23,2,FALSE),"X")</f>
        <v>X</v>
      </c>
      <c r="M210" s="77" t="str">
        <f t="shared" si="311"/>
        <v>08804494District Design and Led 18-21</v>
      </c>
      <c r="O210" s="76" t="s">
        <v>160</v>
      </c>
      <c r="P210" s="69" t="s">
        <v>168</v>
      </c>
      <c r="Q210" s="78"/>
      <c r="R210" s="78"/>
      <c r="AR210" s="79">
        <f t="shared" si="292"/>
        <v>0</v>
      </c>
      <c r="AS210" s="79">
        <f t="shared" si="293"/>
        <v>0</v>
      </c>
      <c r="AT210" s="79">
        <f t="shared" si="312"/>
        <v>0</v>
      </c>
      <c r="AU210" s="158" t="s">
        <v>336</v>
      </c>
      <c r="AV210" s="79"/>
      <c r="AW210" s="79">
        <v>36115</v>
      </c>
      <c r="BV210" s="79">
        <f t="shared" si="294"/>
        <v>0</v>
      </c>
      <c r="BW210" s="79">
        <f t="shared" si="295"/>
        <v>0</v>
      </c>
      <c r="BX210" s="79">
        <f t="shared" si="313"/>
        <v>36115</v>
      </c>
      <c r="BY210" s="79"/>
      <c r="CC210" s="79">
        <v>810.48</v>
      </c>
      <c r="CH210" s="79">
        <v>-548.12</v>
      </c>
      <c r="DB210" s="79">
        <f t="shared" si="296"/>
        <v>0</v>
      </c>
      <c r="DC210" s="79">
        <f t="shared" si="297"/>
        <v>-548.12</v>
      </c>
      <c r="DD210" s="79">
        <f t="shared" si="298"/>
        <v>0</v>
      </c>
      <c r="DE210" s="79">
        <f t="shared" si="314"/>
        <v>36377.360000000001</v>
      </c>
      <c r="DF210" s="79"/>
      <c r="DH210" s="79">
        <v>99206.772800000006</v>
      </c>
      <c r="DP210" s="131"/>
      <c r="EJ210" s="79">
        <f t="shared" si="299"/>
        <v>0</v>
      </c>
      <c r="EK210" s="79">
        <f t="shared" si="300"/>
        <v>0</v>
      </c>
      <c r="EL210" s="79">
        <f t="shared" si="301"/>
        <v>0</v>
      </c>
      <c r="EM210" s="79">
        <f t="shared" si="315"/>
        <v>135584.13280000002</v>
      </c>
      <c r="EP210" s="103">
        <v>16825.466703499998</v>
      </c>
      <c r="EX210" s="144">
        <f>43.36-97579.49</f>
        <v>-97536.13</v>
      </c>
      <c r="FI210" s="66">
        <f t="shared" si="302"/>
        <v>0</v>
      </c>
      <c r="FJ210" s="66">
        <f t="shared" si="303"/>
        <v>0</v>
      </c>
      <c r="FK210" s="66">
        <f t="shared" si="304"/>
        <v>-97536.13</v>
      </c>
      <c r="FL210" s="173">
        <f t="shared" si="305"/>
        <v>54873.469503500004</v>
      </c>
    </row>
    <row r="211" spans="1:169" hidden="1" outlineLevel="1" x14ac:dyDescent="0.2">
      <c r="A211" s="76" t="s">
        <v>23</v>
      </c>
      <c r="B211" s="76" t="s">
        <v>66</v>
      </c>
      <c r="C211" s="76" t="s">
        <v>507</v>
      </c>
      <c r="D211" s="76" t="s">
        <v>139</v>
      </c>
      <c r="E211" s="77" t="s">
        <v>211</v>
      </c>
      <c r="F211" s="77" t="s">
        <v>712</v>
      </c>
      <c r="G211" s="77" t="str">
        <f t="shared" si="306"/>
        <v>1</v>
      </c>
      <c r="H211" s="77" t="str">
        <f t="shared" si="307"/>
        <v>0</v>
      </c>
      <c r="I211" s="77" t="str">
        <f t="shared" si="308"/>
        <v>0</v>
      </c>
      <c r="J211" s="77" t="str">
        <f t="shared" si="309"/>
        <v>0</v>
      </c>
      <c r="K211" s="77" t="str">
        <f t="shared" si="310"/>
        <v>1000</v>
      </c>
      <c r="L211" s="77" t="str">
        <f>IFERROR(VLOOKUP(K211,Sheet2!$A$20:$B$23,2,FALSE),"X")</f>
        <v>01</v>
      </c>
      <c r="M211" s="77" t="str">
        <f t="shared" si="311"/>
        <v>08804782District Design and Led 17-20</v>
      </c>
      <c r="N211" s="76" t="s">
        <v>161</v>
      </c>
      <c r="O211" s="76" t="s">
        <v>160</v>
      </c>
      <c r="P211" s="69" t="s">
        <v>168</v>
      </c>
      <c r="Q211" s="78">
        <v>43173</v>
      </c>
      <c r="R211" s="78">
        <v>43173</v>
      </c>
      <c r="S211" s="79">
        <v>8046</v>
      </c>
      <c r="AR211" s="79">
        <f t="shared" si="292"/>
        <v>0</v>
      </c>
      <c r="AS211" s="79">
        <f t="shared" si="293"/>
        <v>0</v>
      </c>
      <c r="AT211" s="79">
        <f t="shared" si="312"/>
        <v>8046</v>
      </c>
      <c r="AU211" s="158" t="s">
        <v>161</v>
      </c>
      <c r="AV211" s="79">
        <v>7631</v>
      </c>
      <c r="BJ211" s="79">
        <v>-2167</v>
      </c>
      <c r="BV211" s="79">
        <f t="shared" si="294"/>
        <v>-2167</v>
      </c>
      <c r="BW211" s="79">
        <f t="shared" si="295"/>
        <v>0</v>
      </c>
      <c r="BX211" s="79">
        <f t="shared" si="313"/>
        <v>13510</v>
      </c>
      <c r="DB211" s="79">
        <f t="shared" si="296"/>
        <v>0</v>
      </c>
      <c r="DC211" s="79">
        <f t="shared" si="297"/>
        <v>0</v>
      </c>
      <c r="DD211" s="79">
        <f t="shared" si="298"/>
        <v>0</v>
      </c>
      <c r="DE211" s="79">
        <f t="shared" si="314"/>
        <v>13510</v>
      </c>
      <c r="DP211" s="131"/>
      <c r="EJ211" s="79">
        <f t="shared" si="299"/>
        <v>0</v>
      </c>
      <c r="EK211" s="79">
        <f t="shared" si="300"/>
        <v>0</v>
      </c>
      <c r="EL211" s="79">
        <f t="shared" si="301"/>
        <v>0</v>
      </c>
      <c r="EM211" s="79">
        <f t="shared" si="315"/>
        <v>13510</v>
      </c>
      <c r="EX211" s="144">
        <f>-12754+12754</f>
        <v>0</v>
      </c>
      <c r="FI211" s="66">
        <f t="shared" si="302"/>
        <v>0</v>
      </c>
      <c r="FJ211" s="66">
        <f t="shared" si="303"/>
        <v>0</v>
      </c>
      <c r="FK211" s="66">
        <f t="shared" si="304"/>
        <v>0</v>
      </c>
      <c r="FL211" s="173">
        <f t="shared" si="305"/>
        <v>13510</v>
      </c>
    </row>
    <row r="212" spans="1:169" hidden="1" outlineLevel="1" x14ac:dyDescent="0.2">
      <c r="A212" s="76" t="s">
        <v>23</v>
      </c>
      <c r="B212" s="76" t="s">
        <v>66</v>
      </c>
      <c r="C212" s="76" t="s">
        <v>507</v>
      </c>
      <c r="D212" s="76" t="s">
        <v>139</v>
      </c>
      <c r="E212" s="77" t="s">
        <v>213</v>
      </c>
      <c r="F212" s="77" t="s">
        <v>712</v>
      </c>
      <c r="G212" s="77" t="str">
        <f t="shared" si="306"/>
        <v>0</v>
      </c>
      <c r="H212" s="77" t="str">
        <f t="shared" si="307"/>
        <v>1</v>
      </c>
      <c r="I212" s="77" t="str">
        <f t="shared" si="308"/>
        <v>0</v>
      </c>
      <c r="J212" s="77" t="str">
        <f t="shared" si="309"/>
        <v>0</v>
      </c>
      <c r="K212" s="77" t="str">
        <f t="shared" si="310"/>
        <v>0100</v>
      </c>
      <c r="L212" s="77" t="str">
        <f>IFERROR(VLOOKUP(K212,Sheet2!$A$20:$B$23,2,FALSE),"X")</f>
        <v>02</v>
      </c>
      <c r="M212" s="77" t="str">
        <f t="shared" si="311"/>
        <v>08804782District Design and Led 18-21</v>
      </c>
      <c r="O212" s="76" t="s">
        <v>160</v>
      </c>
      <c r="P212" s="69" t="s">
        <v>168</v>
      </c>
      <c r="Q212" s="78"/>
      <c r="R212" s="78"/>
      <c r="AR212" s="79">
        <f t="shared" si="292"/>
        <v>0</v>
      </c>
      <c r="AS212" s="79">
        <f t="shared" si="293"/>
        <v>0</v>
      </c>
      <c r="AT212" s="79">
        <f t="shared" si="312"/>
        <v>0</v>
      </c>
      <c r="AU212" s="158" t="s">
        <v>336</v>
      </c>
      <c r="AV212" s="79"/>
      <c r="AW212" s="79">
        <v>7837</v>
      </c>
      <c r="BV212" s="79">
        <f t="shared" si="294"/>
        <v>0</v>
      </c>
      <c r="BW212" s="79">
        <f t="shared" si="295"/>
        <v>0</v>
      </c>
      <c r="BX212" s="79">
        <f t="shared" si="313"/>
        <v>7837</v>
      </c>
      <c r="BY212" s="79"/>
      <c r="DB212" s="79">
        <f t="shared" si="296"/>
        <v>0</v>
      </c>
      <c r="DC212" s="79">
        <f t="shared" si="297"/>
        <v>0</v>
      </c>
      <c r="DD212" s="79">
        <f t="shared" si="298"/>
        <v>0</v>
      </c>
      <c r="DE212" s="79">
        <f t="shared" si="314"/>
        <v>7837</v>
      </c>
      <c r="DF212" s="79"/>
      <c r="DP212" s="131"/>
      <c r="EJ212" s="79">
        <f t="shared" si="299"/>
        <v>0</v>
      </c>
      <c r="EK212" s="79">
        <f t="shared" si="300"/>
        <v>0</v>
      </c>
      <c r="EL212" s="79">
        <f t="shared" si="301"/>
        <v>0</v>
      </c>
      <c r="EM212" s="79">
        <f t="shared" si="315"/>
        <v>7837</v>
      </c>
      <c r="FI212" s="66">
        <f t="shared" si="302"/>
        <v>0</v>
      </c>
      <c r="FJ212" s="66">
        <f t="shared" si="303"/>
        <v>0</v>
      </c>
      <c r="FK212" s="66">
        <f t="shared" si="304"/>
        <v>0</v>
      </c>
      <c r="FL212" s="173">
        <f t="shared" si="305"/>
        <v>7837</v>
      </c>
    </row>
    <row r="213" spans="1:169" hidden="1" outlineLevel="1" x14ac:dyDescent="0.2">
      <c r="A213" s="76" t="s">
        <v>23</v>
      </c>
      <c r="B213" s="76" t="s">
        <v>415</v>
      </c>
      <c r="C213" s="76" t="s">
        <v>507</v>
      </c>
      <c r="D213" s="76" t="s">
        <v>517</v>
      </c>
      <c r="E213" s="77" t="s">
        <v>213</v>
      </c>
      <c r="F213" s="77" t="s">
        <v>712</v>
      </c>
      <c r="G213" s="77" t="str">
        <f t="shared" si="306"/>
        <v>0</v>
      </c>
      <c r="H213" s="77" t="str">
        <f t="shared" si="307"/>
        <v>1</v>
      </c>
      <c r="I213" s="77" t="str">
        <f t="shared" si="308"/>
        <v>0</v>
      </c>
      <c r="J213" s="77" t="str">
        <f t="shared" si="309"/>
        <v>0</v>
      </c>
      <c r="K213" s="77" t="str">
        <f t="shared" si="310"/>
        <v>0100</v>
      </c>
      <c r="L213" s="77" t="str">
        <f>IFERROR(VLOOKUP(K213,Sheet2!$A$20:$B$23,2,FALSE),"X")</f>
        <v>02</v>
      </c>
      <c r="M213" s="77" t="str">
        <f t="shared" si="311"/>
        <v>08804795District Design and Led 18-21</v>
      </c>
      <c r="O213" s="76" t="s">
        <v>160</v>
      </c>
      <c r="P213" s="69" t="s">
        <v>168</v>
      </c>
      <c r="Q213" s="78"/>
      <c r="R213" s="78"/>
      <c r="AR213" s="79">
        <f t="shared" si="292"/>
        <v>0</v>
      </c>
      <c r="AS213" s="79">
        <f t="shared" si="293"/>
        <v>0</v>
      </c>
      <c r="AT213" s="79">
        <f t="shared" si="312"/>
        <v>0</v>
      </c>
      <c r="AU213" s="158" t="s">
        <v>336</v>
      </c>
      <c r="AV213" s="79"/>
      <c r="AW213" s="79">
        <v>14191</v>
      </c>
      <c r="BV213" s="79">
        <f t="shared" si="294"/>
        <v>0</v>
      </c>
      <c r="BW213" s="79">
        <f t="shared" si="295"/>
        <v>0</v>
      </c>
      <c r="BX213" s="79">
        <f t="shared" si="313"/>
        <v>14191</v>
      </c>
      <c r="BY213" s="79"/>
      <c r="DB213" s="79">
        <f t="shared" si="296"/>
        <v>0</v>
      </c>
      <c r="DC213" s="79">
        <f t="shared" si="297"/>
        <v>0</v>
      </c>
      <c r="DD213" s="79">
        <f t="shared" si="298"/>
        <v>0</v>
      </c>
      <c r="DE213" s="79">
        <f t="shared" si="314"/>
        <v>14191</v>
      </c>
      <c r="DF213" s="79"/>
      <c r="DP213" s="131"/>
      <c r="EJ213" s="79">
        <f t="shared" si="299"/>
        <v>0</v>
      </c>
      <c r="EK213" s="79">
        <f t="shared" si="300"/>
        <v>0</v>
      </c>
      <c r="EL213" s="79">
        <f t="shared" si="301"/>
        <v>0</v>
      </c>
      <c r="EM213" s="79">
        <f t="shared" si="315"/>
        <v>14191</v>
      </c>
      <c r="FI213" s="66">
        <f t="shared" si="302"/>
        <v>0</v>
      </c>
      <c r="FJ213" s="66">
        <f t="shared" si="303"/>
        <v>0</v>
      </c>
      <c r="FK213" s="66">
        <f t="shared" si="304"/>
        <v>0</v>
      </c>
      <c r="FL213" s="173">
        <f t="shared" si="305"/>
        <v>14191</v>
      </c>
    </row>
    <row r="214" spans="1:169" hidden="1" outlineLevel="1" x14ac:dyDescent="0.2">
      <c r="A214" s="76" t="s">
        <v>23</v>
      </c>
      <c r="B214" s="76" t="s">
        <v>390</v>
      </c>
      <c r="C214" s="76" t="s">
        <v>507</v>
      </c>
      <c r="D214" s="76" t="s">
        <v>540</v>
      </c>
      <c r="E214" s="77" t="s">
        <v>213</v>
      </c>
      <c r="F214" s="77" t="s">
        <v>712</v>
      </c>
      <c r="G214" s="77" t="str">
        <f t="shared" si="306"/>
        <v>0</v>
      </c>
      <c r="H214" s="77" t="str">
        <f t="shared" si="307"/>
        <v>1</v>
      </c>
      <c r="I214" s="77" t="str">
        <f t="shared" si="308"/>
        <v>0</v>
      </c>
      <c r="J214" s="77" t="str">
        <f t="shared" si="309"/>
        <v>0</v>
      </c>
      <c r="K214" s="77" t="str">
        <f t="shared" si="310"/>
        <v>0100</v>
      </c>
      <c r="L214" s="77" t="str">
        <f>IFERROR(VLOOKUP(K214,Sheet2!$A$20:$B$23,2,FALSE),"X")</f>
        <v>02</v>
      </c>
      <c r="M214" s="77" t="str">
        <f t="shared" si="311"/>
        <v>08805044District Design and Led 18-21</v>
      </c>
      <c r="O214" s="76" t="s">
        <v>160</v>
      </c>
      <c r="P214" s="69" t="s">
        <v>168</v>
      </c>
      <c r="Q214" s="78"/>
      <c r="R214" s="78"/>
      <c r="AR214" s="79">
        <f t="shared" si="292"/>
        <v>0</v>
      </c>
      <c r="AS214" s="79">
        <f t="shared" si="293"/>
        <v>0</v>
      </c>
      <c r="AT214" s="79">
        <f t="shared" si="312"/>
        <v>0</v>
      </c>
      <c r="AU214" s="158" t="s">
        <v>336</v>
      </c>
      <c r="AV214" s="79"/>
      <c r="AW214" s="79">
        <v>7837</v>
      </c>
      <c r="BV214" s="79">
        <f t="shared" si="294"/>
        <v>0</v>
      </c>
      <c r="BW214" s="79">
        <f t="shared" si="295"/>
        <v>0</v>
      </c>
      <c r="BX214" s="79">
        <f t="shared" si="313"/>
        <v>7837</v>
      </c>
      <c r="BY214" s="79"/>
      <c r="DB214" s="79">
        <f t="shared" si="296"/>
        <v>0</v>
      </c>
      <c r="DC214" s="79">
        <f t="shared" si="297"/>
        <v>0</v>
      </c>
      <c r="DD214" s="79">
        <f t="shared" si="298"/>
        <v>0</v>
      </c>
      <c r="DE214" s="79">
        <f t="shared" si="314"/>
        <v>7837</v>
      </c>
      <c r="DF214" s="79"/>
      <c r="DH214" s="79">
        <v>81780</v>
      </c>
      <c r="DP214" s="131"/>
      <c r="EJ214" s="79">
        <f t="shared" si="299"/>
        <v>0</v>
      </c>
      <c r="EK214" s="79">
        <f t="shared" si="300"/>
        <v>0</v>
      </c>
      <c r="EL214" s="79">
        <f t="shared" si="301"/>
        <v>0</v>
      </c>
      <c r="EM214" s="79">
        <f t="shared" si="315"/>
        <v>89617</v>
      </c>
      <c r="EX214" s="144">
        <f>-233.1+0.01-76234.22</f>
        <v>-76467.31</v>
      </c>
      <c r="FI214" s="66">
        <f t="shared" si="302"/>
        <v>0</v>
      </c>
      <c r="FJ214" s="66">
        <f t="shared" si="303"/>
        <v>0</v>
      </c>
      <c r="FK214" s="66">
        <f t="shared" si="304"/>
        <v>-76467.31</v>
      </c>
      <c r="FL214" s="173">
        <f t="shared" si="305"/>
        <v>13149.690000000002</v>
      </c>
    </row>
    <row r="215" spans="1:169" hidden="1" outlineLevel="1" x14ac:dyDescent="0.2">
      <c r="A215" s="76" t="s">
        <v>23</v>
      </c>
      <c r="B215" s="76" t="s">
        <v>416</v>
      </c>
      <c r="C215" s="76" t="s">
        <v>507</v>
      </c>
      <c r="D215" s="76" t="s">
        <v>539</v>
      </c>
      <c r="E215" s="77" t="s">
        <v>213</v>
      </c>
      <c r="F215" s="77" t="s">
        <v>712</v>
      </c>
      <c r="G215" s="77" t="str">
        <f t="shared" si="306"/>
        <v>0</v>
      </c>
      <c r="H215" s="77" t="str">
        <f t="shared" si="307"/>
        <v>1</v>
      </c>
      <c r="I215" s="77" t="str">
        <f t="shared" si="308"/>
        <v>0</v>
      </c>
      <c r="J215" s="77" t="str">
        <f t="shared" si="309"/>
        <v>0</v>
      </c>
      <c r="K215" s="77" t="str">
        <f t="shared" si="310"/>
        <v>0100</v>
      </c>
      <c r="L215" s="77" t="str">
        <f>IFERROR(VLOOKUP(K215,Sheet2!$A$20:$B$23,2,FALSE),"X")</f>
        <v>02</v>
      </c>
      <c r="M215" s="77" t="str">
        <f t="shared" si="311"/>
        <v>08805255District Design and Led 18-21</v>
      </c>
      <c r="O215" s="76" t="s">
        <v>160</v>
      </c>
      <c r="P215" s="69" t="s">
        <v>168</v>
      </c>
      <c r="Q215" s="78"/>
      <c r="R215" s="78"/>
      <c r="AR215" s="79">
        <f t="shared" si="292"/>
        <v>0</v>
      </c>
      <c r="AS215" s="79">
        <f t="shared" si="293"/>
        <v>0</v>
      </c>
      <c r="AT215" s="79">
        <f t="shared" si="312"/>
        <v>0</v>
      </c>
      <c r="AU215" s="158" t="s">
        <v>336</v>
      </c>
      <c r="AV215" s="79"/>
      <c r="AW215" s="79">
        <v>14191</v>
      </c>
      <c r="BV215" s="79">
        <f t="shared" si="294"/>
        <v>0</v>
      </c>
      <c r="BW215" s="79">
        <f t="shared" si="295"/>
        <v>0</v>
      </c>
      <c r="BX215" s="79">
        <f t="shared" si="313"/>
        <v>14191</v>
      </c>
      <c r="BY215" s="79"/>
      <c r="DB215" s="79">
        <f t="shared" si="296"/>
        <v>0</v>
      </c>
      <c r="DC215" s="79">
        <f t="shared" si="297"/>
        <v>0</v>
      </c>
      <c r="DD215" s="79">
        <f t="shared" si="298"/>
        <v>0</v>
      </c>
      <c r="DE215" s="79">
        <f t="shared" si="314"/>
        <v>14191</v>
      </c>
      <c r="DF215" s="79"/>
      <c r="DP215" s="131"/>
      <c r="EJ215" s="79">
        <f t="shared" si="299"/>
        <v>0</v>
      </c>
      <c r="EK215" s="79">
        <f t="shared" si="300"/>
        <v>0</v>
      </c>
      <c r="EL215" s="79">
        <f t="shared" si="301"/>
        <v>0</v>
      </c>
      <c r="EM215" s="79">
        <f t="shared" si="315"/>
        <v>14191</v>
      </c>
      <c r="FI215" s="66">
        <f t="shared" si="302"/>
        <v>0</v>
      </c>
      <c r="FJ215" s="66">
        <f t="shared" si="303"/>
        <v>0</v>
      </c>
      <c r="FK215" s="66">
        <f t="shared" si="304"/>
        <v>0</v>
      </c>
      <c r="FL215" s="173">
        <f t="shared" si="305"/>
        <v>14191</v>
      </c>
    </row>
    <row r="216" spans="1:169" hidden="1" outlineLevel="1" x14ac:dyDescent="0.2">
      <c r="A216" s="76" t="s">
        <v>23</v>
      </c>
      <c r="B216" s="76" t="s">
        <v>417</v>
      </c>
      <c r="C216" s="76" t="s">
        <v>507</v>
      </c>
      <c r="D216" s="76" t="s">
        <v>534</v>
      </c>
      <c r="E216" s="77" t="s">
        <v>213</v>
      </c>
      <c r="F216" s="77" t="s">
        <v>712</v>
      </c>
      <c r="G216" s="77" t="str">
        <f t="shared" si="306"/>
        <v>0</v>
      </c>
      <c r="H216" s="77" t="str">
        <f t="shared" si="307"/>
        <v>1</v>
      </c>
      <c r="I216" s="77" t="str">
        <f t="shared" si="308"/>
        <v>0</v>
      </c>
      <c r="J216" s="77" t="str">
        <f t="shared" si="309"/>
        <v>0</v>
      </c>
      <c r="K216" s="77" t="str">
        <f t="shared" si="310"/>
        <v>0100</v>
      </c>
      <c r="L216" s="77" t="str">
        <f>IFERROR(VLOOKUP(K216,Sheet2!$A$20:$B$23,2,FALSE),"X")</f>
        <v>02</v>
      </c>
      <c r="M216" s="77" t="str">
        <f t="shared" si="311"/>
        <v>08805605District Design and Led 18-21</v>
      </c>
      <c r="O216" s="76" t="s">
        <v>160</v>
      </c>
      <c r="P216" s="69" t="s">
        <v>168</v>
      </c>
      <c r="Q216" s="78"/>
      <c r="R216" s="78"/>
      <c r="AR216" s="79">
        <f t="shared" si="292"/>
        <v>0</v>
      </c>
      <c r="AS216" s="79">
        <f t="shared" si="293"/>
        <v>0</v>
      </c>
      <c r="AT216" s="79">
        <f t="shared" si="312"/>
        <v>0</v>
      </c>
      <c r="AU216" s="158" t="s">
        <v>336</v>
      </c>
      <c r="AV216" s="79"/>
      <c r="AW216" s="79">
        <v>14191</v>
      </c>
      <c r="BV216" s="79">
        <f t="shared" si="294"/>
        <v>0</v>
      </c>
      <c r="BW216" s="79">
        <f t="shared" si="295"/>
        <v>0</v>
      </c>
      <c r="BX216" s="79">
        <f t="shared" si="313"/>
        <v>14191</v>
      </c>
      <c r="BY216" s="79"/>
      <c r="DB216" s="79">
        <f t="shared" si="296"/>
        <v>0</v>
      </c>
      <c r="DC216" s="79">
        <f t="shared" si="297"/>
        <v>0</v>
      </c>
      <c r="DD216" s="79">
        <f t="shared" si="298"/>
        <v>0</v>
      </c>
      <c r="DE216" s="79">
        <f t="shared" si="314"/>
        <v>14191</v>
      </c>
      <c r="DF216" s="79"/>
      <c r="DP216" s="131"/>
      <c r="EJ216" s="79">
        <f t="shared" si="299"/>
        <v>0</v>
      </c>
      <c r="EK216" s="79">
        <f t="shared" si="300"/>
        <v>0</v>
      </c>
      <c r="EL216" s="79">
        <f t="shared" si="301"/>
        <v>0</v>
      </c>
      <c r="EM216" s="79">
        <f t="shared" si="315"/>
        <v>14191</v>
      </c>
      <c r="FI216" s="66">
        <f t="shared" si="302"/>
        <v>0</v>
      </c>
      <c r="FJ216" s="66">
        <f t="shared" si="303"/>
        <v>0</v>
      </c>
      <c r="FK216" s="66">
        <f t="shared" si="304"/>
        <v>0</v>
      </c>
      <c r="FL216" s="173">
        <f t="shared" si="305"/>
        <v>14191</v>
      </c>
    </row>
    <row r="217" spans="1:169" hidden="1" outlineLevel="1" x14ac:dyDescent="0.2">
      <c r="A217" s="76" t="s">
        <v>23</v>
      </c>
      <c r="B217" s="76" t="s">
        <v>59</v>
      </c>
      <c r="C217" s="76" t="s">
        <v>507</v>
      </c>
      <c r="D217" s="76" t="s">
        <v>135</v>
      </c>
      <c r="E217" s="77" t="s">
        <v>211</v>
      </c>
      <c r="F217" s="77" t="s">
        <v>712</v>
      </c>
      <c r="G217" s="77" t="str">
        <f t="shared" si="306"/>
        <v>1</v>
      </c>
      <c r="H217" s="77" t="str">
        <f t="shared" si="307"/>
        <v>0</v>
      </c>
      <c r="I217" s="77" t="str">
        <f t="shared" si="308"/>
        <v>0</v>
      </c>
      <c r="J217" s="77" t="str">
        <f t="shared" si="309"/>
        <v>0</v>
      </c>
      <c r="K217" s="77" t="str">
        <f t="shared" si="310"/>
        <v>1000</v>
      </c>
      <c r="L217" s="77" t="str">
        <f>IFERROR(VLOOKUP(K217,Sheet2!$A$20:$B$23,2,FALSE),"X")</f>
        <v>01</v>
      </c>
      <c r="M217" s="77" t="str">
        <f t="shared" si="311"/>
        <v>08805844District Design and Led 17-20</v>
      </c>
      <c r="N217" s="76" t="s">
        <v>161</v>
      </c>
      <c r="O217" s="76" t="s">
        <v>160</v>
      </c>
      <c r="P217" s="69" t="s">
        <v>168</v>
      </c>
      <c r="Q217" s="78">
        <v>43173</v>
      </c>
      <c r="R217" s="78">
        <v>43173</v>
      </c>
      <c r="S217" s="79">
        <v>8046</v>
      </c>
      <c r="AR217" s="79">
        <f t="shared" si="292"/>
        <v>0</v>
      </c>
      <c r="AS217" s="79">
        <f t="shared" si="293"/>
        <v>0</v>
      </c>
      <c r="AT217" s="79">
        <f t="shared" si="312"/>
        <v>8046</v>
      </c>
      <c r="AU217" s="158" t="s">
        <v>161</v>
      </c>
      <c r="AV217" s="79">
        <v>7631</v>
      </c>
      <c r="BJ217" s="79">
        <v>-2167</v>
      </c>
      <c r="BV217" s="79">
        <f t="shared" si="294"/>
        <v>-2167</v>
      </c>
      <c r="BW217" s="79">
        <f t="shared" si="295"/>
        <v>0</v>
      </c>
      <c r="BX217" s="79">
        <f t="shared" si="313"/>
        <v>13510</v>
      </c>
      <c r="DB217" s="79">
        <f t="shared" si="296"/>
        <v>0</v>
      </c>
      <c r="DC217" s="79">
        <f t="shared" si="297"/>
        <v>0</v>
      </c>
      <c r="DD217" s="79">
        <f t="shared" si="298"/>
        <v>0</v>
      </c>
      <c r="DE217" s="79">
        <f t="shared" si="314"/>
        <v>13510</v>
      </c>
      <c r="DP217" s="131"/>
      <c r="EJ217" s="79">
        <f t="shared" si="299"/>
        <v>0</v>
      </c>
      <c r="EK217" s="79">
        <f t="shared" si="300"/>
        <v>0</v>
      </c>
      <c r="EL217" s="79">
        <f t="shared" si="301"/>
        <v>0</v>
      </c>
      <c r="EM217" s="79">
        <f t="shared" si="315"/>
        <v>13510</v>
      </c>
      <c r="EX217" s="144">
        <v>-13510</v>
      </c>
      <c r="FI217" s="66">
        <f t="shared" si="302"/>
        <v>0</v>
      </c>
      <c r="FJ217" s="66">
        <f t="shared" si="303"/>
        <v>0</v>
      </c>
      <c r="FK217" s="66">
        <f t="shared" si="304"/>
        <v>-13510</v>
      </c>
      <c r="FL217" s="173">
        <f t="shared" si="305"/>
        <v>0</v>
      </c>
    </row>
    <row r="218" spans="1:169" hidden="1" outlineLevel="1" x14ac:dyDescent="0.2">
      <c r="A218" s="76" t="s">
        <v>23</v>
      </c>
      <c r="B218" s="76" t="s">
        <v>59</v>
      </c>
      <c r="C218" s="76" t="s">
        <v>507</v>
      </c>
      <c r="D218" s="76" t="s">
        <v>135</v>
      </c>
      <c r="E218" s="77" t="s">
        <v>213</v>
      </c>
      <c r="F218" s="77" t="s">
        <v>712</v>
      </c>
      <c r="G218" s="77" t="str">
        <f t="shared" si="306"/>
        <v>0</v>
      </c>
      <c r="H218" s="77" t="str">
        <f t="shared" si="307"/>
        <v>1</v>
      </c>
      <c r="I218" s="77" t="str">
        <f t="shared" si="308"/>
        <v>0</v>
      </c>
      <c r="J218" s="77" t="str">
        <f t="shared" si="309"/>
        <v>0</v>
      </c>
      <c r="K218" s="77" t="str">
        <f t="shared" si="310"/>
        <v>0100</v>
      </c>
      <c r="L218" s="77" t="str">
        <f>IFERROR(VLOOKUP(K218,Sheet2!$A$20:$B$23,2,FALSE),"X")</f>
        <v>02</v>
      </c>
      <c r="M218" s="77" t="str">
        <f t="shared" si="311"/>
        <v>08805844District Design and Led 18-21</v>
      </c>
      <c r="O218" s="76" t="s">
        <v>160</v>
      </c>
      <c r="P218" s="69" t="s">
        <v>168</v>
      </c>
      <c r="Q218" s="78"/>
      <c r="R218" s="78"/>
      <c r="AR218" s="79">
        <f t="shared" si="292"/>
        <v>0</v>
      </c>
      <c r="AS218" s="79">
        <f t="shared" si="293"/>
        <v>0</v>
      </c>
      <c r="AT218" s="79">
        <f t="shared" si="312"/>
        <v>0</v>
      </c>
      <c r="AU218" s="158" t="s">
        <v>336</v>
      </c>
      <c r="AV218" s="79"/>
      <c r="AW218" s="79">
        <v>7837</v>
      </c>
      <c r="BV218" s="79">
        <f t="shared" si="294"/>
        <v>0</v>
      </c>
      <c r="BW218" s="79">
        <f t="shared" si="295"/>
        <v>0</v>
      </c>
      <c r="BX218" s="79">
        <f t="shared" si="313"/>
        <v>7837</v>
      </c>
      <c r="BY218" s="79"/>
      <c r="DB218" s="79">
        <f t="shared" si="296"/>
        <v>0</v>
      </c>
      <c r="DC218" s="79">
        <f t="shared" si="297"/>
        <v>0</v>
      </c>
      <c r="DD218" s="79">
        <f t="shared" si="298"/>
        <v>0</v>
      </c>
      <c r="DE218" s="79">
        <f t="shared" si="314"/>
        <v>7837</v>
      </c>
      <c r="DF218" s="79"/>
      <c r="DH218" s="79">
        <v>81780</v>
      </c>
      <c r="DP218" s="131"/>
      <c r="EJ218" s="79">
        <f t="shared" si="299"/>
        <v>0</v>
      </c>
      <c r="EK218" s="79">
        <f t="shared" si="300"/>
        <v>0</v>
      </c>
      <c r="EL218" s="79">
        <f t="shared" si="301"/>
        <v>0</v>
      </c>
      <c r="EM218" s="79">
        <f t="shared" si="315"/>
        <v>89617</v>
      </c>
      <c r="EX218" s="144">
        <v>-55685.1</v>
      </c>
      <c r="FI218" s="66">
        <f t="shared" si="302"/>
        <v>0</v>
      </c>
      <c r="FJ218" s="66">
        <f t="shared" si="303"/>
        <v>0</v>
      </c>
      <c r="FK218" s="66">
        <f t="shared" si="304"/>
        <v>-55685.1</v>
      </c>
      <c r="FL218" s="173">
        <f t="shared" si="305"/>
        <v>33931.9</v>
      </c>
    </row>
    <row r="219" spans="1:169" s="118" customFormat="1" hidden="1" outlineLevel="1" x14ac:dyDescent="0.2">
      <c r="A219" s="118" t="s">
        <v>23</v>
      </c>
      <c r="B219" s="118" t="s">
        <v>59</v>
      </c>
      <c r="C219" s="118" t="s">
        <v>507</v>
      </c>
      <c r="D219" s="118" t="s">
        <v>135</v>
      </c>
      <c r="E219" s="119" t="s">
        <v>456</v>
      </c>
      <c r="F219" s="77"/>
      <c r="G219" s="77"/>
      <c r="H219" s="77"/>
      <c r="I219" s="77"/>
      <c r="J219" s="77"/>
      <c r="K219" s="77"/>
      <c r="L219" s="77"/>
      <c r="M219" s="119" t="str">
        <f t="shared" si="311"/>
        <v>08805844District Design and Led 20-23</v>
      </c>
      <c r="O219" s="76"/>
      <c r="P219" s="69"/>
      <c r="Q219" s="121"/>
      <c r="R219" s="121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58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60"/>
      <c r="BZ219" s="122"/>
      <c r="CA219" s="122"/>
      <c r="CB219" s="79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2"/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2"/>
      <c r="DE219" s="122"/>
      <c r="DF219" s="160"/>
      <c r="DG219" s="122"/>
      <c r="DH219" s="122"/>
      <c r="DI219" s="122"/>
      <c r="DJ219" s="122"/>
      <c r="DK219" s="122"/>
      <c r="DL219" s="122"/>
      <c r="DM219" s="122"/>
      <c r="DN219" s="122"/>
      <c r="DO219" s="122"/>
      <c r="DP219" s="122"/>
      <c r="DQ219" s="122"/>
      <c r="DR219" s="122"/>
      <c r="DS219" s="122"/>
      <c r="DT219" s="122"/>
      <c r="DU219" s="122"/>
      <c r="DV219" s="122"/>
      <c r="DW219" s="122"/>
      <c r="DX219" s="122"/>
      <c r="DY219" s="122"/>
      <c r="DZ219" s="122"/>
      <c r="EA219" s="122"/>
      <c r="EB219" s="122"/>
      <c r="EC219" s="122"/>
      <c r="ED219" s="122"/>
      <c r="EE219" s="122"/>
      <c r="EF219" s="122"/>
      <c r="EG219" s="131"/>
      <c r="EH219" s="122"/>
      <c r="EI219" s="122"/>
      <c r="EJ219" s="122"/>
      <c r="EK219" s="122"/>
      <c r="EL219" s="122"/>
      <c r="EM219" s="122"/>
      <c r="EN219" s="122"/>
      <c r="EO219" s="122"/>
      <c r="EP219" s="122"/>
      <c r="EQ219" s="103">
        <v>50000</v>
      </c>
      <c r="ER219" s="122"/>
      <c r="ES219" s="126"/>
      <c r="ET219" s="12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126"/>
      <c r="FI219" s="66">
        <f t="shared" si="302"/>
        <v>0</v>
      </c>
      <c r="FJ219" s="66">
        <f t="shared" si="303"/>
        <v>0</v>
      </c>
      <c r="FK219" s="66">
        <f t="shared" si="304"/>
        <v>0</v>
      </c>
      <c r="FL219" s="173">
        <f t="shared" si="305"/>
        <v>50000</v>
      </c>
      <c r="FM219" s="123"/>
    </row>
    <row r="220" spans="1:169" hidden="1" outlineLevel="1" x14ac:dyDescent="0.2">
      <c r="A220" s="76" t="s">
        <v>23</v>
      </c>
      <c r="B220" s="76" t="s">
        <v>69</v>
      </c>
      <c r="C220" s="76" t="s">
        <v>507</v>
      </c>
      <c r="D220" s="76" t="s">
        <v>142</v>
      </c>
      <c r="E220" s="77" t="s">
        <v>211</v>
      </c>
      <c r="F220" s="77" t="s">
        <v>712</v>
      </c>
      <c r="G220" s="77" t="str">
        <f t="shared" si="306"/>
        <v>1</v>
      </c>
      <c r="H220" s="77" t="str">
        <f t="shared" si="307"/>
        <v>0</v>
      </c>
      <c r="I220" s="77" t="str">
        <f t="shared" si="308"/>
        <v>0</v>
      </c>
      <c r="J220" s="77" t="str">
        <f t="shared" si="309"/>
        <v>0</v>
      </c>
      <c r="K220" s="77" t="str">
        <f t="shared" si="310"/>
        <v>1000</v>
      </c>
      <c r="L220" s="77" t="str">
        <f>IFERROR(VLOOKUP(K220,Sheet2!$A$20:$B$23,2,FALSE),"X")</f>
        <v>01</v>
      </c>
      <c r="M220" s="77" t="str">
        <f t="shared" si="311"/>
        <v>08806002District Design and Led 17-20</v>
      </c>
      <c r="N220" s="76" t="s">
        <v>161</v>
      </c>
      <c r="O220" s="76" t="s">
        <v>160</v>
      </c>
      <c r="P220" s="69" t="s">
        <v>168</v>
      </c>
      <c r="Q220" s="78">
        <v>43173</v>
      </c>
      <c r="R220" s="78">
        <v>43173</v>
      </c>
      <c r="S220" s="79">
        <v>18112</v>
      </c>
      <c r="AR220" s="79">
        <f>SUMIF($T$2:$AQ$2,$AR$2,$T220:$AQ220)</f>
        <v>0</v>
      </c>
      <c r="AS220" s="79">
        <f>SUMIF($T$2:$AQ$2,$AS$2,$T220:$AQ220)</f>
        <v>0</v>
      </c>
      <c r="AT220" s="79">
        <f t="shared" si="312"/>
        <v>18112</v>
      </c>
      <c r="AU220" s="158" t="s">
        <v>161</v>
      </c>
      <c r="AV220" s="79">
        <v>14908</v>
      </c>
      <c r="BJ220" s="79">
        <v>-5555</v>
      </c>
      <c r="BV220" s="79">
        <f>SUMIF($AX$2:$BU$2,$BV$2,$AX220:$BU220)</f>
        <v>-5555</v>
      </c>
      <c r="BW220" s="79">
        <f>SUMIF($AX$2:$BU$2,$BW$2,$AX220:$BU220)</f>
        <v>0</v>
      </c>
      <c r="BX220" s="79">
        <f t="shared" si="313"/>
        <v>27465</v>
      </c>
      <c r="CJ220" s="79">
        <v>-16558.93</v>
      </c>
      <c r="DB220" s="79">
        <f>SUMIF($CD$2:$DA$2,$DB$2,$CD220:$DA220)</f>
        <v>0</v>
      </c>
      <c r="DC220" s="79">
        <f>SUMIF($CD$2:$DA$2,$DC$2,$CD220:$DA220)</f>
        <v>-16558.93</v>
      </c>
      <c r="DD220" s="79">
        <f>SUMIF($CD$2:$DA$2,$DD$2,$CD220:$DA220)</f>
        <v>0</v>
      </c>
      <c r="DE220" s="79">
        <f t="shared" si="314"/>
        <v>10906.07</v>
      </c>
      <c r="DP220" s="131"/>
      <c r="EJ220" s="79">
        <f>SUMIF($DK$2:$EI$2,$EJ$2,$DK220:$EI220)</f>
        <v>0</v>
      </c>
      <c r="EK220" s="79">
        <f>SUMIF($DK$2:$EI$2,$EK$2,$DK220:$EI220)</f>
        <v>0</v>
      </c>
      <c r="EL220" s="79">
        <f>SUMIF($DK$2:$EI$2,$EL$2,$DK220:$EI220)</f>
        <v>0</v>
      </c>
      <c r="EM220" s="79">
        <f t="shared" si="315"/>
        <v>10906.07</v>
      </c>
      <c r="FI220" s="66">
        <f t="shared" si="302"/>
        <v>0</v>
      </c>
      <c r="FJ220" s="66">
        <f t="shared" si="303"/>
        <v>0</v>
      </c>
      <c r="FK220" s="66">
        <f t="shared" si="304"/>
        <v>0</v>
      </c>
      <c r="FL220" s="173">
        <f t="shared" si="305"/>
        <v>10906.07</v>
      </c>
    </row>
    <row r="221" spans="1:169" hidden="1" outlineLevel="1" x14ac:dyDescent="0.2">
      <c r="A221" s="76" t="s">
        <v>23</v>
      </c>
      <c r="B221" s="76" t="s">
        <v>418</v>
      </c>
      <c r="C221" s="76" t="s">
        <v>507</v>
      </c>
      <c r="D221" s="76" t="s">
        <v>543</v>
      </c>
      <c r="E221" s="77" t="s">
        <v>213</v>
      </c>
      <c r="F221" s="77" t="s">
        <v>712</v>
      </c>
      <c r="G221" s="77" t="str">
        <f t="shared" si="306"/>
        <v>0</v>
      </c>
      <c r="H221" s="77" t="str">
        <f t="shared" si="307"/>
        <v>1</v>
      </c>
      <c r="I221" s="77" t="str">
        <f t="shared" si="308"/>
        <v>0</v>
      </c>
      <c r="J221" s="77" t="str">
        <f t="shared" si="309"/>
        <v>0</v>
      </c>
      <c r="K221" s="77" t="str">
        <f t="shared" si="310"/>
        <v>0100</v>
      </c>
      <c r="L221" s="77" t="str">
        <f>IFERROR(VLOOKUP(K221,Sheet2!$A$20:$B$23,2,FALSE),"X")</f>
        <v>02</v>
      </c>
      <c r="M221" s="77" t="str">
        <f t="shared" si="311"/>
        <v>08806308District Design and Led 18-21</v>
      </c>
      <c r="O221" s="76" t="s">
        <v>160</v>
      </c>
      <c r="P221" s="69" t="s">
        <v>168</v>
      </c>
      <c r="Q221" s="78"/>
      <c r="R221" s="78"/>
      <c r="AR221" s="79">
        <f>SUMIF($T$2:$AQ$2,$AR$2,$T221:$AQ221)</f>
        <v>0</v>
      </c>
      <c r="AS221" s="79">
        <f>SUMIF($T$2:$AQ$2,$AS$2,$T221:$AQ221)</f>
        <v>0</v>
      </c>
      <c r="AT221" s="79">
        <f t="shared" si="312"/>
        <v>0</v>
      </c>
      <c r="AU221" s="158" t="s">
        <v>336</v>
      </c>
      <c r="AV221" s="79"/>
      <c r="AW221" s="79">
        <v>7837</v>
      </c>
      <c r="BV221" s="79">
        <f>SUMIF($AX$2:$BU$2,$BV$2,$AX221:$BU221)</f>
        <v>0</v>
      </c>
      <c r="BW221" s="79">
        <f>SUMIF($AX$2:$BU$2,$BW$2,$AX221:$BU221)</f>
        <v>0</v>
      </c>
      <c r="BX221" s="79">
        <f t="shared" si="313"/>
        <v>7837</v>
      </c>
      <c r="BY221" s="79"/>
      <c r="DB221" s="79">
        <f>SUMIF($CD$2:$DA$2,$DB$2,$CD221:$DA221)</f>
        <v>0</v>
      </c>
      <c r="DC221" s="79">
        <f>SUMIF($CD$2:$DA$2,$DC$2,$CD221:$DA221)</f>
        <v>0</v>
      </c>
      <c r="DD221" s="79">
        <f>SUMIF($CD$2:$DA$2,$DD$2,$CD221:$DA221)</f>
        <v>0</v>
      </c>
      <c r="DE221" s="79">
        <f t="shared" si="314"/>
        <v>7837</v>
      </c>
      <c r="DF221" s="79"/>
      <c r="DH221" s="79">
        <v>81780</v>
      </c>
      <c r="DP221" s="131"/>
      <c r="EJ221" s="79">
        <f>SUMIF($DK$2:$EI$2,$EJ$2,$DK221:$EI221)</f>
        <v>0</v>
      </c>
      <c r="EK221" s="79">
        <f>SUMIF($DK$2:$EI$2,$EK$2,$DK221:$EI221)</f>
        <v>0</v>
      </c>
      <c r="EL221" s="79">
        <f>SUMIF($DK$2:$EI$2,$EL$2,$DK221:$EI221)</f>
        <v>0</v>
      </c>
      <c r="EM221" s="79">
        <f t="shared" si="315"/>
        <v>89617</v>
      </c>
      <c r="EX221" s="144">
        <v>-81397.850000000006</v>
      </c>
      <c r="FI221" s="66">
        <f t="shared" si="302"/>
        <v>0</v>
      </c>
      <c r="FJ221" s="66">
        <f t="shared" si="303"/>
        <v>0</v>
      </c>
      <c r="FK221" s="66">
        <f t="shared" si="304"/>
        <v>-81397.850000000006</v>
      </c>
      <c r="FL221" s="173">
        <f t="shared" si="305"/>
        <v>8219.1499999999942</v>
      </c>
    </row>
    <row r="222" spans="1:169" s="118" customFormat="1" hidden="1" outlineLevel="1" x14ac:dyDescent="0.2">
      <c r="A222" s="118" t="s">
        <v>23</v>
      </c>
      <c r="B222" s="118" t="s">
        <v>418</v>
      </c>
      <c r="C222" s="118" t="s">
        <v>507</v>
      </c>
      <c r="D222" s="118" t="s">
        <v>543</v>
      </c>
      <c r="E222" s="119" t="s">
        <v>456</v>
      </c>
      <c r="F222" s="77"/>
      <c r="G222" s="77"/>
      <c r="H222" s="77"/>
      <c r="I222" s="77"/>
      <c r="J222" s="77"/>
      <c r="K222" s="77"/>
      <c r="L222" s="77"/>
      <c r="M222" s="119" t="str">
        <f t="shared" si="311"/>
        <v>08806308District Design and Led 20-23</v>
      </c>
      <c r="O222" s="76"/>
      <c r="P222" s="69"/>
      <c r="Q222" s="121"/>
      <c r="R222" s="121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58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60"/>
      <c r="BZ222" s="122"/>
      <c r="CA222" s="122"/>
      <c r="CB222" s="79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2"/>
      <c r="CP222" s="122"/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2"/>
      <c r="DE222" s="122"/>
      <c r="DF222" s="160"/>
      <c r="DG222" s="122"/>
      <c r="DH222" s="122"/>
      <c r="DI222" s="122"/>
      <c r="DJ222" s="122"/>
      <c r="DK222" s="122"/>
      <c r="DL222" s="122"/>
      <c r="DM222" s="122"/>
      <c r="DN222" s="122"/>
      <c r="DO222" s="122"/>
      <c r="DP222" s="122"/>
      <c r="DQ222" s="122"/>
      <c r="DR222" s="122"/>
      <c r="DS222" s="122"/>
      <c r="DT222" s="122"/>
      <c r="DU222" s="122"/>
      <c r="DV222" s="122"/>
      <c r="DW222" s="122"/>
      <c r="DX222" s="122"/>
      <c r="DY222" s="122"/>
      <c r="DZ222" s="122"/>
      <c r="EA222" s="122"/>
      <c r="EB222" s="122"/>
      <c r="EC222" s="122"/>
      <c r="ED222" s="122"/>
      <c r="EE222" s="122"/>
      <c r="EF222" s="122"/>
      <c r="EG222" s="131"/>
      <c r="EH222" s="122"/>
      <c r="EI222" s="122"/>
      <c r="EJ222" s="122"/>
      <c r="EK222" s="122"/>
      <c r="EL222" s="122"/>
      <c r="EM222" s="122"/>
      <c r="EN222" s="122"/>
      <c r="EO222" s="122"/>
      <c r="EP222" s="122"/>
      <c r="EQ222" s="103">
        <v>50000</v>
      </c>
      <c r="ER222" s="122"/>
      <c r="ES222" s="126"/>
      <c r="ET222" s="12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126"/>
      <c r="FI222" s="66">
        <f t="shared" si="302"/>
        <v>0</v>
      </c>
      <c r="FJ222" s="66">
        <f t="shared" si="303"/>
        <v>0</v>
      </c>
      <c r="FK222" s="66">
        <f t="shared" si="304"/>
        <v>0</v>
      </c>
      <c r="FL222" s="173">
        <f t="shared" si="305"/>
        <v>50000</v>
      </c>
      <c r="FM222" s="123"/>
    </row>
    <row r="223" spans="1:169" hidden="1" outlineLevel="1" x14ac:dyDescent="0.2">
      <c r="A223" s="76" t="s">
        <v>23</v>
      </c>
      <c r="B223" s="76" t="s">
        <v>419</v>
      </c>
      <c r="C223" s="76" t="s">
        <v>507</v>
      </c>
      <c r="D223" s="76" t="s">
        <v>536</v>
      </c>
      <c r="E223" s="77" t="s">
        <v>213</v>
      </c>
      <c r="F223" s="77" t="s">
        <v>712</v>
      </c>
      <c r="G223" s="77" t="str">
        <f t="shared" si="306"/>
        <v>0</v>
      </c>
      <c r="H223" s="77" t="str">
        <f t="shared" si="307"/>
        <v>1</v>
      </c>
      <c r="I223" s="77" t="str">
        <f t="shared" si="308"/>
        <v>0</v>
      </c>
      <c r="J223" s="77" t="str">
        <f t="shared" si="309"/>
        <v>0</v>
      </c>
      <c r="K223" s="77" t="str">
        <f t="shared" si="310"/>
        <v>0100</v>
      </c>
      <c r="L223" s="77" t="str">
        <f>IFERROR(VLOOKUP(K223,Sheet2!$A$20:$B$23,2,FALSE),"X")</f>
        <v>02</v>
      </c>
      <c r="M223" s="77" t="str">
        <f t="shared" si="311"/>
        <v>08806970District Design and Led 18-21</v>
      </c>
      <c r="O223" s="76" t="s">
        <v>160</v>
      </c>
      <c r="P223" s="69" t="s">
        <v>168</v>
      </c>
      <c r="Q223" s="78"/>
      <c r="R223" s="78"/>
      <c r="AR223" s="79">
        <f t="shared" ref="AR223:AR231" si="316">SUMIF($T$2:$AQ$2,$AR$2,$T223:$AQ223)</f>
        <v>0</v>
      </c>
      <c r="AS223" s="79">
        <f t="shared" ref="AS223:AS231" si="317">SUMIF($T$2:$AQ$2,$AS$2,$T223:$AQ223)</f>
        <v>0</v>
      </c>
      <c r="AT223" s="79">
        <f t="shared" si="312"/>
        <v>0</v>
      </c>
      <c r="AU223" s="158" t="s">
        <v>336</v>
      </c>
      <c r="AV223" s="79"/>
      <c r="AW223" s="79">
        <v>42469</v>
      </c>
      <c r="BV223" s="79">
        <f t="shared" ref="BV223:BV231" si="318">SUMIF($AX$2:$BU$2,$BV$2,$AX223:$BU223)</f>
        <v>0</v>
      </c>
      <c r="BW223" s="79">
        <f t="shared" ref="BW223:BW231" si="319">SUMIF($AX$2:$BU$2,$BW$2,$AX223:$BU223)</f>
        <v>0</v>
      </c>
      <c r="BX223" s="79">
        <f t="shared" si="313"/>
        <v>42469</v>
      </c>
      <c r="BY223" s="79"/>
      <c r="DB223" s="79">
        <f t="shared" ref="DB223:DB231" si="320">SUMIF($CD$2:$DA$2,$DB$2,$CD223:$DA223)</f>
        <v>0</v>
      </c>
      <c r="DC223" s="79">
        <f t="shared" ref="DC223:DC231" si="321">SUMIF($CD$2:$DA$2,$DC$2,$CD223:$DA223)</f>
        <v>0</v>
      </c>
      <c r="DD223" s="79">
        <f t="shared" ref="DD223:DD231" si="322">SUMIF($CD$2:$DA$2,$DD$2,$CD223:$DA223)</f>
        <v>0</v>
      </c>
      <c r="DE223" s="79">
        <f t="shared" si="314"/>
        <v>42469</v>
      </c>
      <c r="DF223" s="79"/>
      <c r="DP223" s="131"/>
      <c r="EJ223" s="79">
        <f t="shared" ref="EJ223:EJ231" si="323">SUMIF($DK$2:$EI$2,$EJ$2,$DK223:$EI223)</f>
        <v>0</v>
      </c>
      <c r="EK223" s="79">
        <f t="shared" ref="EK223:EK231" si="324">SUMIF($DK$2:$EI$2,$EK$2,$DK223:$EI223)</f>
        <v>0</v>
      </c>
      <c r="EL223" s="79">
        <f t="shared" ref="EL223:EL231" si="325">SUMIF($DK$2:$EI$2,$EL$2,$DK223:$EI223)</f>
        <v>0</v>
      </c>
      <c r="EM223" s="79">
        <f t="shared" si="315"/>
        <v>42469</v>
      </c>
      <c r="FI223" s="66">
        <f t="shared" si="302"/>
        <v>0</v>
      </c>
      <c r="FJ223" s="66">
        <f t="shared" si="303"/>
        <v>0</v>
      </c>
      <c r="FK223" s="66">
        <f t="shared" si="304"/>
        <v>0</v>
      </c>
      <c r="FL223" s="173">
        <f t="shared" si="305"/>
        <v>42469</v>
      </c>
    </row>
    <row r="224" spans="1:169" hidden="1" outlineLevel="1" x14ac:dyDescent="0.2">
      <c r="A224" s="76" t="s">
        <v>23</v>
      </c>
      <c r="B224" s="76" t="s">
        <v>420</v>
      </c>
      <c r="C224" s="76" t="s">
        <v>507</v>
      </c>
      <c r="D224" s="76" t="s">
        <v>544</v>
      </c>
      <c r="E224" s="77" t="s">
        <v>213</v>
      </c>
      <c r="F224" s="77" t="s">
        <v>712</v>
      </c>
      <c r="G224" s="77" t="str">
        <f t="shared" si="306"/>
        <v>0</v>
      </c>
      <c r="H224" s="77" t="str">
        <f t="shared" si="307"/>
        <v>1</v>
      </c>
      <c r="I224" s="77" t="str">
        <f t="shared" si="308"/>
        <v>0</v>
      </c>
      <c r="J224" s="77" t="str">
        <f t="shared" si="309"/>
        <v>0</v>
      </c>
      <c r="K224" s="77" t="str">
        <f t="shared" si="310"/>
        <v>0100</v>
      </c>
      <c r="L224" s="77" t="str">
        <f>IFERROR(VLOOKUP(K224,Sheet2!$A$20:$B$23,2,FALSE),"X")</f>
        <v>02</v>
      </c>
      <c r="M224" s="77" t="str">
        <f t="shared" si="311"/>
        <v>08807163District Design and Led 18-21</v>
      </c>
      <c r="O224" s="76" t="s">
        <v>160</v>
      </c>
      <c r="P224" s="69" t="s">
        <v>168</v>
      </c>
      <c r="Q224" s="78"/>
      <c r="R224" s="78"/>
      <c r="AR224" s="79">
        <f t="shared" si="316"/>
        <v>0</v>
      </c>
      <c r="AS224" s="79">
        <f t="shared" si="317"/>
        <v>0</v>
      </c>
      <c r="AT224" s="79">
        <f t="shared" si="312"/>
        <v>0</v>
      </c>
      <c r="AU224" s="158" t="s">
        <v>336</v>
      </c>
      <c r="AV224" s="79"/>
      <c r="AW224" s="79">
        <v>22028</v>
      </c>
      <c r="BV224" s="79">
        <f t="shared" si="318"/>
        <v>0</v>
      </c>
      <c r="BW224" s="79">
        <f t="shared" si="319"/>
        <v>0</v>
      </c>
      <c r="BX224" s="79">
        <f t="shared" si="313"/>
        <v>22028</v>
      </c>
      <c r="BY224" s="79"/>
      <c r="DB224" s="79">
        <f t="shared" si="320"/>
        <v>0</v>
      </c>
      <c r="DC224" s="79">
        <f t="shared" si="321"/>
        <v>0</v>
      </c>
      <c r="DD224" s="79">
        <f t="shared" si="322"/>
        <v>0</v>
      </c>
      <c r="DE224" s="79">
        <f t="shared" si="314"/>
        <v>22028</v>
      </c>
      <c r="DF224" s="79"/>
      <c r="DP224" s="131"/>
      <c r="EJ224" s="79">
        <f t="shared" si="323"/>
        <v>0</v>
      </c>
      <c r="EK224" s="79">
        <f t="shared" si="324"/>
        <v>0</v>
      </c>
      <c r="EL224" s="79">
        <f t="shared" si="325"/>
        <v>0</v>
      </c>
      <c r="EM224" s="79">
        <f t="shared" si="315"/>
        <v>22028</v>
      </c>
      <c r="FI224" s="66">
        <f t="shared" si="302"/>
        <v>0</v>
      </c>
      <c r="FJ224" s="66">
        <f t="shared" si="303"/>
        <v>0</v>
      </c>
      <c r="FK224" s="66">
        <f t="shared" si="304"/>
        <v>0</v>
      </c>
      <c r="FL224" s="173">
        <f t="shared" si="305"/>
        <v>22028</v>
      </c>
    </row>
    <row r="225" spans="1:169" hidden="1" outlineLevel="1" x14ac:dyDescent="0.2">
      <c r="A225" s="76" t="s">
        <v>23</v>
      </c>
      <c r="B225" s="76" t="s">
        <v>68</v>
      </c>
      <c r="C225" s="76" t="s">
        <v>507</v>
      </c>
      <c r="D225" s="76" t="s">
        <v>141</v>
      </c>
      <c r="E225" s="77" t="s">
        <v>211</v>
      </c>
      <c r="F225" s="77" t="s">
        <v>712</v>
      </c>
      <c r="G225" s="77" t="str">
        <f t="shared" si="306"/>
        <v>1</v>
      </c>
      <c r="H225" s="77" t="str">
        <f t="shared" si="307"/>
        <v>0</v>
      </c>
      <c r="I225" s="77" t="str">
        <f t="shared" si="308"/>
        <v>0</v>
      </c>
      <c r="J225" s="77" t="str">
        <f t="shared" si="309"/>
        <v>0</v>
      </c>
      <c r="K225" s="77" t="str">
        <f t="shared" si="310"/>
        <v>1000</v>
      </c>
      <c r="L225" s="77" t="str">
        <f>IFERROR(VLOOKUP(K225,Sheet2!$A$20:$B$23,2,FALSE),"X")</f>
        <v>01</v>
      </c>
      <c r="M225" s="77" t="str">
        <f t="shared" si="311"/>
        <v>08807188District Design and Led 17-20</v>
      </c>
      <c r="N225" s="76" t="s">
        <v>161</v>
      </c>
      <c r="O225" s="76" t="s">
        <v>160</v>
      </c>
      <c r="P225" s="69" t="s">
        <v>168</v>
      </c>
      <c r="Q225" s="78">
        <v>43173</v>
      </c>
      <c r="R225" s="78">
        <v>43173</v>
      </c>
      <c r="S225" s="79">
        <v>18112</v>
      </c>
      <c r="AR225" s="79">
        <f t="shared" si="316"/>
        <v>0</v>
      </c>
      <c r="AS225" s="79">
        <f t="shared" si="317"/>
        <v>0</v>
      </c>
      <c r="AT225" s="79">
        <f t="shared" si="312"/>
        <v>18112</v>
      </c>
      <c r="AU225" s="158" t="s">
        <v>161</v>
      </c>
      <c r="AV225" s="79">
        <v>14908</v>
      </c>
      <c r="BJ225" s="79">
        <v>-5555</v>
      </c>
      <c r="BV225" s="79">
        <f t="shared" si="318"/>
        <v>-5555</v>
      </c>
      <c r="BW225" s="79">
        <f t="shared" si="319"/>
        <v>0</v>
      </c>
      <c r="BX225" s="79">
        <f t="shared" si="313"/>
        <v>27465</v>
      </c>
      <c r="CJ225" s="79">
        <v>-10581.04</v>
      </c>
      <c r="DB225" s="79">
        <f t="shared" si="320"/>
        <v>0</v>
      </c>
      <c r="DC225" s="79">
        <f t="shared" si="321"/>
        <v>-10581.04</v>
      </c>
      <c r="DD225" s="79">
        <f t="shared" si="322"/>
        <v>0</v>
      </c>
      <c r="DE225" s="79">
        <f t="shared" si="314"/>
        <v>16883.96</v>
      </c>
      <c r="DP225" s="131"/>
      <c r="EJ225" s="79">
        <f t="shared" si="323"/>
        <v>0</v>
      </c>
      <c r="EK225" s="79">
        <f t="shared" si="324"/>
        <v>0</v>
      </c>
      <c r="EL225" s="79">
        <f t="shared" si="325"/>
        <v>0</v>
      </c>
      <c r="EM225" s="79">
        <f t="shared" si="315"/>
        <v>16883.96</v>
      </c>
      <c r="FI225" s="66">
        <f t="shared" si="302"/>
        <v>0</v>
      </c>
      <c r="FJ225" s="66">
        <f t="shared" si="303"/>
        <v>0</v>
      </c>
      <c r="FK225" s="66">
        <f t="shared" si="304"/>
        <v>0</v>
      </c>
      <c r="FL225" s="173">
        <f t="shared" si="305"/>
        <v>16883.96</v>
      </c>
    </row>
    <row r="226" spans="1:169" hidden="1" outlineLevel="1" x14ac:dyDescent="0.2">
      <c r="A226" s="76" t="s">
        <v>23</v>
      </c>
      <c r="B226" s="76" t="s">
        <v>68</v>
      </c>
      <c r="C226" s="76" t="s">
        <v>507</v>
      </c>
      <c r="D226" s="76" t="s">
        <v>542</v>
      </c>
      <c r="E226" s="77" t="s">
        <v>213</v>
      </c>
      <c r="F226" s="77" t="s">
        <v>712</v>
      </c>
      <c r="G226" s="77" t="str">
        <f t="shared" si="306"/>
        <v>0</v>
      </c>
      <c r="H226" s="77" t="str">
        <f t="shared" si="307"/>
        <v>1</v>
      </c>
      <c r="I226" s="77" t="str">
        <f t="shared" si="308"/>
        <v>0</v>
      </c>
      <c r="J226" s="77" t="str">
        <f t="shared" si="309"/>
        <v>0</v>
      </c>
      <c r="K226" s="77" t="str">
        <f t="shared" si="310"/>
        <v>0100</v>
      </c>
      <c r="L226" s="77" t="str">
        <f>IFERROR(VLOOKUP(K226,Sheet2!$A$20:$B$23,2,FALSE),"X")</f>
        <v>02</v>
      </c>
      <c r="M226" s="77" t="str">
        <f t="shared" si="311"/>
        <v>08807188District Design and Led 18-21</v>
      </c>
      <c r="O226" s="76" t="s">
        <v>160</v>
      </c>
      <c r="P226" s="69" t="s">
        <v>168</v>
      </c>
      <c r="Q226" s="78"/>
      <c r="R226" s="78"/>
      <c r="AR226" s="79">
        <f t="shared" si="316"/>
        <v>0</v>
      </c>
      <c r="AS226" s="79">
        <f t="shared" si="317"/>
        <v>0</v>
      </c>
      <c r="AT226" s="79">
        <f t="shared" si="312"/>
        <v>0</v>
      </c>
      <c r="AU226" s="158" t="s">
        <v>336</v>
      </c>
      <c r="AV226" s="79"/>
      <c r="AW226" s="79">
        <v>28278</v>
      </c>
      <c r="BV226" s="79">
        <f t="shared" si="318"/>
        <v>0</v>
      </c>
      <c r="BW226" s="79">
        <f t="shared" si="319"/>
        <v>0</v>
      </c>
      <c r="BX226" s="79">
        <f t="shared" si="313"/>
        <v>28278</v>
      </c>
      <c r="BY226" s="79"/>
      <c r="DB226" s="79">
        <f t="shared" si="320"/>
        <v>0</v>
      </c>
      <c r="DC226" s="79">
        <f t="shared" si="321"/>
        <v>0</v>
      </c>
      <c r="DD226" s="79">
        <f t="shared" si="322"/>
        <v>0</v>
      </c>
      <c r="DE226" s="79">
        <f t="shared" si="314"/>
        <v>28278</v>
      </c>
      <c r="DF226" s="79"/>
      <c r="DP226" s="131"/>
      <c r="EJ226" s="79">
        <f t="shared" si="323"/>
        <v>0</v>
      </c>
      <c r="EK226" s="79">
        <f t="shared" si="324"/>
        <v>0</v>
      </c>
      <c r="EL226" s="79">
        <f t="shared" si="325"/>
        <v>0</v>
      </c>
      <c r="EM226" s="79">
        <f t="shared" si="315"/>
        <v>28278</v>
      </c>
      <c r="FI226" s="66">
        <f t="shared" ref="FI226:FI257" si="326">SUMIF($ES$2:$FH$2,$FI$2,$ES226:$FH226)</f>
        <v>0</v>
      </c>
      <c r="FJ226" s="66">
        <f t="shared" ref="FJ226:FJ257" si="327">SUMIF($ES$2:$FH$2,$FJ$2,$ES226:$FH226)</f>
        <v>0</v>
      </c>
      <c r="FK226" s="66">
        <f t="shared" ref="FK226:FK257" si="328">SUMIF($ES$2:$FH$2,$FK$2,$ES226:$FH226)</f>
        <v>0</v>
      </c>
      <c r="FL226" s="173">
        <f t="shared" ref="FL226:FL257" si="329">EM226+EO226+EP226+EQ226+(FK226+FI226+FJ226)</f>
        <v>28278</v>
      </c>
    </row>
    <row r="227" spans="1:169" hidden="1" outlineLevel="1" x14ac:dyDescent="0.2">
      <c r="A227" s="76" t="s">
        <v>23</v>
      </c>
      <c r="B227" s="76" t="s">
        <v>421</v>
      </c>
      <c r="C227" s="76" t="s">
        <v>507</v>
      </c>
      <c r="D227" s="76" t="s">
        <v>546</v>
      </c>
      <c r="E227" s="77" t="s">
        <v>213</v>
      </c>
      <c r="F227" s="77" t="s">
        <v>712</v>
      </c>
      <c r="G227" s="77" t="str">
        <f t="shared" si="306"/>
        <v>0</v>
      </c>
      <c r="H227" s="77" t="str">
        <f t="shared" si="307"/>
        <v>1</v>
      </c>
      <c r="I227" s="77" t="str">
        <f t="shared" si="308"/>
        <v>0</v>
      </c>
      <c r="J227" s="77" t="str">
        <f t="shared" si="309"/>
        <v>0</v>
      </c>
      <c r="K227" s="77" t="str">
        <f t="shared" si="310"/>
        <v>0100</v>
      </c>
      <c r="L227" s="77" t="str">
        <f>IFERROR(VLOOKUP(K227,Sheet2!$A$20:$B$23,2,FALSE),"X")</f>
        <v>02</v>
      </c>
      <c r="M227" s="77" t="str">
        <f t="shared" si="311"/>
        <v>08807361District Design and Led 18-21</v>
      </c>
      <c r="O227" s="76" t="s">
        <v>160</v>
      </c>
      <c r="P227" s="69" t="s">
        <v>168</v>
      </c>
      <c r="Q227" s="78"/>
      <c r="R227" s="78"/>
      <c r="AR227" s="79">
        <f t="shared" si="316"/>
        <v>0</v>
      </c>
      <c r="AS227" s="79">
        <f t="shared" si="317"/>
        <v>0</v>
      </c>
      <c r="AT227" s="79">
        <f t="shared" si="312"/>
        <v>0</v>
      </c>
      <c r="AU227" s="158" t="s">
        <v>336</v>
      </c>
      <c r="AV227" s="79"/>
      <c r="AW227" s="79">
        <v>7837</v>
      </c>
      <c r="BV227" s="79">
        <f t="shared" si="318"/>
        <v>0</v>
      </c>
      <c r="BW227" s="79">
        <f t="shared" si="319"/>
        <v>0</v>
      </c>
      <c r="BX227" s="79">
        <f t="shared" si="313"/>
        <v>7837</v>
      </c>
      <c r="BY227" s="79"/>
      <c r="DB227" s="79">
        <f t="shared" si="320"/>
        <v>0</v>
      </c>
      <c r="DC227" s="79">
        <f t="shared" si="321"/>
        <v>0</v>
      </c>
      <c r="DD227" s="79">
        <f t="shared" si="322"/>
        <v>0</v>
      </c>
      <c r="DE227" s="79">
        <f t="shared" si="314"/>
        <v>7837</v>
      </c>
      <c r="DF227" s="79"/>
      <c r="DP227" s="131"/>
      <c r="EJ227" s="79">
        <f t="shared" si="323"/>
        <v>0</v>
      </c>
      <c r="EK227" s="79">
        <f t="shared" si="324"/>
        <v>0</v>
      </c>
      <c r="EL227" s="79">
        <f t="shared" si="325"/>
        <v>0</v>
      </c>
      <c r="EM227" s="79">
        <f t="shared" si="315"/>
        <v>7837</v>
      </c>
      <c r="FI227" s="66">
        <f t="shared" si="326"/>
        <v>0</v>
      </c>
      <c r="FJ227" s="66">
        <f t="shared" si="327"/>
        <v>0</v>
      </c>
      <c r="FK227" s="66">
        <f t="shared" si="328"/>
        <v>0</v>
      </c>
      <c r="FL227" s="173">
        <f t="shared" si="329"/>
        <v>7837</v>
      </c>
    </row>
    <row r="228" spans="1:169" hidden="1" outlineLevel="1" x14ac:dyDescent="0.2">
      <c r="A228" s="76" t="s">
        <v>23</v>
      </c>
      <c r="B228" s="76" t="s">
        <v>422</v>
      </c>
      <c r="C228" s="76" t="s">
        <v>507</v>
      </c>
      <c r="D228" s="76" t="s">
        <v>511</v>
      </c>
      <c r="E228" s="77" t="s">
        <v>213</v>
      </c>
      <c r="F228" s="77" t="s">
        <v>712</v>
      </c>
      <c r="G228" s="77" t="str">
        <f t="shared" si="306"/>
        <v>0</v>
      </c>
      <c r="H228" s="77" t="str">
        <f t="shared" si="307"/>
        <v>1</v>
      </c>
      <c r="I228" s="77" t="str">
        <f t="shared" si="308"/>
        <v>0</v>
      </c>
      <c r="J228" s="77" t="str">
        <f t="shared" si="309"/>
        <v>0</v>
      </c>
      <c r="K228" s="77" t="str">
        <f t="shared" si="310"/>
        <v>0100</v>
      </c>
      <c r="L228" s="77" t="str">
        <f>IFERROR(VLOOKUP(K228,Sheet2!$A$20:$B$23,2,FALSE),"X")</f>
        <v>02</v>
      </c>
      <c r="M228" s="77" t="str">
        <f t="shared" si="311"/>
        <v>08807694District Design and Led 18-21</v>
      </c>
      <c r="O228" s="76" t="s">
        <v>160</v>
      </c>
      <c r="P228" s="69" t="s">
        <v>168</v>
      </c>
      <c r="Q228" s="78"/>
      <c r="R228" s="78"/>
      <c r="AR228" s="79">
        <f t="shared" si="316"/>
        <v>0</v>
      </c>
      <c r="AS228" s="79">
        <f t="shared" si="317"/>
        <v>0</v>
      </c>
      <c r="AT228" s="79">
        <f t="shared" si="312"/>
        <v>0</v>
      </c>
      <c r="AU228" s="158" t="s">
        <v>336</v>
      </c>
      <c r="AV228" s="79"/>
      <c r="AW228" s="79">
        <v>14191</v>
      </c>
      <c r="BV228" s="79">
        <f t="shared" si="318"/>
        <v>0</v>
      </c>
      <c r="BW228" s="79">
        <f t="shared" si="319"/>
        <v>0</v>
      </c>
      <c r="BX228" s="79">
        <f t="shared" si="313"/>
        <v>14191</v>
      </c>
      <c r="BY228" s="79"/>
      <c r="DB228" s="79">
        <f t="shared" si="320"/>
        <v>0</v>
      </c>
      <c r="DC228" s="79">
        <f t="shared" si="321"/>
        <v>0</v>
      </c>
      <c r="DD228" s="79">
        <f t="shared" si="322"/>
        <v>0</v>
      </c>
      <c r="DE228" s="79">
        <f t="shared" si="314"/>
        <v>14191</v>
      </c>
      <c r="DF228" s="79"/>
      <c r="DP228" s="131"/>
      <c r="EJ228" s="79">
        <f t="shared" si="323"/>
        <v>0</v>
      </c>
      <c r="EK228" s="79">
        <f t="shared" si="324"/>
        <v>0</v>
      </c>
      <c r="EL228" s="79">
        <f t="shared" si="325"/>
        <v>0</v>
      </c>
      <c r="EM228" s="79">
        <f t="shared" si="315"/>
        <v>14191</v>
      </c>
      <c r="FI228" s="66">
        <f t="shared" si="326"/>
        <v>0</v>
      </c>
      <c r="FJ228" s="66">
        <f t="shared" si="327"/>
        <v>0</v>
      </c>
      <c r="FK228" s="66">
        <f t="shared" si="328"/>
        <v>0</v>
      </c>
      <c r="FL228" s="173">
        <f t="shared" si="329"/>
        <v>14191</v>
      </c>
    </row>
    <row r="229" spans="1:169" hidden="1" outlineLevel="1" x14ac:dyDescent="0.2">
      <c r="A229" s="76" t="s">
        <v>23</v>
      </c>
      <c r="B229" s="76" t="s">
        <v>70</v>
      </c>
      <c r="C229" s="76" t="s">
        <v>507</v>
      </c>
      <c r="D229" s="76" t="s">
        <v>143</v>
      </c>
      <c r="E229" s="77" t="s">
        <v>211</v>
      </c>
      <c r="F229" s="77" t="s">
        <v>712</v>
      </c>
      <c r="G229" s="77" t="str">
        <f t="shared" si="306"/>
        <v>1</v>
      </c>
      <c r="H229" s="77" t="str">
        <f t="shared" si="307"/>
        <v>0</v>
      </c>
      <c r="I229" s="77" t="str">
        <f t="shared" si="308"/>
        <v>0</v>
      </c>
      <c r="J229" s="77" t="str">
        <f t="shared" si="309"/>
        <v>0</v>
      </c>
      <c r="K229" s="77" t="str">
        <f t="shared" si="310"/>
        <v>1000</v>
      </c>
      <c r="L229" s="77" t="str">
        <f>IFERROR(VLOOKUP(K229,Sheet2!$A$20:$B$23,2,FALSE),"X")</f>
        <v>01</v>
      </c>
      <c r="M229" s="77" t="str">
        <f t="shared" si="311"/>
        <v>08807698District Design and Led 17-20</v>
      </c>
      <c r="N229" s="76" t="s">
        <v>161</v>
      </c>
      <c r="O229" s="76" t="s">
        <v>160</v>
      </c>
      <c r="P229" s="69" t="s">
        <v>168</v>
      </c>
      <c r="Q229" s="78">
        <v>43173</v>
      </c>
      <c r="R229" s="78">
        <v>43173</v>
      </c>
      <c r="S229" s="79">
        <v>18112</v>
      </c>
      <c r="AR229" s="79">
        <f t="shared" si="316"/>
        <v>0</v>
      </c>
      <c r="AS229" s="79">
        <f t="shared" si="317"/>
        <v>0</v>
      </c>
      <c r="AT229" s="79">
        <f t="shared" si="312"/>
        <v>18112</v>
      </c>
      <c r="AU229" s="158" t="s">
        <v>161</v>
      </c>
      <c r="AV229" s="79">
        <v>14908</v>
      </c>
      <c r="BJ229" s="79">
        <v>-5555</v>
      </c>
      <c r="BV229" s="79">
        <f t="shared" si="318"/>
        <v>-5555</v>
      </c>
      <c r="BW229" s="79">
        <f t="shared" si="319"/>
        <v>0</v>
      </c>
      <c r="BX229" s="79">
        <f t="shared" si="313"/>
        <v>27465</v>
      </c>
      <c r="CJ229" s="79">
        <v>-13578.01</v>
      </c>
      <c r="DB229" s="79">
        <f t="shared" si="320"/>
        <v>0</v>
      </c>
      <c r="DC229" s="79">
        <f t="shared" si="321"/>
        <v>-13578.01</v>
      </c>
      <c r="DD229" s="79">
        <f t="shared" si="322"/>
        <v>0</v>
      </c>
      <c r="DE229" s="79">
        <f t="shared" si="314"/>
        <v>13886.99</v>
      </c>
      <c r="DP229" s="131"/>
      <c r="EJ229" s="79">
        <f t="shared" si="323"/>
        <v>0</v>
      </c>
      <c r="EK229" s="79">
        <f t="shared" si="324"/>
        <v>0</v>
      </c>
      <c r="EL229" s="79">
        <f t="shared" si="325"/>
        <v>0</v>
      </c>
      <c r="EM229" s="79">
        <f t="shared" si="315"/>
        <v>13886.99</v>
      </c>
      <c r="FI229" s="66">
        <f t="shared" si="326"/>
        <v>0</v>
      </c>
      <c r="FJ229" s="66">
        <f t="shared" si="327"/>
        <v>0</v>
      </c>
      <c r="FK229" s="66">
        <f t="shared" si="328"/>
        <v>0</v>
      </c>
      <c r="FL229" s="173">
        <f t="shared" si="329"/>
        <v>13886.99</v>
      </c>
    </row>
    <row r="230" spans="1:169" hidden="1" outlineLevel="1" x14ac:dyDescent="0.2">
      <c r="A230" s="76" t="s">
        <v>23</v>
      </c>
      <c r="B230" s="76" t="s">
        <v>71</v>
      </c>
      <c r="C230" s="76" t="s">
        <v>507</v>
      </c>
      <c r="D230" s="76" t="s">
        <v>547</v>
      </c>
      <c r="E230" s="77" t="s">
        <v>213</v>
      </c>
      <c r="F230" s="77" t="s">
        <v>712</v>
      </c>
      <c r="G230" s="77" t="str">
        <f t="shared" si="306"/>
        <v>0</v>
      </c>
      <c r="H230" s="77" t="str">
        <f t="shared" si="307"/>
        <v>1</v>
      </c>
      <c r="I230" s="77" t="str">
        <f t="shared" si="308"/>
        <v>0</v>
      </c>
      <c r="J230" s="77" t="str">
        <f t="shared" si="309"/>
        <v>0</v>
      </c>
      <c r="K230" s="77" t="str">
        <f t="shared" si="310"/>
        <v>0100</v>
      </c>
      <c r="L230" s="77" t="str">
        <f>IFERROR(VLOOKUP(K230,Sheet2!$A$20:$B$23,2,FALSE),"X")</f>
        <v>02</v>
      </c>
      <c r="M230" s="77" t="str">
        <f t="shared" si="311"/>
        <v>08808006District Design and Led 18-21</v>
      </c>
      <c r="O230" s="76" t="s">
        <v>160</v>
      </c>
      <c r="P230" s="69" t="s">
        <v>168</v>
      </c>
      <c r="Q230" s="78"/>
      <c r="R230" s="78"/>
      <c r="AR230" s="79">
        <f t="shared" si="316"/>
        <v>0</v>
      </c>
      <c r="AS230" s="79">
        <f t="shared" si="317"/>
        <v>0</v>
      </c>
      <c r="AT230" s="79">
        <f t="shared" si="312"/>
        <v>0</v>
      </c>
      <c r="AU230" s="158" t="s">
        <v>336</v>
      </c>
      <c r="AV230" s="79"/>
      <c r="AW230" s="79">
        <v>7837</v>
      </c>
      <c r="BV230" s="79">
        <f t="shared" si="318"/>
        <v>0</v>
      </c>
      <c r="BW230" s="79">
        <f t="shared" si="319"/>
        <v>0</v>
      </c>
      <c r="BX230" s="79">
        <f t="shared" si="313"/>
        <v>7837</v>
      </c>
      <c r="BY230" s="79"/>
      <c r="DB230" s="79">
        <f t="shared" si="320"/>
        <v>0</v>
      </c>
      <c r="DC230" s="79">
        <f t="shared" si="321"/>
        <v>0</v>
      </c>
      <c r="DD230" s="79">
        <f t="shared" si="322"/>
        <v>0</v>
      </c>
      <c r="DE230" s="79">
        <f t="shared" si="314"/>
        <v>7837</v>
      </c>
      <c r="DF230" s="79"/>
      <c r="DP230" s="131"/>
      <c r="EJ230" s="79">
        <f t="shared" si="323"/>
        <v>0</v>
      </c>
      <c r="EK230" s="79">
        <f t="shared" si="324"/>
        <v>0</v>
      </c>
      <c r="EL230" s="79">
        <f t="shared" si="325"/>
        <v>0</v>
      </c>
      <c r="EM230" s="79">
        <f t="shared" si="315"/>
        <v>7837</v>
      </c>
      <c r="FI230" s="66">
        <f t="shared" si="326"/>
        <v>0</v>
      </c>
      <c r="FJ230" s="66">
        <f t="shared" si="327"/>
        <v>0</v>
      </c>
      <c r="FK230" s="66">
        <f t="shared" si="328"/>
        <v>0</v>
      </c>
      <c r="FL230" s="173">
        <f t="shared" si="329"/>
        <v>7837</v>
      </c>
    </row>
    <row r="231" spans="1:169" hidden="1" outlineLevel="1" x14ac:dyDescent="0.2">
      <c r="A231" s="76" t="s">
        <v>23</v>
      </c>
      <c r="B231" s="77" t="s">
        <v>398</v>
      </c>
      <c r="C231" s="76" t="s">
        <v>507</v>
      </c>
      <c r="D231" s="76" t="s">
        <v>521</v>
      </c>
      <c r="E231" s="77" t="s">
        <v>214</v>
      </c>
      <c r="F231" s="77" t="s">
        <v>712</v>
      </c>
      <c r="G231" s="77" t="str">
        <f t="shared" si="306"/>
        <v>0</v>
      </c>
      <c r="H231" s="77" t="str">
        <f t="shared" si="307"/>
        <v>0</v>
      </c>
      <c r="I231" s="77" t="str">
        <f t="shared" si="308"/>
        <v>0</v>
      </c>
      <c r="J231" s="77" t="str">
        <f t="shared" si="309"/>
        <v>0</v>
      </c>
      <c r="K231" s="77" t="str">
        <f t="shared" si="310"/>
        <v>0000</v>
      </c>
      <c r="L231" s="77" t="str">
        <f>IFERROR(VLOOKUP(K231,Sheet2!$A$20:$B$23,2,FALSE),"X")</f>
        <v>X</v>
      </c>
      <c r="M231" s="77" t="str">
        <f t="shared" si="311"/>
        <v>08808145District Design and Led 19-22</v>
      </c>
      <c r="O231" s="76" t="s">
        <v>160</v>
      </c>
      <c r="P231" s="69" t="s">
        <v>168</v>
      </c>
      <c r="Q231" s="78"/>
      <c r="R231" s="78"/>
      <c r="AR231" s="79">
        <f t="shared" si="316"/>
        <v>0</v>
      </c>
      <c r="AS231" s="79">
        <f t="shared" si="317"/>
        <v>0</v>
      </c>
      <c r="AT231" s="79">
        <f t="shared" si="312"/>
        <v>0</v>
      </c>
      <c r="AV231" s="79"/>
      <c r="BV231" s="79">
        <f t="shared" si="318"/>
        <v>0</v>
      </c>
      <c r="BW231" s="79">
        <f t="shared" si="319"/>
        <v>0</v>
      </c>
      <c r="BX231" s="79">
        <f t="shared" si="313"/>
        <v>0</v>
      </c>
      <c r="BY231" s="79"/>
      <c r="DB231" s="79">
        <f t="shared" si="320"/>
        <v>0</v>
      </c>
      <c r="DC231" s="79">
        <f t="shared" si="321"/>
        <v>0</v>
      </c>
      <c r="DD231" s="79">
        <f t="shared" si="322"/>
        <v>0</v>
      </c>
      <c r="DE231" s="79">
        <f t="shared" si="314"/>
        <v>0</v>
      </c>
      <c r="DF231" s="79"/>
      <c r="DH231" s="79">
        <v>81780</v>
      </c>
      <c r="DP231" s="131"/>
      <c r="EJ231" s="79">
        <f t="shared" si="323"/>
        <v>0</v>
      </c>
      <c r="EK231" s="79">
        <f t="shared" si="324"/>
        <v>0</v>
      </c>
      <c r="EL231" s="79">
        <f t="shared" si="325"/>
        <v>0</v>
      </c>
      <c r="EM231" s="79">
        <f t="shared" si="315"/>
        <v>81780</v>
      </c>
      <c r="EX231" s="144">
        <f>-233.1-35194.11</f>
        <v>-35427.21</v>
      </c>
      <c r="FI231" s="66">
        <f t="shared" si="326"/>
        <v>0</v>
      </c>
      <c r="FJ231" s="66">
        <f t="shared" si="327"/>
        <v>0</v>
      </c>
      <c r="FK231" s="66">
        <f t="shared" si="328"/>
        <v>-35427.21</v>
      </c>
      <c r="FL231" s="173">
        <f t="shared" si="329"/>
        <v>46352.79</v>
      </c>
    </row>
    <row r="232" spans="1:169" s="118" customFormat="1" hidden="1" outlineLevel="1" x14ac:dyDescent="0.2">
      <c r="A232" s="118" t="s">
        <v>23</v>
      </c>
      <c r="B232" s="118" t="s">
        <v>398</v>
      </c>
      <c r="C232" s="118" t="s">
        <v>507</v>
      </c>
      <c r="D232" s="118" t="s">
        <v>521</v>
      </c>
      <c r="E232" s="119" t="s">
        <v>456</v>
      </c>
      <c r="F232" s="77"/>
      <c r="G232" s="77"/>
      <c r="H232" s="77"/>
      <c r="I232" s="77"/>
      <c r="J232" s="77"/>
      <c r="K232" s="77"/>
      <c r="L232" s="77"/>
      <c r="M232" s="119" t="str">
        <f t="shared" si="311"/>
        <v>08808145District Design and Led 20-23</v>
      </c>
      <c r="O232" s="76"/>
      <c r="P232" s="69"/>
      <c r="Q232" s="121"/>
      <c r="R232" s="121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58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60"/>
      <c r="BZ232" s="122"/>
      <c r="CA232" s="122"/>
      <c r="CB232" s="79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2"/>
      <c r="CP232" s="122"/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2"/>
      <c r="DE232" s="122"/>
      <c r="DF232" s="160"/>
      <c r="DG232" s="122"/>
      <c r="DH232" s="122"/>
      <c r="DI232" s="122"/>
      <c r="DJ232" s="122"/>
      <c r="DK232" s="122"/>
      <c r="DL232" s="122"/>
      <c r="DM232" s="122"/>
      <c r="DN232" s="122"/>
      <c r="DO232" s="122"/>
      <c r="DP232" s="122"/>
      <c r="DQ232" s="122"/>
      <c r="DR232" s="122"/>
      <c r="DS232" s="122"/>
      <c r="DT232" s="122"/>
      <c r="DU232" s="122"/>
      <c r="DV232" s="122"/>
      <c r="DW232" s="122"/>
      <c r="DX232" s="122"/>
      <c r="DY232" s="122"/>
      <c r="DZ232" s="122"/>
      <c r="EA232" s="122"/>
      <c r="EB232" s="122"/>
      <c r="EC232" s="122"/>
      <c r="ED232" s="122"/>
      <c r="EE232" s="122"/>
      <c r="EF232" s="122"/>
      <c r="EG232" s="131"/>
      <c r="EH232" s="122"/>
      <c r="EI232" s="122"/>
      <c r="EJ232" s="122"/>
      <c r="EK232" s="122"/>
      <c r="EL232" s="122"/>
      <c r="EM232" s="122"/>
      <c r="EN232" s="122"/>
      <c r="EO232" s="122"/>
      <c r="EP232" s="122"/>
      <c r="EQ232" s="103">
        <v>50000</v>
      </c>
      <c r="ER232" s="122"/>
      <c r="ES232" s="126"/>
      <c r="ET232" s="12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126"/>
      <c r="FI232" s="66">
        <f t="shared" si="326"/>
        <v>0</v>
      </c>
      <c r="FJ232" s="66">
        <f t="shared" si="327"/>
        <v>0</v>
      </c>
      <c r="FK232" s="66">
        <f t="shared" si="328"/>
        <v>0</v>
      </c>
      <c r="FL232" s="173">
        <f t="shared" si="329"/>
        <v>50000</v>
      </c>
      <c r="FM232" s="123"/>
    </row>
    <row r="233" spans="1:169" hidden="1" outlineLevel="1" x14ac:dyDescent="0.2">
      <c r="A233" s="76" t="s">
        <v>23</v>
      </c>
      <c r="B233" s="76" t="s">
        <v>423</v>
      </c>
      <c r="C233" s="76" t="s">
        <v>507</v>
      </c>
      <c r="D233" s="76" t="s">
        <v>548</v>
      </c>
      <c r="E233" s="77" t="s">
        <v>213</v>
      </c>
      <c r="F233" s="77" t="s">
        <v>712</v>
      </c>
      <c r="G233" s="77" t="str">
        <f t="shared" ref="G233:G271" si="330">IF(S233&gt;0, "1", "0")</f>
        <v>0</v>
      </c>
      <c r="H233" s="77" t="str">
        <f t="shared" ref="H233:H271" si="331">IF(AW233&gt;0, "1", "0")</f>
        <v>1</v>
      </c>
      <c r="I233" s="77" t="str">
        <f t="shared" ref="I233:I271" si="332">IF(CC233&gt;0, "1", "0")</f>
        <v>0</v>
      </c>
      <c r="J233" s="77" t="str">
        <f t="shared" ref="J233:J271" si="333">IF(DJ233&gt;0, "1", "0")</f>
        <v>0</v>
      </c>
      <c r="K233" s="77" t="str">
        <f t="shared" ref="K233:K270" si="334">CONCATENATE(G233,H233,I233,J233)</f>
        <v>0100</v>
      </c>
      <c r="L233" s="77" t="str">
        <f>IFERROR(VLOOKUP(K233,Sheet2!$A$20:$B$23,2,FALSE),"X")</f>
        <v>02</v>
      </c>
      <c r="M233" s="77" t="str">
        <f t="shared" ref="M233:M270" si="335">A233&amp;B233&amp;E233</f>
        <v>08808422District Design and Led 18-21</v>
      </c>
      <c r="O233" s="76" t="s">
        <v>160</v>
      </c>
      <c r="P233" s="69" t="s">
        <v>168</v>
      </c>
      <c r="Q233" s="78"/>
      <c r="R233" s="78"/>
      <c r="AR233" s="79">
        <f t="shared" ref="AR233:AR240" si="336">SUMIF($T$2:$AQ$2,$AR$2,$T233:$AQ233)</f>
        <v>0</v>
      </c>
      <c r="AS233" s="79">
        <f t="shared" ref="AS233:AS240" si="337">SUMIF($T$2:$AQ$2,$AS$2,$T233:$AQ233)</f>
        <v>0</v>
      </c>
      <c r="AT233" s="79">
        <f t="shared" ref="AT233:AT270" si="338">S233+(AR233+AS233)</f>
        <v>0</v>
      </c>
      <c r="AU233" s="158" t="s">
        <v>336</v>
      </c>
      <c r="AV233" s="79"/>
      <c r="AW233" s="79">
        <v>7837</v>
      </c>
      <c r="BV233" s="79">
        <f t="shared" ref="BV233:BV240" si="339">SUMIF($AX$2:$BU$2,$BV$2,$AX233:$BU233)</f>
        <v>0</v>
      </c>
      <c r="BW233" s="79">
        <f t="shared" ref="BW233:BW240" si="340">SUMIF($AX$2:$BU$2,$BW$2,$AX233:$BU233)</f>
        <v>0</v>
      </c>
      <c r="BX233" s="79">
        <f t="shared" ref="BX233:BX270" si="341">AT233+AV233+AW233+(BV233+BW233)</f>
        <v>7837</v>
      </c>
      <c r="BY233" s="79"/>
      <c r="DB233" s="79">
        <f t="shared" ref="DB233:DB240" si="342">SUMIF($CD$2:$DA$2,$DB$2,$CD233:$DA233)</f>
        <v>0</v>
      </c>
      <c r="DC233" s="79">
        <f t="shared" ref="DC233:DC240" si="343">SUMIF($CD$2:$DA$2,$DC$2,$CD233:$DA233)</f>
        <v>0</v>
      </c>
      <c r="DD233" s="79">
        <f t="shared" ref="DD233:DD240" si="344">SUMIF($CD$2:$DA$2,$DD$2,$CD233:$DA233)</f>
        <v>0</v>
      </c>
      <c r="DE233" s="79">
        <f t="shared" ref="DE233:DE270" si="345">BX233+CA233+BZ233+CC233+(DB233+DC233+DD233)</f>
        <v>7837</v>
      </c>
      <c r="DF233" s="79"/>
      <c r="DP233" s="131"/>
      <c r="EJ233" s="79">
        <f t="shared" ref="EJ233:EJ240" si="346">SUMIF($DK$2:$EI$2,$EJ$2,$DK233:$EI233)</f>
        <v>0</v>
      </c>
      <c r="EK233" s="79">
        <f t="shared" ref="EK233:EK240" si="347">SUMIF($DK$2:$EI$2,$EK$2,$DK233:$EI233)</f>
        <v>0</v>
      </c>
      <c r="EL233" s="79">
        <f t="shared" ref="EL233:EL240" si="348">SUMIF($DK$2:$EI$2,$EL$2,$DK233:$EI233)</f>
        <v>0</v>
      </c>
      <c r="EM233" s="79">
        <f t="shared" ref="EM233:EM270" si="349">DE233+DH233+DG233+DJ233+(EJ233+EK233+EL233)</f>
        <v>7837</v>
      </c>
      <c r="FI233" s="66">
        <f t="shared" si="326"/>
        <v>0</v>
      </c>
      <c r="FJ233" s="66">
        <f t="shared" si="327"/>
        <v>0</v>
      </c>
      <c r="FK233" s="66">
        <f t="shared" si="328"/>
        <v>0</v>
      </c>
      <c r="FL233" s="173">
        <f t="shared" si="329"/>
        <v>7837</v>
      </c>
    </row>
    <row r="234" spans="1:169" hidden="1" outlineLevel="1" x14ac:dyDescent="0.2">
      <c r="A234" s="76" t="s">
        <v>23</v>
      </c>
      <c r="B234" s="76" t="s">
        <v>72</v>
      </c>
      <c r="C234" s="76" t="s">
        <v>507</v>
      </c>
      <c r="D234" s="76" t="s">
        <v>145</v>
      </c>
      <c r="E234" s="77" t="s">
        <v>211</v>
      </c>
      <c r="F234" s="77" t="s">
        <v>712</v>
      </c>
      <c r="G234" s="77" t="str">
        <f t="shared" si="330"/>
        <v>1</v>
      </c>
      <c r="H234" s="77" t="str">
        <f t="shared" si="331"/>
        <v>0</v>
      </c>
      <c r="I234" s="77" t="str">
        <f t="shared" si="332"/>
        <v>0</v>
      </c>
      <c r="J234" s="77" t="str">
        <f t="shared" si="333"/>
        <v>0</v>
      </c>
      <c r="K234" s="77" t="str">
        <f t="shared" si="334"/>
        <v>1000</v>
      </c>
      <c r="L234" s="77" t="str">
        <f>IFERROR(VLOOKUP(K234,Sheet2!$A$20:$B$23,2,FALSE),"X")</f>
        <v>01</v>
      </c>
      <c r="M234" s="77" t="str">
        <f t="shared" si="335"/>
        <v>08808888District Design and Led 17-20</v>
      </c>
      <c r="N234" s="76" t="s">
        <v>161</v>
      </c>
      <c r="O234" s="76" t="s">
        <v>160</v>
      </c>
      <c r="P234" s="69" t="s">
        <v>168</v>
      </c>
      <c r="Q234" s="78">
        <v>43173</v>
      </c>
      <c r="R234" s="78">
        <v>43173</v>
      </c>
      <c r="S234" s="79">
        <v>8046</v>
      </c>
      <c r="AR234" s="79">
        <f t="shared" si="336"/>
        <v>0</v>
      </c>
      <c r="AS234" s="79">
        <f t="shared" si="337"/>
        <v>0</v>
      </c>
      <c r="AT234" s="79">
        <f t="shared" si="338"/>
        <v>8046</v>
      </c>
      <c r="AU234" s="158" t="s">
        <v>161</v>
      </c>
      <c r="AV234" s="79">
        <v>7631</v>
      </c>
      <c r="BJ234" s="79">
        <v>-2167</v>
      </c>
      <c r="BV234" s="79">
        <f t="shared" si="339"/>
        <v>-2167</v>
      </c>
      <c r="BW234" s="79">
        <f t="shared" si="340"/>
        <v>0</v>
      </c>
      <c r="BX234" s="79">
        <f t="shared" si="341"/>
        <v>13510</v>
      </c>
      <c r="DB234" s="79">
        <f t="shared" si="342"/>
        <v>0</v>
      </c>
      <c r="DC234" s="79">
        <f t="shared" si="343"/>
        <v>0</v>
      </c>
      <c r="DD234" s="79">
        <f t="shared" si="344"/>
        <v>0</v>
      </c>
      <c r="DE234" s="79">
        <f t="shared" si="345"/>
        <v>13510</v>
      </c>
      <c r="DP234" s="131"/>
      <c r="EJ234" s="79">
        <f t="shared" si="346"/>
        <v>0</v>
      </c>
      <c r="EK234" s="79">
        <f t="shared" si="347"/>
        <v>0</v>
      </c>
      <c r="EL234" s="79">
        <f t="shared" si="348"/>
        <v>0</v>
      </c>
      <c r="EM234" s="79">
        <f t="shared" si="349"/>
        <v>13510</v>
      </c>
      <c r="EX234" s="144">
        <f>-12699+12699</f>
        <v>0</v>
      </c>
      <c r="FI234" s="66">
        <f t="shared" si="326"/>
        <v>0</v>
      </c>
      <c r="FJ234" s="66">
        <f t="shared" si="327"/>
        <v>0</v>
      </c>
      <c r="FK234" s="66">
        <f t="shared" si="328"/>
        <v>0</v>
      </c>
      <c r="FL234" s="173">
        <f t="shared" si="329"/>
        <v>13510</v>
      </c>
    </row>
    <row r="235" spans="1:169" hidden="1" outlineLevel="1" x14ac:dyDescent="0.2">
      <c r="A235" s="76" t="s">
        <v>23</v>
      </c>
      <c r="B235" s="76" t="s">
        <v>72</v>
      </c>
      <c r="C235" s="76" t="s">
        <v>507</v>
      </c>
      <c r="D235" s="76" t="s">
        <v>145</v>
      </c>
      <c r="E235" s="77" t="s">
        <v>213</v>
      </c>
      <c r="F235" s="77" t="s">
        <v>712</v>
      </c>
      <c r="G235" s="77" t="str">
        <f t="shared" si="330"/>
        <v>0</v>
      </c>
      <c r="H235" s="77" t="str">
        <f t="shared" si="331"/>
        <v>1</v>
      </c>
      <c r="I235" s="77" t="str">
        <f t="shared" si="332"/>
        <v>0</v>
      </c>
      <c r="J235" s="77" t="str">
        <f t="shared" si="333"/>
        <v>0</v>
      </c>
      <c r="K235" s="77" t="str">
        <f t="shared" si="334"/>
        <v>0100</v>
      </c>
      <c r="L235" s="77" t="str">
        <f>IFERROR(VLOOKUP(K235,Sheet2!$A$20:$B$23,2,FALSE),"X")</f>
        <v>02</v>
      </c>
      <c r="M235" s="77" t="str">
        <f t="shared" si="335"/>
        <v>08808888District Design and Led 18-21</v>
      </c>
      <c r="O235" s="76" t="s">
        <v>160</v>
      </c>
      <c r="P235" s="69" t="s">
        <v>168</v>
      </c>
      <c r="Q235" s="78"/>
      <c r="R235" s="78"/>
      <c r="AR235" s="79">
        <f t="shared" si="336"/>
        <v>0</v>
      </c>
      <c r="AS235" s="79">
        <f t="shared" si="337"/>
        <v>0</v>
      </c>
      <c r="AT235" s="79">
        <f t="shared" si="338"/>
        <v>0</v>
      </c>
      <c r="AU235" s="158" t="s">
        <v>336</v>
      </c>
      <c r="AV235" s="79"/>
      <c r="AW235" s="79">
        <v>7837</v>
      </c>
      <c r="BV235" s="79">
        <f t="shared" si="339"/>
        <v>0</v>
      </c>
      <c r="BW235" s="79">
        <f t="shared" si="340"/>
        <v>0</v>
      </c>
      <c r="BX235" s="79">
        <f t="shared" si="341"/>
        <v>7837</v>
      </c>
      <c r="BY235" s="79"/>
      <c r="DB235" s="79">
        <f t="shared" si="342"/>
        <v>0</v>
      </c>
      <c r="DC235" s="79">
        <f t="shared" si="343"/>
        <v>0</v>
      </c>
      <c r="DD235" s="79">
        <f t="shared" si="344"/>
        <v>0</v>
      </c>
      <c r="DE235" s="79">
        <f t="shared" si="345"/>
        <v>7837</v>
      </c>
      <c r="DF235" s="79"/>
      <c r="DP235" s="131"/>
      <c r="EJ235" s="79">
        <f t="shared" si="346"/>
        <v>0</v>
      </c>
      <c r="EK235" s="79">
        <f t="shared" si="347"/>
        <v>0</v>
      </c>
      <c r="EL235" s="79">
        <f t="shared" si="348"/>
        <v>0</v>
      </c>
      <c r="EM235" s="79">
        <f t="shared" si="349"/>
        <v>7837</v>
      </c>
      <c r="FI235" s="66">
        <f t="shared" si="326"/>
        <v>0</v>
      </c>
      <c r="FJ235" s="66">
        <f t="shared" si="327"/>
        <v>0</v>
      </c>
      <c r="FK235" s="66">
        <f t="shared" si="328"/>
        <v>0</v>
      </c>
      <c r="FL235" s="173">
        <f t="shared" si="329"/>
        <v>7837</v>
      </c>
    </row>
    <row r="236" spans="1:169" hidden="1" outlineLevel="1" x14ac:dyDescent="0.2">
      <c r="A236" s="76" t="s">
        <v>23</v>
      </c>
      <c r="B236" s="76" t="s">
        <v>424</v>
      </c>
      <c r="C236" s="76" t="s">
        <v>507</v>
      </c>
      <c r="D236" s="76" t="s">
        <v>550</v>
      </c>
      <c r="E236" s="77" t="s">
        <v>213</v>
      </c>
      <c r="F236" s="77" t="s">
        <v>712</v>
      </c>
      <c r="G236" s="77" t="str">
        <f t="shared" si="330"/>
        <v>0</v>
      </c>
      <c r="H236" s="77" t="str">
        <f t="shared" si="331"/>
        <v>1</v>
      </c>
      <c r="I236" s="77" t="str">
        <f t="shared" si="332"/>
        <v>0</v>
      </c>
      <c r="J236" s="77" t="str">
        <f t="shared" si="333"/>
        <v>0</v>
      </c>
      <c r="K236" s="77" t="str">
        <f t="shared" si="334"/>
        <v>0100</v>
      </c>
      <c r="L236" s="77" t="str">
        <f>IFERROR(VLOOKUP(K236,Sheet2!$A$20:$B$23,2,FALSE),"X")</f>
        <v>02</v>
      </c>
      <c r="M236" s="77" t="str">
        <f t="shared" si="335"/>
        <v>08808995District Design and Led 18-21</v>
      </c>
      <c r="O236" s="76" t="s">
        <v>160</v>
      </c>
      <c r="P236" s="69" t="s">
        <v>168</v>
      </c>
      <c r="Q236" s="78"/>
      <c r="R236" s="78"/>
      <c r="AR236" s="79">
        <f t="shared" si="336"/>
        <v>0</v>
      </c>
      <c r="AS236" s="79">
        <f t="shared" si="337"/>
        <v>0</v>
      </c>
      <c r="AT236" s="79">
        <f t="shared" si="338"/>
        <v>0</v>
      </c>
      <c r="AU236" s="158" t="s">
        <v>336</v>
      </c>
      <c r="AV236" s="79"/>
      <c r="AW236" s="79">
        <v>7837</v>
      </c>
      <c r="BV236" s="79">
        <f t="shared" si="339"/>
        <v>0</v>
      </c>
      <c r="BW236" s="79">
        <f t="shared" si="340"/>
        <v>0</v>
      </c>
      <c r="BX236" s="79">
        <f t="shared" si="341"/>
        <v>7837</v>
      </c>
      <c r="BY236" s="79"/>
      <c r="DB236" s="79">
        <f t="shared" si="342"/>
        <v>0</v>
      </c>
      <c r="DC236" s="79">
        <f t="shared" si="343"/>
        <v>0</v>
      </c>
      <c r="DD236" s="79">
        <f t="shared" si="344"/>
        <v>0</v>
      </c>
      <c r="DE236" s="79">
        <f t="shared" si="345"/>
        <v>7837</v>
      </c>
      <c r="DF236" s="79"/>
      <c r="DP236" s="131"/>
      <c r="EJ236" s="79">
        <f t="shared" si="346"/>
        <v>0</v>
      </c>
      <c r="EK236" s="79">
        <f t="shared" si="347"/>
        <v>0</v>
      </c>
      <c r="EL236" s="79">
        <f t="shared" si="348"/>
        <v>0</v>
      </c>
      <c r="EM236" s="79">
        <f t="shared" si="349"/>
        <v>7837</v>
      </c>
      <c r="FI236" s="66">
        <f t="shared" si="326"/>
        <v>0</v>
      </c>
      <c r="FJ236" s="66">
        <f t="shared" si="327"/>
        <v>0</v>
      </c>
      <c r="FK236" s="66">
        <f t="shared" si="328"/>
        <v>0</v>
      </c>
      <c r="FL236" s="173">
        <f t="shared" si="329"/>
        <v>7837</v>
      </c>
    </row>
    <row r="237" spans="1:169" hidden="1" outlineLevel="1" x14ac:dyDescent="0.2">
      <c r="A237" s="76" t="s">
        <v>23</v>
      </c>
      <c r="B237" s="76" t="s">
        <v>425</v>
      </c>
      <c r="C237" s="76" t="s">
        <v>507</v>
      </c>
      <c r="D237" s="76" t="s">
        <v>549</v>
      </c>
      <c r="E237" s="77" t="s">
        <v>213</v>
      </c>
      <c r="F237" s="77" t="s">
        <v>712</v>
      </c>
      <c r="G237" s="77" t="str">
        <f t="shared" si="330"/>
        <v>0</v>
      </c>
      <c r="H237" s="77" t="str">
        <f t="shared" si="331"/>
        <v>1</v>
      </c>
      <c r="I237" s="77" t="str">
        <f t="shared" si="332"/>
        <v>0</v>
      </c>
      <c r="J237" s="77" t="str">
        <f t="shared" si="333"/>
        <v>0</v>
      </c>
      <c r="K237" s="77" t="str">
        <f t="shared" si="334"/>
        <v>0100</v>
      </c>
      <c r="L237" s="77" t="str">
        <f>IFERROR(VLOOKUP(K237,Sheet2!$A$20:$B$23,2,FALSE),"X")</f>
        <v>02</v>
      </c>
      <c r="M237" s="77" t="str">
        <f t="shared" si="335"/>
        <v>08809050District Design and Led 18-21</v>
      </c>
      <c r="O237" s="76" t="s">
        <v>160</v>
      </c>
      <c r="P237" s="69" t="s">
        <v>168</v>
      </c>
      <c r="Q237" s="78"/>
      <c r="R237" s="78"/>
      <c r="AR237" s="79">
        <f t="shared" si="336"/>
        <v>0</v>
      </c>
      <c r="AS237" s="79">
        <f t="shared" si="337"/>
        <v>0</v>
      </c>
      <c r="AT237" s="79">
        <f t="shared" si="338"/>
        <v>0</v>
      </c>
      <c r="AU237" s="158" t="s">
        <v>336</v>
      </c>
      <c r="AV237" s="79"/>
      <c r="AW237" s="79">
        <v>28278</v>
      </c>
      <c r="BV237" s="79">
        <f t="shared" si="339"/>
        <v>0</v>
      </c>
      <c r="BW237" s="79">
        <f t="shared" si="340"/>
        <v>0</v>
      </c>
      <c r="BX237" s="79">
        <f t="shared" si="341"/>
        <v>28278</v>
      </c>
      <c r="BY237" s="79"/>
      <c r="DB237" s="79">
        <f t="shared" si="342"/>
        <v>0</v>
      </c>
      <c r="DC237" s="79">
        <f t="shared" si="343"/>
        <v>0</v>
      </c>
      <c r="DD237" s="79">
        <f t="shared" si="344"/>
        <v>0</v>
      </c>
      <c r="DE237" s="79">
        <f t="shared" si="345"/>
        <v>28278</v>
      </c>
      <c r="DF237" s="79"/>
      <c r="DP237" s="131"/>
      <c r="EJ237" s="79">
        <f t="shared" si="346"/>
        <v>0</v>
      </c>
      <c r="EK237" s="79">
        <f t="shared" si="347"/>
        <v>0</v>
      </c>
      <c r="EL237" s="79">
        <f t="shared" si="348"/>
        <v>0</v>
      </c>
      <c r="EM237" s="79">
        <f t="shared" si="349"/>
        <v>28278</v>
      </c>
      <c r="EX237" s="144">
        <v>-1795.84</v>
      </c>
      <c r="FI237" s="66">
        <f t="shared" si="326"/>
        <v>0</v>
      </c>
      <c r="FJ237" s="66">
        <f t="shared" si="327"/>
        <v>0</v>
      </c>
      <c r="FK237" s="66">
        <f t="shared" si="328"/>
        <v>-1795.84</v>
      </c>
      <c r="FL237" s="173">
        <f t="shared" si="329"/>
        <v>26482.16</v>
      </c>
    </row>
    <row r="238" spans="1:169" hidden="1" outlineLevel="1" x14ac:dyDescent="0.2">
      <c r="A238" s="76" t="s">
        <v>23</v>
      </c>
      <c r="B238" s="76" t="s">
        <v>55</v>
      </c>
      <c r="C238" s="76" t="s">
        <v>507</v>
      </c>
      <c r="D238" s="76" t="s">
        <v>131</v>
      </c>
      <c r="E238" s="77" t="s">
        <v>211</v>
      </c>
      <c r="F238" s="77" t="s">
        <v>712</v>
      </c>
      <c r="G238" s="77" t="str">
        <f t="shared" si="330"/>
        <v>1</v>
      </c>
      <c r="H238" s="77" t="str">
        <f t="shared" si="331"/>
        <v>0</v>
      </c>
      <c r="I238" s="77" t="str">
        <f t="shared" si="332"/>
        <v>0</v>
      </c>
      <c r="J238" s="77" t="str">
        <f t="shared" si="333"/>
        <v>0</v>
      </c>
      <c r="K238" s="77" t="str">
        <f t="shared" si="334"/>
        <v>1000</v>
      </c>
      <c r="L238" s="77" t="str">
        <f>IFERROR(VLOOKUP(K238,Sheet2!$A$20:$B$23,2,FALSE),"X")</f>
        <v>01</v>
      </c>
      <c r="M238" s="77" t="str">
        <f t="shared" si="335"/>
        <v>08809496District Design and Led 17-20</v>
      </c>
      <c r="N238" s="76" t="s">
        <v>161</v>
      </c>
      <c r="O238" s="76" t="s">
        <v>160</v>
      </c>
      <c r="P238" s="69" t="s">
        <v>168</v>
      </c>
      <c r="Q238" s="78">
        <v>43173</v>
      </c>
      <c r="R238" s="78">
        <v>43173</v>
      </c>
      <c r="S238" s="79">
        <v>8046</v>
      </c>
      <c r="AR238" s="79">
        <f t="shared" si="336"/>
        <v>0</v>
      </c>
      <c r="AS238" s="79">
        <f t="shared" si="337"/>
        <v>0</v>
      </c>
      <c r="AT238" s="79">
        <f t="shared" si="338"/>
        <v>8046</v>
      </c>
      <c r="AU238" s="158" t="s">
        <v>161</v>
      </c>
      <c r="AV238" s="79">
        <v>7631</v>
      </c>
      <c r="BJ238" s="79">
        <v>-2167</v>
      </c>
      <c r="BV238" s="79">
        <f t="shared" si="339"/>
        <v>-2167</v>
      </c>
      <c r="BW238" s="79">
        <f t="shared" si="340"/>
        <v>0</v>
      </c>
      <c r="BX238" s="79">
        <f t="shared" si="341"/>
        <v>13510</v>
      </c>
      <c r="DB238" s="79">
        <f t="shared" si="342"/>
        <v>0</v>
      </c>
      <c r="DC238" s="79">
        <f t="shared" si="343"/>
        <v>0</v>
      </c>
      <c r="DD238" s="79">
        <f t="shared" si="344"/>
        <v>0</v>
      </c>
      <c r="DE238" s="79">
        <f t="shared" si="345"/>
        <v>13510</v>
      </c>
      <c r="DP238" s="131"/>
      <c r="EJ238" s="79">
        <f t="shared" si="346"/>
        <v>0</v>
      </c>
      <c r="EK238" s="79">
        <f t="shared" si="347"/>
        <v>0</v>
      </c>
      <c r="EL238" s="79">
        <f t="shared" si="348"/>
        <v>0</v>
      </c>
      <c r="EM238" s="79">
        <f t="shared" si="349"/>
        <v>13510</v>
      </c>
      <c r="EX238" s="144">
        <f>-11564+11564</f>
        <v>0</v>
      </c>
      <c r="FI238" s="66">
        <f t="shared" si="326"/>
        <v>0</v>
      </c>
      <c r="FJ238" s="66">
        <f t="shared" si="327"/>
        <v>0</v>
      </c>
      <c r="FK238" s="66">
        <f t="shared" si="328"/>
        <v>0</v>
      </c>
      <c r="FL238" s="173">
        <f t="shared" si="329"/>
        <v>13510</v>
      </c>
    </row>
    <row r="239" spans="1:169" s="109" customFormat="1" hidden="1" outlineLevel="1" x14ac:dyDescent="0.2">
      <c r="A239" s="109" t="s">
        <v>23</v>
      </c>
      <c r="B239" s="109" t="s">
        <v>34</v>
      </c>
      <c r="C239" s="109" t="s">
        <v>507</v>
      </c>
      <c r="D239" s="109" t="s">
        <v>111</v>
      </c>
      <c r="E239" s="110" t="s">
        <v>211</v>
      </c>
      <c r="F239" s="110" t="s">
        <v>712</v>
      </c>
      <c r="G239" s="77" t="str">
        <f t="shared" si="330"/>
        <v>1</v>
      </c>
      <c r="H239" s="77" t="str">
        <f t="shared" si="331"/>
        <v>0</v>
      </c>
      <c r="I239" s="77" t="str">
        <f t="shared" si="332"/>
        <v>0</v>
      </c>
      <c r="J239" s="77" t="str">
        <f t="shared" si="333"/>
        <v>0</v>
      </c>
      <c r="K239" s="77" t="str">
        <f t="shared" si="334"/>
        <v>1000</v>
      </c>
      <c r="L239" s="77" t="str">
        <f>IFERROR(VLOOKUP(K239,Sheet2!$A$20:$B$23,2,FALSE),"X")</f>
        <v>01</v>
      </c>
      <c r="M239" s="77" t="str">
        <f t="shared" si="335"/>
        <v>0880N/ADistrict Design and Led 17-20</v>
      </c>
      <c r="N239" s="109" t="s">
        <v>161</v>
      </c>
      <c r="O239" s="109" t="s">
        <v>160</v>
      </c>
      <c r="P239" s="111" t="s">
        <v>168</v>
      </c>
      <c r="Q239" s="78">
        <v>43173</v>
      </c>
      <c r="R239" s="78">
        <v>43173</v>
      </c>
      <c r="S239" s="112">
        <v>21148</v>
      </c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112">
        <f t="shared" si="336"/>
        <v>0</v>
      </c>
      <c r="AS239" s="112">
        <f t="shared" si="337"/>
        <v>0</v>
      </c>
      <c r="AT239" s="112">
        <f t="shared" si="338"/>
        <v>21148</v>
      </c>
      <c r="AU239" s="158" t="s">
        <v>161</v>
      </c>
      <c r="AV239" s="112">
        <v>644444</v>
      </c>
      <c r="AW239" s="112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112">
        <f t="shared" si="339"/>
        <v>0</v>
      </c>
      <c r="BW239" s="112">
        <f t="shared" si="340"/>
        <v>0</v>
      </c>
      <c r="BX239" s="112">
        <f t="shared" si="341"/>
        <v>665592</v>
      </c>
      <c r="BY239" s="158" t="s">
        <v>336</v>
      </c>
      <c r="BZ239" s="112">
        <v>866829</v>
      </c>
      <c r="CA239" s="112"/>
      <c r="CB239" s="79"/>
      <c r="CC239" s="112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112">
        <f t="shared" si="342"/>
        <v>0</v>
      </c>
      <c r="DC239" s="112">
        <f t="shared" si="343"/>
        <v>0</v>
      </c>
      <c r="DD239" s="112">
        <f t="shared" si="344"/>
        <v>0</v>
      </c>
      <c r="DE239" s="112">
        <f t="shared" si="345"/>
        <v>1532421</v>
      </c>
      <c r="DF239" s="158"/>
      <c r="DG239" s="112"/>
      <c r="DH239" s="112"/>
      <c r="DI239" s="79"/>
      <c r="DJ239" s="112"/>
      <c r="DK239" s="79"/>
      <c r="DL239" s="79"/>
      <c r="DM239" s="79"/>
      <c r="DN239" s="79"/>
      <c r="DO239" s="79"/>
      <c r="DP239" s="131">
        <v>-125736.56</v>
      </c>
      <c r="DQ239" s="79"/>
      <c r="DR239" s="79"/>
      <c r="DS239" s="112">
        <v>-126610.26</v>
      </c>
      <c r="DT239" s="112"/>
      <c r="DU239" s="112">
        <v>-509747.18</v>
      </c>
      <c r="DV239" s="112"/>
      <c r="DW239" s="112"/>
      <c r="DX239" s="112"/>
      <c r="DY239" s="112">
        <v>-672193.82</v>
      </c>
      <c r="DZ239" s="112"/>
      <c r="EA239" s="112"/>
      <c r="EB239" s="112"/>
      <c r="EC239" s="112"/>
      <c r="ED239" s="112"/>
      <c r="EE239" s="112">
        <v>145664.70000000001</v>
      </c>
      <c r="EF239" s="112"/>
      <c r="EG239" s="131">
        <v>-145664.70000000001</v>
      </c>
      <c r="EH239" s="112">
        <v>-46626.92</v>
      </c>
      <c r="EI239" s="112">
        <v>-51506.26</v>
      </c>
      <c r="EJ239" s="112">
        <f t="shared" si="346"/>
        <v>-271401.26</v>
      </c>
      <c r="EK239" s="112">
        <f t="shared" si="347"/>
        <v>-1209513.4799999997</v>
      </c>
      <c r="EL239" s="112">
        <f t="shared" si="348"/>
        <v>-51506.26</v>
      </c>
      <c r="EM239" s="112">
        <f t="shared" si="349"/>
        <v>0</v>
      </c>
      <c r="EN239" s="112"/>
      <c r="EO239" s="112"/>
      <c r="EP239" s="112"/>
      <c r="EQ239" s="112"/>
      <c r="ER239" s="112"/>
      <c r="ES239" s="149"/>
      <c r="ET239" s="149"/>
      <c r="EU239" s="149"/>
      <c r="EV239" s="66"/>
      <c r="EW239" s="149"/>
      <c r="EX239" s="149"/>
      <c r="EY239" s="149"/>
      <c r="EZ239" s="149"/>
      <c r="FA239" s="149"/>
      <c r="FB239" s="149"/>
      <c r="FC239" s="149"/>
      <c r="FD239" s="149"/>
      <c r="FE239" s="149"/>
      <c r="FF239" s="149"/>
      <c r="FG239" s="149"/>
      <c r="FH239" s="149"/>
      <c r="FI239" s="66">
        <f t="shared" si="326"/>
        <v>0</v>
      </c>
      <c r="FJ239" s="66">
        <f t="shared" si="327"/>
        <v>0</v>
      </c>
      <c r="FK239" s="66">
        <f t="shared" si="328"/>
        <v>0</v>
      </c>
      <c r="FL239" s="173">
        <f t="shared" si="329"/>
        <v>0</v>
      </c>
      <c r="FM239" s="113"/>
    </row>
    <row r="240" spans="1:169" s="109" customFormat="1" hidden="1" outlineLevel="1" x14ac:dyDescent="0.2">
      <c r="A240" s="109" t="s">
        <v>23</v>
      </c>
      <c r="B240" s="109" t="s">
        <v>34</v>
      </c>
      <c r="C240" s="109" t="s">
        <v>507</v>
      </c>
      <c r="D240" s="109" t="s">
        <v>111</v>
      </c>
      <c r="E240" s="110" t="s">
        <v>213</v>
      </c>
      <c r="F240" s="110" t="s">
        <v>712</v>
      </c>
      <c r="G240" s="77" t="str">
        <f t="shared" si="330"/>
        <v>0</v>
      </c>
      <c r="H240" s="77" t="str">
        <f t="shared" si="331"/>
        <v>1</v>
      </c>
      <c r="I240" s="77" t="str">
        <f t="shared" si="332"/>
        <v>0</v>
      </c>
      <c r="J240" s="77" t="str">
        <f t="shared" si="333"/>
        <v>0</v>
      </c>
      <c r="K240" s="77" t="str">
        <f t="shared" si="334"/>
        <v>0100</v>
      </c>
      <c r="L240" s="77" t="str">
        <f>IFERROR(VLOOKUP(K240,Sheet2!$A$20:$B$23,2,FALSE),"X")</f>
        <v>02</v>
      </c>
      <c r="M240" s="77" t="str">
        <f t="shared" si="335"/>
        <v>0880N/ADistrict Design and Led 18-21</v>
      </c>
      <c r="O240" s="109" t="s">
        <v>160</v>
      </c>
      <c r="P240" s="111" t="s">
        <v>168</v>
      </c>
      <c r="Q240" s="78"/>
      <c r="R240" s="78"/>
      <c r="S240" s="112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112">
        <f t="shared" si="336"/>
        <v>0</v>
      </c>
      <c r="AS240" s="112">
        <f t="shared" si="337"/>
        <v>0</v>
      </c>
      <c r="AT240" s="112">
        <f t="shared" si="338"/>
        <v>0</v>
      </c>
      <c r="AU240" s="158" t="s">
        <v>336</v>
      </c>
      <c r="AV240" s="112"/>
      <c r="AW240" s="112">
        <v>117650</v>
      </c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112">
        <f t="shared" si="339"/>
        <v>0</v>
      </c>
      <c r="BW240" s="112">
        <f t="shared" si="340"/>
        <v>0</v>
      </c>
      <c r="BX240" s="112">
        <f t="shared" si="341"/>
        <v>117650</v>
      </c>
      <c r="BY240" s="158" t="s">
        <v>341</v>
      </c>
      <c r="BZ240" s="112"/>
      <c r="CA240" s="112">
        <v>592383</v>
      </c>
      <c r="CB240" s="79"/>
      <c r="CC240" s="112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112">
        <f t="shared" si="342"/>
        <v>0</v>
      </c>
      <c r="DC240" s="112">
        <f t="shared" si="343"/>
        <v>0</v>
      </c>
      <c r="DD240" s="112">
        <f t="shared" si="344"/>
        <v>0</v>
      </c>
      <c r="DE240" s="112">
        <f t="shared" si="345"/>
        <v>710033</v>
      </c>
      <c r="DF240" s="158"/>
      <c r="DG240" s="112"/>
      <c r="DH240" s="112"/>
      <c r="DI240" s="79"/>
      <c r="DJ240" s="112"/>
      <c r="DK240" s="79"/>
      <c r="DL240" s="79"/>
      <c r="DM240" s="79"/>
      <c r="DN240" s="79"/>
      <c r="DO240" s="79"/>
      <c r="DP240" s="131"/>
      <c r="DQ240" s="79"/>
      <c r="DR240" s="79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  <c r="EF240" s="112"/>
      <c r="EG240" s="131"/>
      <c r="EH240" s="112"/>
      <c r="EI240" s="112">
        <v>-182798.69999999972</v>
      </c>
      <c r="EJ240" s="112">
        <f t="shared" si="346"/>
        <v>0</v>
      </c>
      <c r="EK240" s="112">
        <f t="shared" si="347"/>
        <v>0</v>
      </c>
      <c r="EL240" s="112">
        <f t="shared" si="348"/>
        <v>-182798.69999999972</v>
      </c>
      <c r="EM240" s="112">
        <f t="shared" si="349"/>
        <v>527234.30000000028</v>
      </c>
      <c r="EN240" s="112"/>
      <c r="EO240" s="112"/>
      <c r="EP240" s="112"/>
      <c r="EQ240" s="112"/>
      <c r="ER240" s="112"/>
      <c r="ES240" s="149"/>
      <c r="ET240" s="149"/>
      <c r="EU240" s="149"/>
      <c r="EV240" s="66"/>
      <c r="EW240" s="149"/>
      <c r="EX240" s="144">
        <f>-46232-11584.08+46232-38876.88-14919.58-90</f>
        <v>-65470.54</v>
      </c>
      <c r="EY240" s="149"/>
      <c r="EZ240" s="149"/>
      <c r="FA240" s="149"/>
      <c r="FB240" s="149"/>
      <c r="FC240" s="149"/>
      <c r="FD240" s="149"/>
      <c r="FE240" s="149"/>
      <c r="FF240" s="149"/>
      <c r="FG240" s="149"/>
      <c r="FH240" s="149"/>
      <c r="FI240" s="66">
        <f t="shared" si="326"/>
        <v>0</v>
      </c>
      <c r="FJ240" s="66">
        <f t="shared" si="327"/>
        <v>0</v>
      </c>
      <c r="FK240" s="66">
        <f t="shared" si="328"/>
        <v>-65470.54</v>
      </c>
      <c r="FL240" s="173">
        <f t="shared" si="329"/>
        <v>461763.7600000003</v>
      </c>
      <c r="FM240" s="113"/>
    </row>
    <row r="241" spans="1:169" s="118" customFormat="1" hidden="1" outlineLevel="1" x14ac:dyDescent="0.2">
      <c r="A241" s="119" t="s">
        <v>401</v>
      </c>
      <c r="B241" s="119" t="s">
        <v>748</v>
      </c>
      <c r="C241" s="118" t="s">
        <v>462</v>
      </c>
      <c r="D241" s="118" t="s">
        <v>111</v>
      </c>
      <c r="E241" s="119" t="s">
        <v>456</v>
      </c>
      <c r="F241" s="119"/>
      <c r="G241" s="119"/>
      <c r="H241" s="119"/>
      <c r="I241" s="119"/>
      <c r="J241" s="119"/>
      <c r="K241" s="119"/>
      <c r="L241" s="119"/>
      <c r="M241" s="119" t="str">
        <f t="shared" si="335"/>
        <v>09109999District Design and Led 20-23</v>
      </c>
      <c r="O241" s="119" t="s">
        <v>160</v>
      </c>
      <c r="P241" s="120"/>
      <c r="Q241" s="121"/>
      <c r="R241" s="121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60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60"/>
      <c r="BZ241" s="122"/>
      <c r="CA241" s="122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2"/>
      <c r="CP241" s="122"/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2"/>
      <c r="DE241" s="122"/>
      <c r="DF241" s="160"/>
      <c r="DG241" s="122"/>
      <c r="DH241" s="122"/>
      <c r="DI241" s="122"/>
      <c r="DJ241" s="122">
        <v>1038</v>
      </c>
      <c r="DK241" s="122"/>
      <c r="DL241" s="122"/>
      <c r="DM241" s="122"/>
      <c r="DN241" s="122"/>
      <c r="DO241" s="122"/>
      <c r="DP241" s="122"/>
      <c r="DQ241" s="122"/>
      <c r="DR241" s="122"/>
      <c r="DS241" s="122"/>
      <c r="DT241" s="122"/>
      <c r="DU241" s="122"/>
      <c r="DV241" s="122"/>
      <c r="DW241" s="122"/>
      <c r="DX241" s="122"/>
      <c r="DY241" s="122"/>
      <c r="DZ241" s="122"/>
      <c r="EA241" s="122"/>
      <c r="EB241" s="122"/>
      <c r="EC241" s="122"/>
      <c r="ED241" s="122"/>
      <c r="EE241" s="122"/>
      <c r="EF241" s="122"/>
      <c r="EG241" s="131"/>
      <c r="EH241" s="122"/>
      <c r="EI241" s="122"/>
      <c r="EJ241" s="122"/>
      <c r="EK241" s="122"/>
      <c r="EL241" s="122"/>
      <c r="EM241" s="122">
        <f t="shared" si="349"/>
        <v>1038</v>
      </c>
      <c r="EN241" s="122"/>
      <c r="EO241" s="122"/>
      <c r="EP241" s="122"/>
      <c r="EQ241" s="103">
        <v>54646</v>
      </c>
      <c r="ER241" s="122"/>
      <c r="ES241" s="144">
        <v>-1038</v>
      </c>
      <c r="ET241" s="126"/>
      <c r="EU241" s="126"/>
      <c r="EV241" s="66"/>
      <c r="EW241" s="126" t="s">
        <v>701</v>
      </c>
      <c r="EX241" s="126"/>
      <c r="EY241" s="126"/>
      <c r="EZ241" s="126"/>
      <c r="FA241" s="126"/>
      <c r="FB241" s="126"/>
      <c r="FC241" s="126"/>
      <c r="FD241" s="66">
        <v>-12092.71</v>
      </c>
      <c r="FE241" s="126"/>
      <c r="FF241" s="126"/>
      <c r="FG241" s="126"/>
      <c r="FH241" s="126"/>
      <c r="FI241" s="66">
        <f t="shared" si="326"/>
        <v>0</v>
      </c>
      <c r="FJ241" s="66">
        <f t="shared" si="327"/>
        <v>0</v>
      </c>
      <c r="FK241" s="66">
        <f t="shared" si="328"/>
        <v>-13130.71</v>
      </c>
      <c r="FL241" s="173">
        <f t="shared" si="329"/>
        <v>42553.29</v>
      </c>
      <c r="FM241" s="123"/>
    </row>
    <row r="242" spans="1:169" hidden="1" outlineLevel="1" x14ac:dyDescent="0.2">
      <c r="A242" s="76" t="s">
        <v>230</v>
      </c>
      <c r="B242" s="76" t="s">
        <v>426</v>
      </c>
      <c r="C242" s="76" t="s">
        <v>232</v>
      </c>
      <c r="D242" s="76" t="s">
        <v>552</v>
      </c>
      <c r="E242" s="77" t="s">
        <v>213</v>
      </c>
      <c r="F242" s="77" t="s">
        <v>712</v>
      </c>
      <c r="G242" s="77" t="str">
        <f t="shared" si="330"/>
        <v>0</v>
      </c>
      <c r="H242" s="77" t="str">
        <f t="shared" si="331"/>
        <v>1</v>
      </c>
      <c r="I242" s="77" t="str">
        <f t="shared" si="332"/>
        <v>0</v>
      </c>
      <c r="J242" s="77" t="str">
        <f t="shared" si="333"/>
        <v>0</v>
      </c>
      <c r="K242" s="77" t="str">
        <f t="shared" si="334"/>
        <v>0100</v>
      </c>
      <c r="L242" s="77" t="str">
        <f>IFERROR(VLOOKUP(K242,Sheet2!$A$20:$B$23,2,FALSE),"X")</f>
        <v>02</v>
      </c>
      <c r="M242" s="77" t="str">
        <f t="shared" si="335"/>
        <v>10102400District Design and Led 18-21</v>
      </c>
      <c r="O242" s="76" t="s">
        <v>160</v>
      </c>
      <c r="P242" s="69" t="s">
        <v>168</v>
      </c>
      <c r="Q242" s="78"/>
      <c r="R242" s="78"/>
      <c r="AR242" s="79">
        <f>SUMIF($T$2:$AQ$2,$AR$2,$T242:$AQ242)</f>
        <v>0</v>
      </c>
      <c r="AS242" s="79">
        <f>SUMIF($T$2:$AQ$2,$AS$2,$T242:$AQ242)</f>
        <v>0</v>
      </c>
      <c r="AT242" s="79">
        <f t="shared" si="338"/>
        <v>0</v>
      </c>
      <c r="AU242" s="158" t="s">
        <v>336</v>
      </c>
      <c r="AV242" s="79"/>
      <c r="AW242" s="79">
        <v>28967</v>
      </c>
      <c r="BV242" s="79">
        <f>SUMIF($AX$2:$BU$2,$BV$2,$AX242:$BU242)</f>
        <v>0</v>
      </c>
      <c r="BW242" s="79">
        <f>SUMIF($AX$2:$BU$2,$BW$2,$AX242:$BU242)</f>
        <v>0</v>
      </c>
      <c r="BX242" s="79">
        <f t="shared" si="341"/>
        <v>28967</v>
      </c>
      <c r="BY242" s="158" t="s">
        <v>341</v>
      </c>
      <c r="CA242" s="79">
        <v>115825</v>
      </c>
      <c r="CG242" s="79">
        <v>-19149</v>
      </c>
      <c r="CP242" s="79">
        <v>-31223.410000000003</v>
      </c>
      <c r="CR242" s="79">
        <v>-10901.54</v>
      </c>
      <c r="CT242" s="79">
        <v>-5871.53</v>
      </c>
      <c r="CV242" s="79">
        <v>-10006.67</v>
      </c>
      <c r="CX242" s="79">
        <v>-4383.7</v>
      </c>
      <c r="CZ242" s="79">
        <v>-12335.6</v>
      </c>
      <c r="DB242" s="79">
        <f>SUMIF($CD$2:$DA$2,$DB$2,$CD242:$DA242)</f>
        <v>0</v>
      </c>
      <c r="DC242" s="79">
        <f>SUMIF($CD$2:$DA$2,$DC$2,$CD242:$DA242)</f>
        <v>-93871.450000000012</v>
      </c>
      <c r="DD242" s="79">
        <f>SUMIF($CD$2:$DA$2,$DD$2,$CD242:$DA242)</f>
        <v>0</v>
      </c>
      <c r="DE242" s="79">
        <f t="shared" si="345"/>
        <v>50920.549999999988</v>
      </c>
      <c r="DG242" s="79">
        <v>116720</v>
      </c>
      <c r="DM242" s="79">
        <v>-5897.42</v>
      </c>
      <c r="DP242" s="131"/>
      <c r="DQ242" s="79">
        <v>-16164.35</v>
      </c>
      <c r="DS242" s="79">
        <v>-5431.17</v>
      </c>
      <c r="DU242" s="79">
        <v>-5959.15</v>
      </c>
      <c r="DW242" s="79">
        <v>-12202.59</v>
      </c>
      <c r="DY242" s="79">
        <f>-(5265.87+2754.87)</f>
        <v>-8020.74</v>
      </c>
      <c r="EA242" s="79">
        <v>-6983.82</v>
      </c>
      <c r="EC242" s="79">
        <v>-12496.29</v>
      </c>
      <c r="EE242" s="79">
        <v>-7117.11</v>
      </c>
      <c r="EI242" s="79">
        <v>-8853.2099999999991</v>
      </c>
      <c r="EJ242" s="79">
        <f>SUMIF($DK$2:$EI$2,$EJ$2,$DK242:$EI242)</f>
        <v>0</v>
      </c>
      <c r="EK242" s="79">
        <f>SUMIF($DK$2:$EI$2,$EK$2,$DK242:$EI242)</f>
        <v>-80272.639999999999</v>
      </c>
      <c r="EL242" s="79">
        <f>SUMIF($DK$2:$EI$2,$EL$2,$DK242:$EI242)</f>
        <v>-8853.2099999999991</v>
      </c>
      <c r="EM242" s="79">
        <f t="shared" si="349"/>
        <v>78514.699999999983</v>
      </c>
      <c r="ES242" s="144">
        <v>-1195.81</v>
      </c>
      <c r="ET242" s="144">
        <v>-6185.83</v>
      </c>
      <c r="EU242" s="66">
        <v>-10580.06</v>
      </c>
      <c r="EW242" s="144">
        <v>-6931.79</v>
      </c>
      <c r="EX242" s="144">
        <v>-7786.19</v>
      </c>
      <c r="EY242" s="144">
        <v>-6732.41</v>
      </c>
      <c r="FC242" s="66">
        <v>-7224.72</v>
      </c>
      <c r="FD242" s="66">
        <v>-9815.4699999999993</v>
      </c>
      <c r="FE242" s="312">
        <v>-9083.4500000000007</v>
      </c>
      <c r="FI242" s="66">
        <f t="shared" si="326"/>
        <v>0</v>
      </c>
      <c r="FJ242" s="66">
        <f t="shared" si="327"/>
        <v>0</v>
      </c>
      <c r="FK242" s="66">
        <f t="shared" si="328"/>
        <v>-65535.729999999996</v>
      </c>
      <c r="FL242" s="173">
        <f t="shared" si="329"/>
        <v>12978.969999999987</v>
      </c>
    </row>
    <row r="243" spans="1:169" hidden="1" outlineLevel="1" x14ac:dyDescent="0.2">
      <c r="A243" s="76" t="s">
        <v>230</v>
      </c>
      <c r="B243" s="76" t="s">
        <v>427</v>
      </c>
      <c r="C243" s="76" t="s">
        <v>232</v>
      </c>
      <c r="D243" s="76" t="s">
        <v>551</v>
      </c>
      <c r="E243" s="77" t="s">
        <v>213</v>
      </c>
      <c r="F243" s="77" t="s">
        <v>712</v>
      </c>
      <c r="G243" s="77" t="str">
        <f t="shared" si="330"/>
        <v>0</v>
      </c>
      <c r="H243" s="77" t="str">
        <f t="shared" si="331"/>
        <v>1</v>
      </c>
      <c r="I243" s="77" t="str">
        <f t="shared" si="332"/>
        <v>0</v>
      </c>
      <c r="J243" s="77" t="str">
        <f t="shared" si="333"/>
        <v>0</v>
      </c>
      <c r="K243" s="77" t="str">
        <f t="shared" si="334"/>
        <v>0100</v>
      </c>
      <c r="L243" s="77" t="str">
        <f>IFERROR(VLOOKUP(K243,Sheet2!$A$20:$B$23,2,FALSE),"X")</f>
        <v>02</v>
      </c>
      <c r="M243" s="77" t="str">
        <f t="shared" si="335"/>
        <v>10102528District Design and Led 18-21</v>
      </c>
      <c r="O243" s="76" t="s">
        <v>160</v>
      </c>
      <c r="P243" s="69" t="s">
        <v>168</v>
      </c>
      <c r="Q243" s="78"/>
      <c r="R243" s="78"/>
      <c r="AR243" s="79">
        <f>SUMIF($T$2:$AQ$2,$AR$2,$T243:$AQ243)</f>
        <v>0</v>
      </c>
      <c r="AS243" s="79">
        <f>SUMIF($T$2:$AQ$2,$AS$2,$T243:$AQ243)</f>
        <v>0</v>
      </c>
      <c r="AT243" s="79">
        <f t="shared" si="338"/>
        <v>0</v>
      </c>
      <c r="AU243" s="158" t="s">
        <v>336</v>
      </c>
      <c r="AV243" s="79"/>
      <c r="AW243" s="79">
        <v>15527</v>
      </c>
      <c r="BP243" s="79">
        <v>-8904</v>
      </c>
      <c r="BV243" s="79">
        <f>SUMIF($AX$2:$BU$2,$BV$2,$AX243:$BU243)</f>
        <v>-8904</v>
      </c>
      <c r="BW243" s="79">
        <f>SUMIF($AX$2:$BU$2,$BW$2,$AX243:$BU243)</f>
        <v>0</v>
      </c>
      <c r="BX243" s="79">
        <f t="shared" si="341"/>
        <v>6623</v>
      </c>
      <c r="BY243" s="158" t="s">
        <v>341</v>
      </c>
      <c r="CA243" s="79">
        <v>41952</v>
      </c>
      <c r="CG243" s="79">
        <v>-5972</v>
      </c>
      <c r="CP243" s="79">
        <v>-27110.35</v>
      </c>
      <c r="CR243" s="79">
        <v>-5772.72</v>
      </c>
      <c r="CT243" s="79">
        <v>-244.09</v>
      </c>
      <c r="CV243" s="79">
        <v>-1138.78</v>
      </c>
      <c r="DB243" s="79">
        <f>SUMIF($CD$2:$DA$2,$DB$2,$CD243:$DA243)</f>
        <v>0</v>
      </c>
      <c r="DC243" s="79">
        <f>SUMIF($CD$2:$DA$2,$DC$2,$CD243:$DA243)</f>
        <v>-40237.939999999995</v>
      </c>
      <c r="DD243" s="79">
        <f>SUMIF($CD$2:$DA$2,$DD$2,$CD243:$DA243)</f>
        <v>0</v>
      </c>
      <c r="DE243" s="79">
        <f t="shared" si="345"/>
        <v>8337.0600000000049</v>
      </c>
      <c r="DG243" s="79">
        <v>20485</v>
      </c>
      <c r="DP243" s="131"/>
      <c r="DU243" s="79">
        <v>-707.56</v>
      </c>
      <c r="DW243" s="79">
        <v>-42.45</v>
      </c>
      <c r="DY243" s="79">
        <v>-2396</v>
      </c>
      <c r="EA243" s="79">
        <v>-1422.17</v>
      </c>
      <c r="EC243" s="79">
        <v>-229.09</v>
      </c>
      <c r="EE243" s="79">
        <v>-411.99</v>
      </c>
      <c r="EI243" s="79">
        <v>-1894.6</v>
      </c>
      <c r="EJ243" s="79">
        <f>SUMIF($DK$2:$EI$2,$EJ$2,$DK243:$EI243)</f>
        <v>0</v>
      </c>
      <c r="EK243" s="79">
        <f>SUMIF($DK$2:$EI$2,$EK$2,$DK243:$EI243)</f>
        <v>-5209.26</v>
      </c>
      <c r="EL243" s="79">
        <f>SUMIF($DK$2:$EI$2,$EL$2,$DK243:$EI243)</f>
        <v>-1894.6</v>
      </c>
      <c r="EM243" s="79">
        <f t="shared" si="349"/>
        <v>21718.200000000004</v>
      </c>
      <c r="ET243" s="144">
        <v>-138.4</v>
      </c>
      <c r="EW243" s="144">
        <v>-11.77</v>
      </c>
      <c r="EX243" s="144">
        <v>-7500.73</v>
      </c>
      <c r="FC243" s="66">
        <v>-559.54999999999995</v>
      </c>
      <c r="FE243" s="312">
        <v>-3407.97</v>
      </c>
      <c r="FI243" s="66">
        <f t="shared" si="326"/>
        <v>0</v>
      </c>
      <c r="FJ243" s="66">
        <f t="shared" si="327"/>
        <v>0</v>
      </c>
      <c r="FK243" s="66">
        <f t="shared" si="328"/>
        <v>-11618.419999999998</v>
      </c>
      <c r="FL243" s="173">
        <f t="shared" si="329"/>
        <v>10099.780000000006</v>
      </c>
    </row>
    <row r="244" spans="1:169" s="118" customFormat="1" hidden="1" outlineLevel="1" x14ac:dyDescent="0.2">
      <c r="A244" s="118" t="s">
        <v>230</v>
      </c>
      <c r="B244" s="118" t="s">
        <v>757</v>
      </c>
      <c r="C244" s="118" t="s">
        <v>232</v>
      </c>
      <c r="D244" s="118" t="s">
        <v>758</v>
      </c>
      <c r="E244" s="119" t="s">
        <v>456</v>
      </c>
      <c r="F244" s="119"/>
      <c r="G244" s="119"/>
      <c r="H244" s="119"/>
      <c r="I244" s="119"/>
      <c r="J244" s="119"/>
      <c r="K244" s="119"/>
      <c r="L244" s="119"/>
      <c r="M244" s="119" t="str">
        <f t="shared" si="335"/>
        <v>10105146District Design and Led 20-23</v>
      </c>
      <c r="O244" s="118" t="s">
        <v>160</v>
      </c>
      <c r="P244" s="120"/>
      <c r="Q244" s="121"/>
      <c r="R244" s="121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60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60"/>
      <c r="BZ244" s="122"/>
      <c r="CA244" s="122"/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2"/>
      <c r="CP244" s="122"/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2"/>
      <c r="DE244" s="122"/>
      <c r="DF244" s="160"/>
      <c r="DG244" s="122"/>
      <c r="DH244" s="122"/>
      <c r="DI244" s="122"/>
      <c r="DJ244" s="122">
        <v>54000</v>
      </c>
      <c r="DK244" s="122"/>
      <c r="DL244" s="122"/>
      <c r="DM244" s="122"/>
      <c r="DN244" s="122"/>
      <c r="DO244" s="122"/>
      <c r="DP244" s="122"/>
      <c r="DQ244" s="122"/>
      <c r="DR244" s="122"/>
      <c r="DS244" s="122"/>
      <c r="DT244" s="122"/>
      <c r="DU244" s="122"/>
      <c r="DV244" s="122"/>
      <c r="DW244" s="122"/>
      <c r="DX244" s="122"/>
      <c r="DY244" s="122"/>
      <c r="DZ244" s="122"/>
      <c r="EA244" s="122"/>
      <c r="EB244" s="122"/>
      <c r="EC244" s="122"/>
      <c r="ED244" s="122"/>
      <c r="EE244" s="122"/>
      <c r="EF244" s="122"/>
      <c r="EG244" s="131"/>
      <c r="EH244" s="122"/>
      <c r="EI244" s="122"/>
      <c r="EJ244" s="122"/>
      <c r="EK244" s="122"/>
      <c r="EL244" s="122"/>
      <c r="EM244" s="122">
        <f t="shared" si="349"/>
        <v>54000</v>
      </c>
      <c r="EN244" s="122"/>
      <c r="EO244" s="122"/>
      <c r="EP244" s="122"/>
      <c r="EQ244" s="122"/>
      <c r="ER244" s="122"/>
      <c r="ES244" s="126"/>
      <c r="ET244" s="126"/>
      <c r="EU244" s="126">
        <v>-18000</v>
      </c>
      <c r="EV244" s="66"/>
      <c r="EW244" s="144">
        <v>-1875</v>
      </c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66">
        <f t="shared" si="326"/>
        <v>0</v>
      </c>
      <c r="FJ244" s="66">
        <f t="shared" si="327"/>
        <v>0</v>
      </c>
      <c r="FK244" s="66">
        <f t="shared" si="328"/>
        <v>-19875</v>
      </c>
      <c r="FL244" s="173">
        <f t="shared" si="329"/>
        <v>34125</v>
      </c>
      <c r="FM244" s="123"/>
    </row>
    <row r="245" spans="1:169" hidden="1" outlineLevel="1" x14ac:dyDescent="0.2">
      <c r="A245" s="76" t="s">
        <v>230</v>
      </c>
      <c r="B245" s="76" t="s">
        <v>301</v>
      </c>
      <c r="C245" s="76" t="s">
        <v>232</v>
      </c>
      <c r="D245" s="76" t="s">
        <v>302</v>
      </c>
      <c r="E245" s="77" t="s">
        <v>213</v>
      </c>
      <c r="F245" s="77" t="s">
        <v>712</v>
      </c>
      <c r="G245" s="77" t="str">
        <f t="shared" si="330"/>
        <v>0</v>
      </c>
      <c r="H245" s="77" t="str">
        <f t="shared" si="331"/>
        <v>1</v>
      </c>
      <c r="I245" s="77" t="str">
        <f t="shared" si="332"/>
        <v>0</v>
      </c>
      <c r="J245" s="77" t="str">
        <f t="shared" si="333"/>
        <v>0</v>
      </c>
      <c r="K245" s="77" t="str">
        <f t="shared" si="334"/>
        <v>0100</v>
      </c>
      <c r="L245" s="77" t="str">
        <f>IFERROR(VLOOKUP(K245,Sheet2!$A$20:$B$23,2,FALSE),"X")</f>
        <v>02</v>
      </c>
      <c r="M245" s="77" t="str">
        <f t="shared" si="335"/>
        <v>10108457District Design and Led 18-21</v>
      </c>
      <c r="O245" s="76" t="s">
        <v>160</v>
      </c>
      <c r="P245" s="69" t="s">
        <v>168</v>
      </c>
      <c r="Q245" s="78"/>
      <c r="R245" s="78"/>
      <c r="AR245" s="79">
        <f>SUMIF($T$2:$AQ$2,$AR$2,$T245:$AQ245)</f>
        <v>0</v>
      </c>
      <c r="AS245" s="79">
        <f>SUMIF($T$2:$AQ$2,$AS$2,$T245:$AQ245)</f>
        <v>0</v>
      </c>
      <c r="AT245" s="79">
        <f t="shared" si="338"/>
        <v>0</v>
      </c>
      <c r="AU245" s="158" t="s">
        <v>336</v>
      </c>
      <c r="AV245" s="79"/>
      <c r="AW245" s="79">
        <v>6547</v>
      </c>
      <c r="BV245" s="79">
        <f>SUMIF($AX$2:$BU$2,$BV$2,$AX245:$BU245)</f>
        <v>0</v>
      </c>
      <c r="BW245" s="79">
        <f>SUMIF($AX$2:$BU$2,$BW$2,$AX245:$BU245)</f>
        <v>0</v>
      </c>
      <c r="BX245" s="79">
        <f t="shared" si="341"/>
        <v>6547</v>
      </c>
      <c r="BY245" s="158" t="s">
        <v>341</v>
      </c>
      <c r="CA245" s="79">
        <v>13577</v>
      </c>
      <c r="CP245" s="79">
        <v>-1521.62</v>
      </c>
      <c r="CR245" s="79">
        <v>-456.94</v>
      </c>
      <c r="CT245" s="79">
        <v>-2556.58</v>
      </c>
      <c r="CV245" s="79">
        <f>-804.84</f>
        <v>-804.84</v>
      </c>
      <c r="DB245" s="79">
        <f>SUMIF($CD$2:$DA$2,$DB$2,$CD245:$DA245)</f>
        <v>0</v>
      </c>
      <c r="DC245" s="79">
        <f>SUMIF($CD$2:$DA$2,$DC$2,$CD245:$DA245)</f>
        <v>-5339.98</v>
      </c>
      <c r="DD245" s="79">
        <f>SUMIF($CD$2:$DA$2,$DD$2,$CD245:$DA245)</f>
        <v>0</v>
      </c>
      <c r="DE245" s="79">
        <f t="shared" si="345"/>
        <v>14784.02</v>
      </c>
      <c r="DG245" s="79">
        <v>10820</v>
      </c>
      <c r="DP245" s="131"/>
      <c r="DU245" s="79">
        <v>-833</v>
      </c>
      <c r="DW245" s="79">
        <v>-198.33</v>
      </c>
      <c r="DY245" s="79">
        <f>-(175.69+4856.75)</f>
        <v>-5032.4399999999996</v>
      </c>
      <c r="EC245" s="79">
        <v>-301.94</v>
      </c>
      <c r="EE245" s="79">
        <v>-1683.66</v>
      </c>
      <c r="EI245" s="79">
        <v>-433.55</v>
      </c>
      <c r="EJ245" s="79">
        <f>SUMIF($DK$2:$EI$2,$EJ$2,$DK245:$EI245)</f>
        <v>0</v>
      </c>
      <c r="EK245" s="79">
        <f t="shared" ref="EK245:EK251" si="350">SUMIF($DK$2:$EI$2,$EK$2,$DK245:$EI245)</f>
        <v>-8049.369999999999</v>
      </c>
      <c r="EL245" s="79">
        <f>SUMIF($DK$2:$EI$2,$EL$2,$DK245:$EI245)</f>
        <v>-433.55</v>
      </c>
      <c r="EM245" s="79">
        <f t="shared" si="349"/>
        <v>17121.100000000002</v>
      </c>
      <c r="ES245" s="144">
        <v>-8251.6</v>
      </c>
      <c r="ET245" s="144">
        <v>-6071.65</v>
      </c>
      <c r="EU245" s="66">
        <v>-963.03</v>
      </c>
      <c r="EX245" s="144">
        <v>-1835.1</v>
      </c>
      <c r="FD245" s="66">
        <v>2129.2800000000002</v>
      </c>
      <c r="FI245" s="66">
        <f t="shared" si="326"/>
        <v>0</v>
      </c>
      <c r="FJ245" s="66">
        <f t="shared" si="327"/>
        <v>0</v>
      </c>
      <c r="FK245" s="66">
        <f t="shared" si="328"/>
        <v>-14992.1</v>
      </c>
      <c r="FL245" s="173">
        <f t="shared" si="329"/>
        <v>2129.0000000000018</v>
      </c>
    </row>
    <row r="246" spans="1:169" hidden="1" outlineLevel="1" x14ac:dyDescent="0.2">
      <c r="A246" s="76" t="s">
        <v>230</v>
      </c>
      <c r="B246" s="77" t="s">
        <v>238</v>
      </c>
      <c r="C246" s="76" t="s">
        <v>232</v>
      </c>
      <c r="D246" s="76" t="s">
        <v>256</v>
      </c>
      <c r="E246" s="77" t="s">
        <v>213</v>
      </c>
      <c r="F246" s="77" t="s">
        <v>712</v>
      </c>
      <c r="G246" s="77" t="str">
        <f t="shared" si="330"/>
        <v>0</v>
      </c>
      <c r="H246" s="77" t="str">
        <f t="shared" si="331"/>
        <v>0</v>
      </c>
      <c r="I246" s="77" t="str">
        <f t="shared" si="332"/>
        <v>0</v>
      </c>
      <c r="J246" s="77" t="str">
        <f t="shared" si="333"/>
        <v>0</v>
      </c>
      <c r="K246" s="77" t="str">
        <f t="shared" si="334"/>
        <v>0000</v>
      </c>
      <c r="L246" s="77" t="str">
        <f>IFERROR(VLOOKUP(K246,Sheet2!$A$20:$B$23,2,FALSE),"X")</f>
        <v>X</v>
      </c>
      <c r="M246" s="77" t="str">
        <f t="shared" si="335"/>
        <v>10109445District Design and Led 18-21</v>
      </c>
      <c r="O246" s="76" t="s">
        <v>160</v>
      </c>
      <c r="P246" s="69" t="s">
        <v>168</v>
      </c>
      <c r="Q246" s="78"/>
      <c r="R246" s="78"/>
      <c r="AR246" s="79">
        <f>SUMIF($T$2:$AQ$2,$AR$2,$T246:$AQ246)</f>
        <v>0</v>
      </c>
      <c r="AS246" s="79">
        <f>SUMIF($T$2:$AQ$2,$AS$2,$T246:$AQ246)</f>
        <v>0</v>
      </c>
      <c r="AT246" s="79">
        <f t="shared" si="338"/>
        <v>0</v>
      </c>
      <c r="AU246" s="158" t="s">
        <v>336</v>
      </c>
      <c r="AV246" s="79"/>
      <c r="BV246" s="79">
        <f>SUMIF($AX$2:$BU$2,$BV$2,$AX246:$BU246)</f>
        <v>0</v>
      </c>
      <c r="BW246" s="79">
        <f>SUMIF($AX$2:$BU$2,$BW$2,$AX246:$BU246)</f>
        <v>0</v>
      </c>
      <c r="BX246" s="79">
        <f t="shared" si="341"/>
        <v>0</v>
      </c>
      <c r="BY246" s="158" t="s">
        <v>341</v>
      </c>
      <c r="DB246" s="79">
        <f>SUMIF($CD$2:$DA$2,$DB$2,$CD246:$DA246)</f>
        <v>0</v>
      </c>
      <c r="DC246" s="79">
        <f>SUMIF($CD$2:$DA$2,$DC$2,$CD246:$DA246)</f>
        <v>0</v>
      </c>
      <c r="DD246" s="79">
        <f>SUMIF($CD$2:$DA$2,$DD$2,$CD246:$DA246)</f>
        <v>0</v>
      </c>
      <c r="DE246" s="79">
        <f t="shared" si="345"/>
        <v>0</v>
      </c>
      <c r="DH246" s="103">
        <v>10600</v>
      </c>
      <c r="DP246" s="131"/>
      <c r="EC246" s="79">
        <v>-1797.93</v>
      </c>
      <c r="EJ246" s="79">
        <f>SUMIF($DK$2:$EI$2,$EJ$2,$DK246:$EI246)</f>
        <v>0</v>
      </c>
      <c r="EK246" s="79">
        <f t="shared" si="350"/>
        <v>-1797.93</v>
      </c>
      <c r="EL246" s="79">
        <f>SUMIF($DK$2:$EI$2,$EL$2,$DK246:$EI246)</f>
        <v>0</v>
      </c>
      <c r="EM246" s="79">
        <f t="shared" si="349"/>
        <v>8802.07</v>
      </c>
      <c r="ES246" s="144">
        <f>-(209.8+1435.05)</f>
        <v>-1644.85</v>
      </c>
      <c r="ET246" s="144">
        <v>-98.68</v>
      </c>
      <c r="FI246" s="66">
        <f t="shared" si="326"/>
        <v>0</v>
      </c>
      <c r="FJ246" s="66">
        <f t="shared" si="327"/>
        <v>0</v>
      </c>
      <c r="FK246" s="66">
        <f t="shared" si="328"/>
        <v>-1743.53</v>
      </c>
      <c r="FL246" s="173">
        <f t="shared" si="329"/>
        <v>7058.54</v>
      </c>
    </row>
    <row r="247" spans="1:169" hidden="1" outlineLevel="1" x14ac:dyDescent="0.2">
      <c r="A247" s="76" t="s">
        <v>230</v>
      </c>
      <c r="B247" s="76" t="s">
        <v>34</v>
      </c>
      <c r="C247" s="76" t="s">
        <v>232</v>
      </c>
      <c r="D247" s="76" t="s">
        <v>111</v>
      </c>
      <c r="E247" s="77" t="s">
        <v>213</v>
      </c>
      <c r="F247" s="77" t="s">
        <v>712</v>
      </c>
      <c r="G247" s="77" t="str">
        <f t="shared" si="330"/>
        <v>0</v>
      </c>
      <c r="H247" s="77" t="str">
        <f t="shared" si="331"/>
        <v>1</v>
      </c>
      <c r="I247" s="77" t="str">
        <f t="shared" si="332"/>
        <v>0</v>
      </c>
      <c r="J247" s="77" t="str">
        <f t="shared" si="333"/>
        <v>0</v>
      </c>
      <c r="K247" s="77" t="str">
        <f t="shared" si="334"/>
        <v>0100</v>
      </c>
      <c r="L247" s="77" t="str">
        <f>IFERROR(VLOOKUP(K247,Sheet2!$A$20:$B$23,2,FALSE),"X")</f>
        <v>02</v>
      </c>
      <c r="M247" s="77" t="str">
        <f t="shared" si="335"/>
        <v>1010N/ADistrict Design and Led 18-21</v>
      </c>
      <c r="O247" s="76" t="s">
        <v>160</v>
      </c>
      <c r="P247" s="69" t="s">
        <v>168</v>
      </c>
      <c r="Q247" s="78"/>
      <c r="R247" s="78"/>
      <c r="AR247" s="79">
        <f>SUMIF($T$2:$AQ$2,$AR$2,$T247:$AQ247)</f>
        <v>0</v>
      </c>
      <c r="AS247" s="79">
        <f>SUMIF($T$2:$AQ$2,$AS$2,$T247:$AQ247)</f>
        <v>0</v>
      </c>
      <c r="AT247" s="79">
        <f t="shared" si="338"/>
        <v>0</v>
      </c>
      <c r="AU247" s="158" t="s">
        <v>336</v>
      </c>
      <c r="AV247" s="79"/>
      <c r="AW247" s="79">
        <v>75604</v>
      </c>
      <c r="BP247" s="79">
        <v>-10770</v>
      </c>
      <c r="BR247" s="79">
        <v>-9500</v>
      </c>
      <c r="BT247" s="79">
        <v>-9500</v>
      </c>
      <c r="BV247" s="79">
        <f>SUMIF($AX$2:$BU$2,$BV$2,$AX247:$BU247)</f>
        <v>-29770</v>
      </c>
      <c r="BW247" s="79">
        <f>SUMIF($AX$2:$BU$2,$BW$2,$AX247:$BU247)</f>
        <v>0</v>
      </c>
      <c r="BX247" s="79">
        <f t="shared" si="341"/>
        <v>45834</v>
      </c>
      <c r="BY247" s="158" t="s">
        <v>341</v>
      </c>
      <c r="CA247" s="79">
        <v>118986</v>
      </c>
      <c r="CG247" s="79">
        <v>-27059</v>
      </c>
      <c r="CP247" s="79">
        <v>-43386.98</v>
      </c>
      <c r="CR247" s="79">
        <v>-1446.81</v>
      </c>
      <c r="CT247" s="79">
        <v>-12811.23</v>
      </c>
      <c r="CV247" s="79">
        <v>-4943.0200000000004</v>
      </c>
      <c r="CX247" s="79">
        <v>-6458.33</v>
      </c>
      <c r="CZ247" s="79">
        <v>-6528.1</v>
      </c>
      <c r="DB247" s="79">
        <f>SUMIF($CD$2:$DA$2,$DB$2,$CD247:$DA247)</f>
        <v>0</v>
      </c>
      <c r="DC247" s="79">
        <f>SUMIF($CD$2:$DA$2,$DC$2,$CD247:$DA247)</f>
        <v>-102633.47000000002</v>
      </c>
      <c r="DD247" s="79">
        <f>SUMIF($CD$2:$DA$2,$DD$2,$CD247:$DA247)</f>
        <v>0</v>
      </c>
      <c r="DE247" s="79">
        <f t="shared" si="345"/>
        <v>62186.529999999984</v>
      </c>
      <c r="DG247" s="79">
        <v>67161</v>
      </c>
      <c r="DM247" s="79">
        <v>-30292.97</v>
      </c>
      <c r="DP247" s="131"/>
      <c r="DQ247" s="79">
        <v>-736.06</v>
      </c>
      <c r="DS247" s="79">
        <v>-224.9</v>
      </c>
      <c r="DW247" s="79">
        <v>-924.79</v>
      </c>
      <c r="DY247" s="79">
        <v>-314.52999999999997</v>
      </c>
      <c r="EA247" s="79">
        <v>-725.56</v>
      </c>
      <c r="EC247" s="79">
        <v>-23778.05</v>
      </c>
      <c r="EE247" s="79">
        <v>-3362.93</v>
      </c>
      <c r="EI247" s="79">
        <v>-3868.95</v>
      </c>
      <c r="EJ247" s="79">
        <f>SUMIF($DK$2:$EI$2,$EJ$2,$DK247:$EI247)</f>
        <v>0</v>
      </c>
      <c r="EK247" s="79">
        <f t="shared" si="350"/>
        <v>-60359.79</v>
      </c>
      <c r="EL247" s="79">
        <f>SUMIF($DK$2:$EI$2,$EL$2,$DK247:$EI247)</f>
        <v>-3868.95</v>
      </c>
      <c r="EM247" s="79">
        <f t="shared" si="349"/>
        <v>65118.789999999986</v>
      </c>
      <c r="ES247" s="144">
        <v>-6062.99</v>
      </c>
      <c r="ET247" s="144">
        <v>-7976.63</v>
      </c>
      <c r="EU247" s="66">
        <v>-302.99</v>
      </c>
      <c r="EW247" s="144">
        <v>-585.04999999999995</v>
      </c>
      <c r="EX247" s="144">
        <v>-295.16000000000003</v>
      </c>
      <c r="EY247" s="144">
        <v>-1373.06</v>
      </c>
      <c r="FC247" s="66">
        <v>-1735.82</v>
      </c>
      <c r="FD247" s="66">
        <v>-2239.7199999999998</v>
      </c>
      <c r="FE247" s="312">
        <v>-2035.19</v>
      </c>
      <c r="FI247" s="66">
        <f t="shared" si="326"/>
        <v>0</v>
      </c>
      <c r="FJ247" s="66">
        <f t="shared" si="327"/>
        <v>0</v>
      </c>
      <c r="FK247" s="66">
        <f t="shared" si="328"/>
        <v>-22606.609999999997</v>
      </c>
      <c r="FL247" s="173">
        <f t="shared" si="329"/>
        <v>42512.179999999993</v>
      </c>
    </row>
    <row r="248" spans="1:169" hidden="1" outlineLevel="1" x14ac:dyDescent="0.2">
      <c r="A248" s="77" t="s">
        <v>445</v>
      </c>
      <c r="B248" s="76" t="s">
        <v>34</v>
      </c>
      <c r="C248" s="76" t="s">
        <v>446</v>
      </c>
      <c r="D248" s="76" t="s">
        <v>111</v>
      </c>
      <c r="E248" s="77" t="s">
        <v>213</v>
      </c>
      <c r="F248" s="77" t="s">
        <v>712</v>
      </c>
      <c r="G248" s="77" t="str">
        <f t="shared" si="330"/>
        <v>0</v>
      </c>
      <c r="H248" s="77" t="str">
        <f t="shared" si="331"/>
        <v>1</v>
      </c>
      <c r="I248" s="77" t="str">
        <f t="shared" si="332"/>
        <v>0</v>
      </c>
      <c r="J248" s="77" t="str">
        <f t="shared" si="333"/>
        <v>0</v>
      </c>
      <c r="K248" s="77" t="str">
        <f t="shared" si="334"/>
        <v>0100</v>
      </c>
      <c r="L248" s="77" t="str">
        <f>IFERROR(VLOOKUP(K248,Sheet2!$A$20:$B$23,2,FALSE),"X")</f>
        <v>02</v>
      </c>
      <c r="M248" s="77" t="str">
        <f t="shared" si="335"/>
        <v>1070N/ADistrict Design and Led 18-21</v>
      </c>
      <c r="N248" s="39"/>
      <c r="O248" s="76" t="s">
        <v>160</v>
      </c>
      <c r="P248" s="69" t="s">
        <v>168</v>
      </c>
      <c r="Q248" s="78"/>
      <c r="R248" s="78"/>
      <c r="AR248" s="79">
        <f>SUMIF($T$2:$AQ$2,$AR$2,$T248:$AQ248)</f>
        <v>0</v>
      </c>
      <c r="AS248" s="79">
        <f>SUMIF($T$2:$AQ$2,$AS$2,$T248:$AQ248)</f>
        <v>0</v>
      </c>
      <c r="AT248" s="79">
        <f t="shared" si="338"/>
        <v>0</v>
      </c>
      <c r="AU248" s="158" t="s">
        <v>336</v>
      </c>
      <c r="AV248" s="79"/>
      <c r="AW248" s="79">
        <v>118642</v>
      </c>
      <c r="BV248" s="79">
        <f>SUMIF($AX$2:$BU$2,$BV$2,$AX248:$BU248)</f>
        <v>0</v>
      </c>
      <c r="BW248" s="79">
        <f>SUMIF($AX$2:$BU$2,$BW$2,$AX248:$BU248)</f>
        <v>0</v>
      </c>
      <c r="BX248" s="79">
        <f t="shared" si="341"/>
        <v>118642</v>
      </c>
      <c r="DB248" s="79">
        <f>SUMIF($CD$2:$DA$2,$DB$2,$CD248:$DA248)</f>
        <v>0</v>
      </c>
      <c r="DC248" s="79">
        <f>SUMIF($CD$2:$DA$2,$DC$2,$CD248:$DA248)</f>
        <v>0</v>
      </c>
      <c r="DD248" s="79">
        <f>SUMIF($CD$2:$DA$2,$DD$2,$CD248:$DA248)</f>
        <v>0</v>
      </c>
      <c r="DE248" s="79">
        <f t="shared" si="345"/>
        <v>118642</v>
      </c>
      <c r="DP248" s="131"/>
      <c r="EA248" s="79">
        <v>-118642</v>
      </c>
      <c r="EJ248" s="79">
        <f>SUMIF($DK$2:$EI$2,$EJ$2,$DK248:$EI248)</f>
        <v>0</v>
      </c>
      <c r="EK248" s="79">
        <f t="shared" si="350"/>
        <v>-118642</v>
      </c>
      <c r="EL248" s="79">
        <f>SUMIF($DK$2:$EI$2,$EL$2,$DK248:$EI248)</f>
        <v>0</v>
      </c>
      <c r="EM248" s="79">
        <f t="shared" si="349"/>
        <v>0</v>
      </c>
      <c r="FI248" s="66">
        <f t="shared" si="326"/>
        <v>0</v>
      </c>
      <c r="FJ248" s="66">
        <f t="shared" si="327"/>
        <v>0</v>
      </c>
      <c r="FK248" s="66">
        <f t="shared" si="328"/>
        <v>0</v>
      </c>
      <c r="FL248" s="173">
        <f t="shared" si="329"/>
        <v>0</v>
      </c>
    </row>
    <row r="249" spans="1:169" hidden="1" outlineLevel="1" x14ac:dyDescent="0.2">
      <c r="A249" s="76" t="s">
        <v>24</v>
      </c>
      <c r="B249" s="76" t="s">
        <v>73</v>
      </c>
      <c r="C249" s="76" t="s">
        <v>102</v>
      </c>
      <c r="D249" s="76" t="s">
        <v>146</v>
      </c>
      <c r="E249" s="77" t="s">
        <v>211</v>
      </c>
      <c r="F249" s="77" t="s">
        <v>712</v>
      </c>
      <c r="G249" s="77" t="str">
        <f t="shared" si="330"/>
        <v>1</v>
      </c>
      <c r="H249" s="77" t="str">
        <f t="shared" si="331"/>
        <v>0</v>
      </c>
      <c r="I249" s="77" t="str">
        <f t="shared" si="332"/>
        <v>0</v>
      </c>
      <c r="J249" s="77" t="str">
        <f t="shared" si="333"/>
        <v>0</v>
      </c>
      <c r="K249" s="77" t="str">
        <f t="shared" si="334"/>
        <v>1000</v>
      </c>
      <c r="L249" s="77" t="str">
        <f>IFERROR(VLOOKUP(K249,Sheet2!$A$20:$B$23,2,FALSE),"X")</f>
        <v>01</v>
      </c>
      <c r="M249" s="77" t="str">
        <f t="shared" si="335"/>
        <v>11108791District Design and Led 17-20</v>
      </c>
      <c r="N249" s="76" t="s">
        <v>161</v>
      </c>
      <c r="O249" s="76" t="s">
        <v>160</v>
      </c>
      <c r="P249" s="69" t="s">
        <v>168</v>
      </c>
      <c r="Q249" s="78">
        <v>43173</v>
      </c>
      <c r="R249" s="78">
        <v>43173</v>
      </c>
      <c r="S249" s="79">
        <v>26400</v>
      </c>
      <c r="AR249" s="79">
        <f>SUMIF($T$2:$AQ$2,$AR$2,$T249:$AQ249)</f>
        <v>0</v>
      </c>
      <c r="AS249" s="79">
        <f>SUMIF($T$2:$AQ$2,$AS$2,$T249:$AQ249)</f>
        <v>0</v>
      </c>
      <c r="AT249" s="79">
        <f t="shared" si="338"/>
        <v>26400</v>
      </c>
      <c r="AU249" s="158" t="s">
        <v>161</v>
      </c>
      <c r="AV249" s="79">
        <v>25550</v>
      </c>
      <c r="AZ249" s="79">
        <v>-14419</v>
      </c>
      <c r="BV249" s="79">
        <f>SUMIF($AX$2:$BU$2,$BV$2,$AX249:$BU249)</f>
        <v>-14419</v>
      </c>
      <c r="BW249" s="79">
        <f>SUMIF($AX$2:$BU$2,$BW$2,$AX249:$BU249)</f>
        <v>0</v>
      </c>
      <c r="BX249" s="79">
        <f t="shared" si="341"/>
        <v>37531</v>
      </c>
      <c r="CD249" s="79">
        <v>-9600</v>
      </c>
      <c r="CF249" s="79">
        <v>-2381</v>
      </c>
      <c r="CG249" s="79">
        <v>-19</v>
      </c>
      <c r="DB249" s="79">
        <f>SUMIF($CD$2:$DA$2,$DB$2,$CD249:$DA249)</f>
        <v>-11981</v>
      </c>
      <c r="DC249" s="79">
        <f>SUMIF($CD$2:$DA$2,$DC$2,$CD249:$DA249)</f>
        <v>-19</v>
      </c>
      <c r="DD249" s="79">
        <f>SUMIF($CD$2:$DA$2,$DD$2,$CD249:$DA249)</f>
        <v>0</v>
      </c>
      <c r="DE249" s="79">
        <f t="shared" si="345"/>
        <v>25531</v>
      </c>
      <c r="DP249" s="131"/>
      <c r="EJ249" s="79">
        <f>SUMIF($DK$2:$EI$2,$EJ$2,$DK249:$EI249)</f>
        <v>0</v>
      </c>
      <c r="EK249" s="79">
        <f t="shared" si="350"/>
        <v>0</v>
      </c>
      <c r="EL249" s="79">
        <f>SUMIF($DK$2:$EI$2,$EL$2,$DK249:$EI249)</f>
        <v>0</v>
      </c>
      <c r="EM249" s="79">
        <f t="shared" si="349"/>
        <v>25531</v>
      </c>
      <c r="FI249" s="66">
        <f t="shared" si="326"/>
        <v>0</v>
      </c>
      <c r="FJ249" s="66">
        <f t="shared" si="327"/>
        <v>0</v>
      </c>
      <c r="FK249" s="66">
        <f t="shared" si="328"/>
        <v>0</v>
      </c>
      <c r="FL249" s="173">
        <f t="shared" si="329"/>
        <v>25531</v>
      </c>
    </row>
    <row r="250" spans="1:169" s="118" customFormat="1" hidden="1" outlineLevel="1" x14ac:dyDescent="0.2">
      <c r="A250" s="118" t="s">
        <v>639</v>
      </c>
      <c r="B250" s="118" t="s">
        <v>642</v>
      </c>
      <c r="C250" s="118" t="s">
        <v>663</v>
      </c>
      <c r="D250" s="118" t="s">
        <v>655</v>
      </c>
      <c r="E250" s="119" t="s">
        <v>456</v>
      </c>
      <c r="F250" s="119" t="s">
        <v>642</v>
      </c>
      <c r="G250" s="119" t="s">
        <v>663</v>
      </c>
      <c r="H250" s="119" t="s">
        <v>655</v>
      </c>
      <c r="I250" s="119" t="s">
        <v>202</v>
      </c>
      <c r="J250" s="119"/>
      <c r="K250" s="119"/>
      <c r="L250" s="119"/>
      <c r="M250" s="119" t="str">
        <f t="shared" si="335"/>
        <v>11405704District Design and Led 20-23</v>
      </c>
      <c r="O250" s="118" t="s">
        <v>160</v>
      </c>
      <c r="P250" s="120"/>
      <c r="Q250" s="121"/>
      <c r="R250" s="121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60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60"/>
      <c r="BZ250" s="122"/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2"/>
      <c r="CP250" s="122"/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2"/>
      <c r="DE250" s="122"/>
      <c r="DF250" s="160"/>
      <c r="DG250" s="122"/>
      <c r="DH250" s="122"/>
      <c r="DI250" s="122"/>
      <c r="DJ250" s="122">
        <v>28411</v>
      </c>
      <c r="DK250" s="122"/>
      <c r="DL250" s="122"/>
      <c r="DM250" s="122"/>
      <c r="DN250" s="122"/>
      <c r="DO250" s="122"/>
      <c r="DP250" s="122"/>
      <c r="DQ250" s="122"/>
      <c r="DR250" s="122"/>
      <c r="DS250" s="122"/>
      <c r="DT250" s="122"/>
      <c r="DU250" s="122"/>
      <c r="DV250" s="122"/>
      <c r="DW250" s="122"/>
      <c r="DX250" s="122"/>
      <c r="DY250" s="122"/>
      <c r="DZ250" s="122"/>
      <c r="EA250" s="122"/>
      <c r="EB250" s="122"/>
      <c r="EC250" s="122"/>
      <c r="ED250" s="122"/>
      <c r="EE250" s="122"/>
      <c r="EF250" s="122"/>
      <c r="EG250" s="131"/>
      <c r="EH250" s="122"/>
      <c r="EI250" s="122"/>
      <c r="EJ250" s="122"/>
      <c r="EK250" s="122">
        <f t="shared" si="350"/>
        <v>0</v>
      </c>
      <c r="EL250" s="122"/>
      <c r="EM250" s="122">
        <f t="shared" si="349"/>
        <v>28411</v>
      </c>
      <c r="EN250" s="122"/>
      <c r="EO250" s="122"/>
      <c r="EP250" s="122"/>
      <c r="EQ250" s="103">
        <v>50000</v>
      </c>
      <c r="ER250" s="122"/>
      <c r="ES250" s="126"/>
      <c r="ET250" s="126"/>
      <c r="EU250" s="126"/>
      <c r="EV250" s="66"/>
      <c r="EW250" s="126"/>
      <c r="EX250" s="126"/>
      <c r="EY250" s="126"/>
      <c r="EZ250" s="126"/>
      <c r="FA250" s="126"/>
      <c r="FB250" s="126"/>
      <c r="FC250" s="126"/>
      <c r="FD250" s="126"/>
      <c r="FE250" s="126"/>
      <c r="FF250" s="126"/>
      <c r="FG250" s="126"/>
      <c r="FH250" s="126"/>
      <c r="FI250" s="66">
        <f t="shared" si="326"/>
        <v>0</v>
      </c>
      <c r="FJ250" s="66">
        <f t="shared" si="327"/>
        <v>0</v>
      </c>
      <c r="FK250" s="66">
        <f t="shared" si="328"/>
        <v>0</v>
      </c>
      <c r="FL250" s="173">
        <f t="shared" si="329"/>
        <v>78411</v>
      </c>
      <c r="FM250" s="123"/>
    </row>
    <row r="251" spans="1:169" hidden="1" outlineLevel="1" x14ac:dyDescent="0.2">
      <c r="A251" s="76" t="s">
        <v>16</v>
      </c>
      <c r="B251" s="76" t="s">
        <v>34</v>
      </c>
      <c r="C251" s="76" t="s">
        <v>96</v>
      </c>
      <c r="D251" s="76" t="s">
        <v>111</v>
      </c>
      <c r="E251" s="77" t="s">
        <v>211</v>
      </c>
      <c r="F251" s="77" t="s">
        <v>712</v>
      </c>
      <c r="G251" s="77" t="str">
        <f t="shared" si="330"/>
        <v>1</v>
      </c>
      <c r="H251" s="77" t="str">
        <f t="shared" si="331"/>
        <v>0</v>
      </c>
      <c r="I251" s="77" t="str">
        <f t="shared" si="332"/>
        <v>0</v>
      </c>
      <c r="J251" s="77" t="str">
        <f t="shared" si="333"/>
        <v>0</v>
      </c>
      <c r="K251" s="77" t="str">
        <f t="shared" si="334"/>
        <v>1000</v>
      </c>
      <c r="L251" s="77" t="str">
        <f>IFERROR(VLOOKUP(K251,Sheet2!$A$20:$B$23,2,FALSE),"X")</f>
        <v>01</v>
      </c>
      <c r="M251" s="77" t="str">
        <f t="shared" si="335"/>
        <v>1180N/ADistrict Design and Led 17-20</v>
      </c>
      <c r="N251" s="76" t="s">
        <v>161</v>
      </c>
      <c r="O251" s="76" t="s">
        <v>160</v>
      </c>
      <c r="P251" s="69" t="s">
        <v>168</v>
      </c>
      <c r="Q251" s="78">
        <v>43168</v>
      </c>
      <c r="R251" s="78">
        <v>43168</v>
      </c>
      <c r="S251" s="79">
        <v>24563</v>
      </c>
      <c r="AR251" s="79">
        <f>SUMIF($T$2:$AQ$2,$AR$2,$T251:$AQ251)</f>
        <v>0</v>
      </c>
      <c r="AS251" s="79">
        <f>SUMIF($T$2:$AQ$2,$AS$2,$T251:$AQ251)</f>
        <v>0</v>
      </c>
      <c r="AT251" s="79">
        <f t="shared" si="338"/>
        <v>24563</v>
      </c>
      <c r="AU251" s="158" t="s">
        <v>161</v>
      </c>
      <c r="AV251" s="79">
        <v>12250</v>
      </c>
      <c r="BV251" s="79">
        <f>SUMIF($AX$2:$BU$2,$BV$2,$AX251:$BU251)</f>
        <v>0</v>
      </c>
      <c r="BW251" s="79">
        <f>SUMIF($AX$2:$BU$2,$BW$2,$AX251:$BU251)</f>
        <v>0</v>
      </c>
      <c r="BX251" s="79">
        <f t="shared" si="341"/>
        <v>36813</v>
      </c>
      <c r="BY251" s="158" t="s">
        <v>341</v>
      </c>
      <c r="BZ251" s="79">
        <v>9261</v>
      </c>
      <c r="DB251" s="79">
        <f>SUMIF($CD$2:$DA$2,$DB$2,$CD251:$DA251)</f>
        <v>0</v>
      </c>
      <c r="DC251" s="79">
        <f>SUMIF($CD$2:$DA$2,$DC$2,$CD251:$DA251)</f>
        <v>0</v>
      </c>
      <c r="DD251" s="79">
        <f>SUMIF($CD$2:$DA$2,$DD$2,$CD251:$DA251)</f>
        <v>0</v>
      </c>
      <c r="DE251" s="79">
        <f t="shared" si="345"/>
        <v>46074</v>
      </c>
      <c r="DP251" s="131"/>
      <c r="EJ251" s="79">
        <f>SUMIF($DK$2:$EI$2,$EJ$2,$DK251:$EI251)</f>
        <v>0</v>
      </c>
      <c r="EK251" s="79">
        <f t="shared" si="350"/>
        <v>0</v>
      </c>
      <c r="EL251" s="79">
        <f>SUMIF($DK$2:$EI$2,$EL$2,$DK251:$EI251)</f>
        <v>0</v>
      </c>
      <c r="EM251" s="79">
        <f t="shared" si="349"/>
        <v>46074</v>
      </c>
      <c r="FI251" s="66">
        <f t="shared" si="326"/>
        <v>0</v>
      </c>
      <c r="FJ251" s="66">
        <f t="shared" si="327"/>
        <v>0</v>
      </c>
      <c r="FK251" s="66">
        <f t="shared" si="328"/>
        <v>0</v>
      </c>
      <c r="FL251" s="173">
        <f t="shared" si="329"/>
        <v>46074</v>
      </c>
    </row>
    <row r="252" spans="1:169" s="118" customFormat="1" hidden="1" outlineLevel="1" x14ac:dyDescent="0.2">
      <c r="A252" s="118" t="s">
        <v>25</v>
      </c>
      <c r="B252" s="119" t="s">
        <v>34</v>
      </c>
      <c r="C252" s="118" t="s">
        <v>103</v>
      </c>
      <c r="D252" s="118" t="s">
        <v>111</v>
      </c>
      <c r="E252" s="119" t="s">
        <v>456</v>
      </c>
      <c r="F252" s="119"/>
      <c r="G252" s="119"/>
      <c r="H252" s="119"/>
      <c r="I252" s="119"/>
      <c r="J252" s="119"/>
      <c r="K252" s="119"/>
      <c r="L252" s="119"/>
      <c r="M252" s="119" t="str">
        <f t="shared" si="335"/>
        <v>1420N/ADistrict Design and Led 20-23</v>
      </c>
      <c r="O252" s="119"/>
      <c r="P252" s="120"/>
      <c r="Q252" s="121"/>
      <c r="R252" s="121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60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60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2"/>
      <c r="CT252" s="122"/>
      <c r="CU252" s="122"/>
      <c r="CV252" s="122"/>
      <c r="CW252" s="122"/>
      <c r="CX252" s="122"/>
      <c r="CY252" s="122"/>
      <c r="CZ252" s="122"/>
      <c r="DA252" s="122"/>
      <c r="DB252" s="122"/>
      <c r="DC252" s="122"/>
      <c r="DD252" s="122"/>
      <c r="DE252" s="122"/>
      <c r="DF252" s="160"/>
      <c r="DG252" s="122"/>
      <c r="DH252" s="122"/>
      <c r="DI252" s="122"/>
      <c r="DJ252" s="122"/>
      <c r="DK252" s="122"/>
      <c r="DL252" s="122"/>
      <c r="DM252" s="122"/>
      <c r="DN252" s="122"/>
      <c r="DO252" s="122"/>
      <c r="DP252" s="122"/>
      <c r="DQ252" s="122"/>
      <c r="DR252" s="122"/>
      <c r="DS252" s="122"/>
      <c r="DT252" s="122"/>
      <c r="DU252" s="122"/>
      <c r="DV252" s="122"/>
      <c r="DW252" s="122"/>
      <c r="DX252" s="122"/>
      <c r="DY252" s="122"/>
      <c r="DZ252" s="122"/>
      <c r="EA252" s="122"/>
      <c r="EB252" s="122"/>
      <c r="EC252" s="122"/>
      <c r="ED252" s="122"/>
      <c r="EE252" s="122"/>
      <c r="EF252" s="122"/>
      <c r="EG252" s="131"/>
      <c r="EH252" s="122"/>
      <c r="EI252" s="122"/>
      <c r="EJ252" s="122"/>
      <c r="EK252" s="122"/>
      <c r="EL252" s="122"/>
      <c r="EM252" s="122"/>
      <c r="EN252" s="122"/>
      <c r="EO252" s="122"/>
      <c r="EP252" s="122"/>
      <c r="EQ252" s="103">
        <v>88057</v>
      </c>
      <c r="ER252" s="122"/>
      <c r="ES252" s="126"/>
      <c r="ET252" s="126"/>
      <c r="EU252" s="126"/>
      <c r="EV252" s="6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126"/>
      <c r="FI252" s="66">
        <f t="shared" si="326"/>
        <v>0</v>
      </c>
      <c r="FJ252" s="66">
        <f t="shared" si="327"/>
        <v>0</v>
      </c>
      <c r="FK252" s="66">
        <f t="shared" si="328"/>
        <v>0</v>
      </c>
      <c r="FL252" s="173">
        <f t="shared" si="329"/>
        <v>88057</v>
      </c>
      <c r="FM252" s="123"/>
    </row>
    <row r="253" spans="1:169" hidden="1" outlineLevel="1" x14ac:dyDescent="0.2">
      <c r="A253" s="76" t="s">
        <v>25</v>
      </c>
      <c r="B253" s="76" t="s">
        <v>34</v>
      </c>
      <c r="C253" s="76" t="s">
        <v>103</v>
      </c>
      <c r="D253" s="76" t="s">
        <v>111</v>
      </c>
      <c r="E253" s="77" t="s">
        <v>211</v>
      </c>
      <c r="F253" s="77" t="s">
        <v>712</v>
      </c>
      <c r="G253" s="77" t="str">
        <f t="shared" si="330"/>
        <v>1</v>
      </c>
      <c r="H253" s="77" t="str">
        <f t="shared" si="331"/>
        <v>0</v>
      </c>
      <c r="I253" s="77" t="str">
        <f t="shared" si="332"/>
        <v>0</v>
      </c>
      <c r="J253" s="77" t="str">
        <f t="shared" si="333"/>
        <v>0</v>
      </c>
      <c r="K253" s="77" t="str">
        <f t="shared" si="334"/>
        <v>1000</v>
      </c>
      <c r="L253" s="77" t="str">
        <f>IFERROR(VLOOKUP(K253,Sheet2!$A$20:$B$23,2,FALSE),"X")</f>
        <v>01</v>
      </c>
      <c r="M253" s="77" t="str">
        <f t="shared" si="335"/>
        <v>1420N/ADistrict Design and Led 17-20</v>
      </c>
      <c r="N253" s="76" t="s">
        <v>161</v>
      </c>
      <c r="O253" s="76" t="s">
        <v>160</v>
      </c>
      <c r="P253" s="69" t="s">
        <v>168</v>
      </c>
      <c r="Q253" s="78">
        <v>43173</v>
      </c>
      <c r="R253" s="78">
        <v>43173</v>
      </c>
      <c r="S253" s="79">
        <v>672568</v>
      </c>
      <c r="AR253" s="79">
        <f>SUMIF($T$2:$AQ$2,$AR$2,$T253:$AQ253)</f>
        <v>0</v>
      </c>
      <c r="AS253" s="79">
        <f>SUMIF($T$2:$AQ$2,$AS$2,$T253:$AQ253)</f>
        <v>0</v>
      </c>
      <c r="AT253" s="79">
        <f t="shared" si="338"/>
        <v>672568</v>
      </c>
      <c r="AU253" s="158" t="s">
        <v>161</v>
      </c>
      <c r="AV253" s="79">
        <v>503586</v>
      </c>
      <c r="BF253" s="79">
        <v>-89713</v>
      </c>
      <c r="BH253" s="79">
        <v>-42819</v>
      </c>
      <c r="BJ253" s="79">
        <v>-45718</v>
      </c>
      <c r="BL253" s="79">
        <v>-38516</v>
      </c>
      <c r="BN253" s="79">
        <v>-57368</v>
      </c>
      <c r="BP253" s="79">
        <v>-63018</v>
      </c>
      <c r="BR253" s="79">
        <v>-234948</v>
      </c>
      <c r="BT253" s="79">
        <v>-70996</v>
      </c>
      <c r="BV253" s="79">
        <f>SUMIF($AX$2:$BU$2,$BV$2,$AX253:$BU253)</f>
        <v>-643096</v>
      </c>
      <c r="BW253" s="79">
        <f>SUMIF($AX$2:$BU$2,$BW$2,$AX253:$BU253)</f>
        <v>0</v>
      </c>
      <c r="BX253" s="79">
        <f t="shared" si="341"/>
        <v>533058</v>
      </c>
      <c r="BY253" s="158" t="s">
        <v>341</v>
      </c>
      <c r="BZ253" s="79">
        <v>522118</v>
      </c>
      <c r="CD253" s="79">
        <v>-113861</v>
      </c>
      <c r="CL253" s="79">
        <v>-239109.94</v>
      </c>
      <c r="CN253" s="79">
        <v>-69935.789999999994</v>
      </c>
      <c r="CP253" s="79">
        <v>-269475.26999999996</v>
      </c>
      <c r="CT253" s="79">
        <f>-83953.28-41353.25-100500.72-19010.81</f>
        <v>-244818.06</v>
      </c>
      <c r="CV253" s="79">
        <v>-69986.63</v>
      </c>
      <c r="CX253" s="79">
        <v>-47989.31</v>
      </c>
      <c r="DB253" s="79">
        <f>SUMIF($CD$2:$DA$2,$DB$2,$CD253:$DA253)</f>
        <v>-113861</v>
      </c>
      <c r="DC253" s="79">
        <f>SUMIF($CD$2:$DA$2,$DC$2,$CD253:$DA253)</f>
        <v>-941315</v>
      </c>
      <c r="DD253" s="79">
        <f>SUMIF($CD$2:$DA$2,$DD$2,$CD253:$DA253)</f>
        <v>0</v>
      </c>
      <c r="DE253" s="79">
        <f t="shared" si="345"/>
        <v>0</v>
      </c>
      <c r="DP253" s="131"/>
      <c r="EJ253" s="79">
        <f>SUMIF($DK$2:$EI$2,$EJ$2,$DK253:$EI253)</f>
        <v>0</v>
      </c>
      <c r="EK253" s="79">
        <f>SUMIF($DK$2:$EI$2,$EK$2,$DK253:$EI253)</f>
        <v>0</v>
      </c>
      <c r="EL253" s="79">
        <f>SUMIF($DK$2:$EI$2,$EL$2,$DK253:$EI253)</f>
        <v>0</v>
      </c>
      <c r="EM253" s="79">
        <f t="shared" si="349"/>
        <v>0</v>
      </c>
      <c r="FI253" s="66">
        <f t="shared" si="326"/>
        <v>0</v>
      </c>
      <c r="FJ253" s="66">
        <f t="shared" si="327"/>
        <v>0</v>
      </c>
      <c r="FK253" s="66">
        <f t="shared" si="328"/>
        <v>0</v>
      </c>
      <c r="FL253" s="173">
        <f t="shared" si="329"/>
        <v>0</v>
      </c>
    </row>
    <row r="254" spans="1:169" hidden="1" outlineLevel="1" x14ac:dyDescent="0.2">
      <c r="A254" s="76" t="s">
        <v>25</v>
      </c>
      <c r="B254" s="76" t="s">
        <v>34</v>
      </c>
      <c r="C254" s="76" t="s">
        <v>103</v>
      </c>
      <c r="D254" s="76" t="s">
        <v>111</v>
      </c>
      <c r="E254" s="77" t="s">
        <v>213</v>
      </c>
      <c r="F254" s="77" t="s">
        <v>712</v>
      </c>
      <c r="G254" s="77" t="str">
        <f t="shared" si="330"/>
        <v>0</v>
      </c>
      <c r="H254" s="77" t="str">
        <f t="shared" si="331"/>
        <v>1</v>
      </c>
      <c r="I254" s="77" t="str">
        <f t="shared" si="332"/>
        <v>0</v>
      </c>
      <c r="J254" s="77" t="str">
        <f t="shared" si="333"/>
        <v>0</v>
      </c>
      <c r="K254" s="77" t="str">
        <f t="shared" si="334"/>
        <v>0100</v>
      </c>
      <c r="L254" s="77" t="str">
        <f>IFERROR(VLOOKUP(K254,Sheet2!$A$20:$B$23,2,FALSE),"X")</f>
        <v>02</v>
      </c>
      <c r="M254" s="77" t="str">
        <f t="shared" si="335"/>
        <v>1420N/ADistrict Design and Led 18-21</v>
      </c>
      <c r="O254" s="76" t="s">
        <v>160</v>
      </c>
      <c r="P254" s="69" t="s">
        <v>168</v>
      </c>
      <c r="Q254" s="78"/>
      <c r="R254" s="78"/>
      <c r="AR254" s="79">
        <f>SUMIF($T$2:$AQ$2,$AR$2,$T254:$AQ254)</f>
        <v>0</v>
      </c>
      <c r="AS254" s="79">
        <f>SUMIF($T$2:$AQ$2,$AS$2,$T254:$AQ254)</f>
        <v>0</v>
      </c>
      <c r="AT254" s="79">
        <f t="shared" si="338"/>
        <v>0</v>
      </c>
      <c r="AU254" s="158" t="s">
        <v>336</v>
      </c>
      <c r="AV254" s="79"/>
      <c r="AW254" s="79">
        <v>184454</v>
      </c>
      <c r="BV254" s="79">
        <f>SUMIF($AX$2:$BU$2,$BV$2,$AX254:$BU254)</f>
        <v>0</v>
      </c>
      <c r="BW254" s="79">
        <f>SUMIF($AX$2:$BU$2,$BW$2,$AX254:$BU254)</f>
        <v>0</v>
      </c>
      <c r="BX254" s="79">
        <f t="shared" si="341"/>
        <v>184454</v>
      </c>
      <c r="BY254" s="158" t="s">
        <v>341</v>
      </c>
      <c r="CA254" s="79">
        <v>547261</v>
      </c>
      <c r="CX254" s="79">
        <v>-39949.08</v>
      </c>
      <c r="CZ254" s="79">
        <v>-92380.22</v>
      </c>
      <c r="DB254" s="79">
        <f>SUMIF($CD$2:$DA$2,$DB$2,$CD254:$DA254)</f>
        <v>0</v>
      </c>
      <c r="DC254" s="79">
        <f>SUMIF($CD$2:$DA$2,$DC$2,$CD254:$DA254)</f>
        <v>-132329.29999999999</v>
      </c>
      <c r="DD254" s="79">
        <f>SUMIF($CD$2:$DA$2,$DD$2,$CD254:$DA254)</f>
        <v>0</v>
      </c>
      <c r="DE254" s="79">
        <f t="shared" si="345"/>
        <v>599385.69999999995</v>
      </c>
      <c r="DG254" s="79">
        <v>968926.63470000005</v>
      </c>
      <c r="DK254" s="79">
        <f>-57653.93-25390.32</f>
        <v>-83044.25</v>
      </c>
      <c r="DP254" s="131">
        <v>-153547.45000000001</v>
      </c>
      <c r="DR254" s="79">
        <v>-224555.03</v>
      </c>
      <c r="DW254" s="79">
        <v>-5118.29</v>
      </c>
      <c r="DY254" s="79">
        <v>-40437.300000000003</v>
      </c>
      <c r="EA254" s="79">
        <v>-78483.740000000005</v>
      </c>
      <c r="EC254" s="79">
        <v>-112824.47</v>
      </c>
      <c r="EE254" s="79">
        <v>-116272.16</v>
      </c>
      <c r="EF254" s="79">
        <v>224555.03</v>
      </c>
      <c r="EG254" s="131">
        <f>-EF254</f>
        <v>-224555.03</v>
      </c>
      <c r="EI254" s="79">
        <v>-46375.94</v>
      </c>
      <c r="EJ254" s="79">
        <f>SUMIF($DK$2:$EI$2,$EJ$2,$DK254:$EI254)</f>
        <v>-378102.48</v>
      </c>
      <c r="EK254" s="79">
        <f>SUMIF($DK$2:$EI$2,$EK$2,$DK254:$EI254)</f>
        <v>-436180.21000000008</v>
      </c>
      <c r="EL254" s="79">
        <f>SUMIF($DK$2:$EI$2,$EL$2,$DK254:$EI254)</f>
        <v>-46375.94</v>
      </c>
      <c r="EM254" s="79">
        <f t="shared" si="349"/>
        <v>707653.70469999989</v>
      </c>
      <c r="ES254" s="144">
        <f>-74665.37</f>
        <v>-74665.37</v>
      </c>
      <c r="EU254" s="66">
        <v>-104517.77</v>
      </c>
      <c r="EX254" s="144">
        <v>-89926.45</v>
      </c>
      <c r="EY254" s="144">
        <v>-33499.1</v>
      </c>
      <c r="FD254" s="66">
        <v>-53137.8</v>
      </c>
      <c r="FE254" s="312">
        <v>-26570.1</v>
      </c>
      <c r="FI254" s="66">
        <f t="shared" si="326"/>
        <v>0</v>
      </c>
      <c r="FJ254" s="66">
        <f t="shared" si="327"/>
        <v>0</v>
      </c>
      <c r="FK254" s="66">
        <f t="shared" si="328"/>
        <v>-382316.58999999997</v>
      </c>
      <c r="FL254" s="173">
        <f t="shared" si="329"/>
        <v>325337.11469999992</v>
      </c>
    </row>
    <row r="255" spans="1:169" hidden="1" outlineLevel="1" x14ac:dyDescent="0.2">
      <c r="A255" s="76" t="s">
        <v>399</v>
      </c>
      <c r="B255" s="76" t="s">
        <v>34</v>
      </c>
      <c r="C255" s="76" t="s">
        <v>609</v>
      </c>
      <c r="D255" s="76" t="s">
        <v>111</v>
      </c>
      <c r="E255" s="77" t="s">
        <v>213</v>
      </c>
      <c r="F255" s="77" t="s">
        <v>712</v>
      </c>
      <c r="G255" s="77" t="str">
        <f t="shared" si="330"/>
        <v>0</v>
      </c>
      <c r="H255" s="77" t="str">
        <f t="shared" si="331"/>
        <v>1</v>
      </c>
      <c r="I255" s="77" t="str">
        <f t="shared" si="332"/>
        <v>0</v>
      </c>
      <c r="J255" s="77" t="str">
        <f t="shared" si="333"/>
        <v>0</v>
      </c>
      <c r="K255" s="77" t="str">
        <f t="shared" si="334"/>
        <v>0100</v>
      </c>
      <c r="L255" s="77" t="str">
        <f>IFERROR(VLOOKUP(K255,Sheet2!$A$20:$B$23,2,FALSE),"X")</f>
        <v>02</v>
      </c>
      <c r="M255" s="77" t="str">
        <f t="shared" si="335"/>
        <v>1510N/ADistrict Design and Led 18-21</v>
      </c>
      <c r="O255" s="76" t="s">
        <v>160</v>
      </c>
      <c r="P255" s="69" t="s">
        <v>168</v>
      </c>
      <c r="Q255" s="78"/>
      <c r="R255" s="78"/>
      <c r="AR255" s="79">
        <f>SUMIF($T$2:$AQ$2,$AR$2,$T255:$AQ255)</f>
        <v>0</v>
      </c>
      <c r="AS255" s="79">
        <f>SUMIF($T$2:$AQ$2,$AS$2,$T255:$AQ255)</f>
        <v>0</v>
      </c>
      <c r="AT255" s="79">
        <f t="shared" si="338"/>
        <v>0</v>
      </c>
      <c r="AU255" s="158" t="s">
        <v>336</v>
      </c>
      <c r="AV255" s="79"/>
      <c r="AW255" s="79">
        <v>79283</v>
      </c>
      <c r="BV255" s="79">
        <f>SUMIF($AX$2:$BU$2,$BV$2,$AX255:$BU255)</f>
        <v>0</v>
      </c>
      <c r="BW255" s="79">
        <f>SUMIF($AX$2:$BU$2,$BW$2,$AX255:$BU255)</f>
        <v>0</v>
      </c>
      <c r="BX255" s="79">
        <f t="shared" si="341"/>
        <v>79283</v>
      </c>
      <c r="BY255" s="158" t="s">
        <v>341</v>
      </c>
      <c r="CA255" s="79">
        <v>147757</v>
      </c>
      <c r="CH255" s="79">
        <v>-19424</v>
      </c>
      <c r="CN255" s="79">
        <v>-66159</v>
      </c>
      <c r="CT255" s="79">
        <v>-52235</v>
      </c>
      <c r="DB255" s="79">
        <f>SUMIF($CD$2:$DA$2,$DB$2,$CD255:$DA255)</f>
        <v>0</v>
      </c>
      <c r="DC255" s="79">
        <f>SUMIF($CD$2:$DA$2,$DC$2,$CD255:$DA255)</f>
        <v>-137818</v>
      </c>
      <c r="DD255" s="79">
        <f>SUMIF($CD$2:$DA$2,$DD$2,$CD255:$DA255)</f>
        <v>0</v>
      </c>
      <c r="DE255" s="79">
        <f t="shared" si="345"/>
        <v>89222</v>
      </c>
      <c r="DG255" s="42">
        <v>158850</v>
      </c>
      <c r="DP255" s="131">
        <f>-78354-4371.12</f>
        <v>-82725.119999999995</v>
      </c>
      <c r="DW255" s="79">
        <v>-6496.88</v>
      </c>
      <c r="DY255" s="79">
        <f>-(12924.25+51572.63)</f>
        <v>-64496.88</v>
      </c>
      <c r="EA255" s="79">
        <v>-12880.53</v>
      </c>
      <c r="EC255" s="79">
        <v>-13230.22</v>
      </c>
      <c r="EE255" s="79">
        <v>-12880.53</v>
      </c>
      <c r="EI255" s="79">
        <v>-45014.6</v>
      </c>
      <c r="EJ255" s="79">
        <f>SUMIF($DK$2:$EI$2,$EJ$2,$DK255:$EI255)</f>
        <v>-82725.119999999995</v>
      </c>
      <c r="EK255" s="79">
        <f>SUMIF($DK$2:$EI$2,$EK$2,$DK255:$EI255)</f>
        <v>-109985.04</v>
      </c>
      <c r="EL255" s="79">
        <f>SUMIF($DK$2:$EI$2,$EL$2,$DK255:$EI255)</f>
        <v>-45014.6</v>
      </c>
      <c r="EM255" s="79">
        <f t="shared" si="349"/>
        <v>10347.24000000002</v>
      </c>
      <c r="EU255" s="66">
        <v>-10347.24</v>
      </c>
      <c r="FI255" s="66">
        <f t="shared" si="326"/>
        <v>0</v>
      </c>
      <c r="FJ255" s="66">
        <f t="shared" si="327"/>
        <v>0</v>
      </c>
      <c r="FK255" s="66">
        <f t="shared" si="328"/>
        <v>-10347.24</v>
      </c>
      <c r="FL255" s="173">
        <f t="shared" si="329"/>
        <v>2.0008883439004421E-11</v>
      </c>
    </row>
    <row r="256" spans="1:169" hidden="1" outlineLevel="1" x14ac:dyDescent="0.2">
      <c r="A256" s="76" t="s">
        <v>17</v>
      </c>
      <c r="B256" s="76" t="s">
        <v>40</v>
      </c>
      <c r="C256" s="76" t="s">
        <v>97</v>
      </c>
      <c r="D256" s="76" t="s">
        <v>116</v>
      </c>
      <c r="E256" s="77" t="s">
        <v>213</v>
      </c>
      <c r="F256" s="77" t="s">
        <v>712</v>
      </c>
      <c r="G256" s="77" t="str">
        <f t="shared" si="330"/>
        <v>0</v>
      </c>
      <c r="H256" s="77" t="str">
        <f t="shared" si="331"/>
        <v>1</v>
      </c>
      <c r="I256" s="77" t="str">
        <f t="shared" si="332"/>
        <v>0</v>
      </c>
      <c r="J256" s="77" t="str">
        <f t="shared" si="333"/>
        <v>0</v>
      </c>
      <c r="K256" s="77" t="str">
        <f t="shared" si="334"/>
        <v>0100</v>
      </c>
      <c r="L256" s="77" t="str">
        <f>IFERROR(VLOOKUP(K256,Sheet2!$A$20:$B$23,2,FALSE),"X")</f>
        <v>02</v>
      </c>
      <c r="M256" s="77" t="str">
        <f t="shared" si="335"/>
        <v>15203571District Design and Led 18-21</v>
      </c>
      <c r="O256" s="76" t="s">
        <v>160</v>
      </c>
      <c r="P256" s="69" t="s">
        <v>168</v>
      </c>
      <c r="Q256" s="78"/>
      <c r="R256" s="78"/>
      <c r="AR256" s="79">
        <f>SUMIF($T$2:$AQ$2,$AR$2,$T256:$AQ256)</f>
        <v>0</v>
      </c>
      <c r="AS256" s="79">
        <f>SUMIF($T$2:$AQ$2,$AS$2,$T256:$AQ256)</f>
        <v>0</v>
      </c>
      <c r="AT256" s="79">
        <f t="shared" si="338"/>
        <v>0</v>
      </c>
      <c r="AU256" s="158" t="s">
        <v>336</v>
      </c>
      <c r="AV256" s="79"/>
      <c r="AW256" s="79">
        <v>22493</v>
      </c>
      <c r="BR256" s="79">
        <v>-1539</v>
      </c>
      <c r="BT256" s="79">
        <v>-20695</v>
      </c>
      <c r="BV256" s="79">
        <f>SUMIF($AX$2:$BU$2,$BV$2,$AX256:$BU256)</f>
        <v>-22234</v>
      </c>
      <c r="BW256" s="79">
        <f>SUMIF($AX$2:$BU$2,$BW$2,$AX256:$BU256)</f>
        <v>0</v>
      </c>
      <c r="BX256" s="79">
        <f t="shared" si="341"/>
        <v>259</v>
      </c>
      <c r="BY256" s="158" t="s">
        <v>341</v>
      </c>
      <c r="CA256" s="79">
        <v>46645</v>
      </c>
      <c r="CT256" s="79">
        <f>-259-28425.03</f>
        <v>-28684.03</v>
      </c>
      <c r="DB256" s="79">
        <f>SUMIF($CD$2:$DA$2,$DB$2,$CD256:$DA256)</f>
        <v>0</v>
      </c>
      <c r="DC256" s="79">
        <f>SUMIF($CD$2:$DA$2,$DC$2,$CD256:$DA256)</f>
        <v>-28684.03</v>
      </c>
      <c r="DD256" s="79">
        <f>SUMIF($CD$2:$DA$2,$DD$2,$CD256:$DA256)</f>
        <v>0</v>
      </c>
      <c r="DE256" s="79">
        <f t="shared" si="345"/>
        <v>18219.97</v>
      </c>
      <c r="DG256" s="79">
        <v>51220</v>
      </c>
      <c r="DP256" s="131"/>
      <c r="DQ256" s="79">
        <v>-15508.46</v>
      </c>
      <c r="EJ256" s="79">
        <f>SUMIF($DK$2:$EI$2,$EJ$2,$DK256:$EI256)</f>
        <v>0</v>
      </c>
      <c r="EK256" s="79">
        <f>SUMIF($DK$2:$EI$2,$EK$2,$DK256:$EI256)</f>
        <v>-15508.46</v>
      </c>
      <c r="EL256" s="79">
        <f>SUMIF($DK$2:$EI$2,$EL$2,$DK256:$EI256)</f>
        <v>0</v>
      </c>
      <c r="EM256" s="79">
        <f t="shared" si="349"/>
        <v>53931.51</v>
      </c>
      <c r="FI256" s="66">
        <f t="shared" si="326"/>
        <v>0</v>
      </c>
      <c r="FJ256" s="66">
        <f t="shared" si="327"/>
        <v>0</v>
      </c>
      <c r="FK256" s="66">
        <f t="shared" si="328"/>
        <v>0</v>
      </c>
      <c r="FL256" s="173">
        <f t="shared" si="329"/>
        <v>53931.51</v>
      </c>
    </row>
    <row r="257" spans="1:169" s="118" customFormat="1" hidden="1" outlineLevel="1" x14ac:dyDescent="0.2">
      <c r="A257" s="118" t="s">
        <v>752</v>
      </c>
      <c r="B257" s="118" t="s">
        <v>756</v>
      </c>
      <c r="C257" s="118" t="s">
        <v>753</v>
      </c>
      <c r="D257" s="118" t="s">
        <v>754</v>
      </c>
      <c r="E257" s="119" t="s">
        <v>456</v>
      </c>
      <c r="F257" s="119"/>
      <c r="G257" s="119"/>
      <c r="H257" s="119"/>
      <c r="I257" s="119"/>
      <c r="J257" s="119"/>
      <c r="K257" s="119"/>
      <c r="L257" s="119"/>
      <c r="M257" s="119" t="str">
        <f t="shared" si="335"/>
        <v>15300632District Design and Led 20-23</v>
      </c>
      <c r="O257" s="118" t="s">
        <v>160</v>
      </c>
      <c r="P257" s="120"/>
      <c r="Q257" s="121"/>
      <c r="R257" s="121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60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60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2"/>
      <c r="DE257" s="122"/>
      <c r="DF257" s="160"/>
      <c r="DG257" s="122"/>
      <c r="DH257" s="122"/>
      <c r="DI257" s="122"/>
      <c r="DJ257" s="122">
        <v>25000</v>
      </c>
      <c r="DK257" s="122"/>
      <c r="DL257" s="122"/>
      <c r="DM257" s="122"/>
      <c r="DN257" s="122"/>
      <c r="DO257" s="122"/>
      <c r="DP257" s="122"/>
      <c r="DQ257" s="122"/>
      <c r="DR257" s="122"/>
      <c r="DS257" s="122"/>
      <c r="DT257" s="122"/>
      <c r="DU257" s="122"/>
      <c r="DV257" s="122"/>
      <c r="DW257" s="122"/>
      <c r="DX257" s="122"/>
      <c r="DY257" s="122"/>
      <c r="DZ257" s="122"/>
      <c r="EA257" s="122"/>
      <c r="EB257" s="122"/>
      <c r="EC257" s="122"/>
      <c r="ED257" s="122"/>
      <c r="EE257" s="122"/>
      <c r="EF257" s="122"/>
      <c r="EG257" s="131"/>
      <c r="EH257" s="122"/>
      <c r="EI257" s="122"/>
      <c r="EJ257" s="122"/>
      <c r="EK257" s="122"/>
      <c r="EL257" s="122"/>
      <c r="EM257" s="122">
        <f t="shared" si="349"/>
        <v>25000</v>
      </c>
      <c r="EN257" s="122"/>
      <c r="EO257" s="122"/>
      <c r="EP257" s="122"/>
      <c r="EQ257" s="103">
        <v>25000</v>
      </c>
      <c r="ER257" s="122"/>
      <c r="ES257" s="126"/>
      <c r="ET257" s="126"/>
      <c r="EU257" s="126"/>
      <c r="EV257" s="66"/>
      <c r="EW257" s="126"/>
      <c r="EX257" s="144">
        <v>-20728.97</v>
      </c>
      <c r="EY257" s="126"/>
      <c r="EZ257" s="126"/>
      <c r="FA257" s="126"/>
      <c r="FB257" s="126"/>
      <c r="FC257" s="126"/>
      <c r="FD257" s="126"/>
      <c r="FE257" s="126"/>
      <c r="FF257" s="126"/>
      <c r="FG257" s="126"/>
      <c r="FH257" s="126"/>
      <c r="FI257" s="66">
        <f t="shared" si="326"/>
        <v>0</v>
      </c>
      <c r="FJ257" s="66">
        <f t="shared" si="327"/>
        <v>0</v>
      </c>
      <c r="FK257" s="66">
        <f t="shared" si="328"/>
        <v>-20728.97</v>
      </c>
      <c r="FL257" s="173">
        <f t="shared" si="329"/>
        <v>29271.03</v>
      </c>
      <c r="FM257" s="123"/>
    </row>
    <row r="258" spans="1:169" hidden="1" outlineLevel="1" x14ac:dyDescent="0.2">
      <c r="A258" s="89" t="s">
        <v>26</v>
      </c>
      <c r="B258" s="89" t="s">
        <v>75</v>
      </c>
      <c r="C258" s="88" t="s">
        <v>104</v>
      </c>
      <c r="D258" s="88" t="s">
        <v>148</v>
      </c>
      <c r="E258" s="89" t="s">
        <v>214</v>
      </c>
      <c r="F258" s="89" t="s">
        <v>712</v>
      </c>
      <c r="G258" s="77" t="str">
        <f t="shared" si="330"/>
        <v>0</v>
      </c>
      <c r="H258" s="77" t="str">
        <f t="shared" si="331"/>
        <v>0</v>
      </c>
      <c r="I258" s="77" t="str">
        <f t="shared" si="332"/>
        <v>0</v>
      </c>
      <c r="J258" s="77" t="str">
        <f t="shared" si="333"/>
        <v>0</v>
      </c>
      <c r="K258" s="77" t="str">
        <f t="shared" si="334"/>
        <v>0000</v>
      </c>
      <c r="L258" s="77" t="str">
        <f>IFERROR(VLOOKUP(K258,Sheet2!$A$20:$B$23,2,FALSE),"X")</f>
        <v>X</v>
      </c>
      <c r="M258" s="77" t="str">
        <f t="shared" si="335"/>
        <v>15404252District Design and Led 19-22</v>
      </c>
      <c r="N258" s="88"/>
      <c r="O258" s="88" t="s">
        <v>160</v>
      </c>
      <c r="P258" s="90" t="s">
        <v>168</v>
      </c>
      <c r="Q258" s="91"/>
      <c r="R258" s="91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>
        <f>SUMIF($T$2:$AQ$2,$AR$2,$T258:$AQ258)</f>
        <v>0</v>
      </c>
      <c r="AS258" s="92">
        <f>SUMIF($T$2:$AQ$2,$AS$2,$T258:$AQ258)</f>
        <v>0</v>
      </c>
      <c r="AT258" s="92">
        <f t="shared" si="338"/>
        <v>0</v>
      </c>
      <c r="AU258" s="161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>
        <f>SUMIF($AX$2:$BU$2,$BV$2,$AX258:$BU258)</f>
        <v>0</v>
      </c>
      <c r="BW258" s="92">
        <f>SUMIF($AX$2:$BU$2,$BW$2,$AX258:$BU258)</f>
        <v>0</v>
      </c>
      <c r="BX258" s="92">
        <f t="shared" si="341"/>
        <v>0</v>
      </c>
      <c r="BY258" s="161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>
        <f>SUMIF($CD$2:$DA$2,$DB$2,$CD258:$DA258)</f>
        <v>0</v>
      </c>
      <c r="DC258" s="92">
        <f>SUMIF($CD$2:$DA$2,$DC$2,$CD258:$DA258)</f>
        <v>0</v>
      </c>
      <c r="DD258" s="92">
        <f>SUMIF($CD$2:$DA$2,$DD$2,$CD258:$DA258)</f>
        <v>0</v>
      </c>
      <c r="DE258" s="92">
        <f t="shared" si="345"/>
        <v>0</v>
      </c>
      <c r="DH258" s="103">
        <v>82875</v>
      </c>
      <c r="DP258" s="131"/>
      <c r="DY258" s="79">
        <v>-38283</v>
      </c>
      <c r="EI258" s="79">
        <v>-44592</v>
      </c>
      <c r="EJ258" s="79">
        <f>SUMIF($DK$2:$EI$2,$EJ$2,$DK258:$EI258)</f>
        <v>0</v>
      </c>
      <c r="EK258" s="79">
        <f>SUMIF($DK$2:$EI$2,$EK$2,$DK258:$EI258)</f>
        <v>-38283</v>
      </c>
      <c r="EL258" s="79">
        <f>SUMIF($DK$2:$EI$2,$EL$2,$DK258:$EI258)</f>
        <v>-44592</v>
      </c>
      <c r="EM258" s="79">
        <f t="shared" si="349"/>
        <v>0</v>
      </c>
      <c r="EP258" s="103">
        <v>82875</v>
      </c>
      <c r="EX258" s="66">
        <v>-6779.44</v>
      </c>
      <c r="FI258" s="66">
        <f t="shared" ref="FI258:FI289" si="351">SUMIF($ES$2:$FH$2,$FI$2,$ES258:$FH258)</f>
        <v>0</v>
      </c>
      <c r="FJ258" s="66">
        <f t="shared" ref="FJ258:FJ289" si="352">SUMIF($ES$2:$FH$2,$FJ$2,$ES258:$FH258)</f>
        <v>0</v>
      </c>
      <c r="FK258" s="66">
        <f t="shared" ref="FK258:FK289" si="353">SUMIF($ES$2:$FH$2,$FK$2,$ES258:$FH258)</f>
        <v>-6779.44</v>
      </c>
      <c r="FL258" s="173">
        <f t="shared" ref="FL258:FL289" si="354">EM258+EO258+EP258+EQ258+(FK258+FI258+FJ258)</f>
        <v>76095.56</v>
      </c>
    </row>
    <row r="259" spans="1:169" hidden="1" outlineLevel="1" x14ac:dyDescent="0.2">
      <c r="A259" s="76" t="s">
        <v>27</v>
      </c>
      <c r="B259" s="76" t="s">
        <v>76</v>
      </c>
      <c r="C259" s="76" t="s">
        <v>105</v>
      </c>
      <c r="D259" s="76" t="s">
        <v>149</v>
      </c>
      <c r="E259" s="77" t="s">
        <v>211</v>
      </c>
      <c r="F259" s="77" t="s">
        <v>712</v>
      </c>
      <c r="G259" s="77" t="str">
        <f t="shared" si="330"/>
        <v>1</v>
      </c>
      <c r="H259" s="77" t="str">
        <f t="shared" si="331"/>
        <v>0</v>
      </c>
      <c r="I259" s="77" t="str">
        <f t="shared" si="332"/>
        <v>0</v>
      </c>
      <c r="J259" s="77" t="str">
        <f t="shared" si="333"/>
        <v>0</v>
      </c>
      <c r="K259" s="77" t="str">
        <f t="shared" si="334"/>
        <v>1000</v>
      </c>
      <c r="L259" s="77" t="str">
        <f>IFERROR(VLOOKUP(K259,Sheet2!$A$20:$B$23,2,FALSE),"X")</f>
        <v>01</v>
      </c>
      <c r="M259" s="77" t="str">
        <f t="shared" si="335"/>
        <v>15500612District Design and Led 17-20</v>
      </c>
      <c r="N259" s="76" t="s">
        <v>161</v>
      </c>
      <c r="O259" s="76" t="s">
        <v>160</v>
      </c>
      <c r="P259" s="69" t="s">
        <v>168</v>
      </c>
      <c r="Q259" s="78">
        <v>43173</v>
      </c>
      <c r="R259" s="78">
        <v>43173</v>
      </c>
      <c r="S259" s="79">
        <v>48559</v>
      </c>
      <c r="AR259" s="79">
        <f>SUMIF($T$2:$AQ$2,$AR$2,$T259:$AQ259)</f>
        <v>0</v>
      </c>
      <c r="AS259" s="79">
        <f>SUMIF($T$2:$AQ$2,$AS$2,$T259:$AQ259)</f>
        <v>0</v>
      </c>
      <c r="AT259" s="79">
        <f t="shared" si="338"/>
        <v>48559</v>
      </c>
      <c r="AU259" s="158" t="s">
        <v>161</v>
      </c>
      <c r="AV259" s="79">
        <v>48286</v>
      </c>
      <c r="AX259" s="79">
        <v>-18280</v>
      </c>
      <c r="BD259" s="79">
        <v>-4434</v>
      </c>
      <c r="BL259" s="79">
        <v>-9710</v>
      </c>
      <c r="BP259" s="79">
        <v>-7454</v>
      </c>
      <c r="BV259" s="79">
        <f>SUMIF($AX$2:$BU$2,$BV$2,$AX259:$BU259)</f>
        <v>-39878</v>
      </c>
      <c r="BW259" s="79">
        <f>SUMIF($AX$2:$BU$2,$BW$2,$AX259:$BU259)</f>
        <v>0</v>
      </c>
      <c r="BX259" s="79">
        <f t="shared" si="341"/>
        <v>56967</v>
      </c>
      <c r="BY259" s="158" t="s">
        <v>341</v>
      </c>
      <c r="BZ259" s="79">
        <v>61738</v>
      </c>
      <c r="CD259" s="79">
        <v>-20388</v>
      </c>
      <c r="CJ259" s="79">
        <v>-6011.5</v>
      </c>
      <c r="CP259" s="79">
        <v>-10164.709999999999</v>
      </c>
      <c r="CV259" s="79">
        <v>-2492.5</v>
      </c>
      <c r="CZ259" s="79">
        <v>-10080</v>
      </c>
      <c r="DB259" s="79">
        <f>SUMIF($CD$2:$DA$2,$DB$2,$CD259:$DA259)</f>
        <v>-20388</v>
      </c>
      <c r="DC259" s="79">
        <f>SUMIF($CD$2:$DA$2,$DC$2,$CD259:$DA259)</f>
        <v>-28748.71</v>
      </c>
      <c r="DD259" s="79">
        <f>SUMIF($CD$2:$DA$2,$DD$2,$CD259:$DA259)</f>
        <v>0</v>
      </c>
      <c r="DE259" s="79">
        <f t="shared" si="345"/>
        <v>69568.290000000008</v>
      </c>
      <c r="DK259" s="79">
        <f>-8077.84-4012.13</f>
        <v>-12089.970000000001</v>
      </c>
      <c r="DP259" s="131"/>
      <c r="DQ259" s="79">
        <f>-14830-709.39</f>
        <v>-15539.39</v>
      </c>
      <c r="DW259" s="79">
        <v>-1906.19</v>
      </c>
      <c r="EC259" s="79">
        <v>-8920.58</v>
      </c>
      <c r="EI259" s="79">
        <v>-10058.6</v>
      </c>
      <c r="EJ259" s="79">
        <f>SUMIF($DK$2:$EI$2,$EJ$2,$DK259:$EI259)</f>
        <v>0</v>
      </c>
      <c r="EK259" s="79">
        <f>SUMIF($DK$2:$EI$2,$EK$2,$DK259:$EI259)</f>
        <v>-38456.129999999997</v>
      </c>
      <c r="EL259" s="79">
        <f>SUMIF($DK$2:$EI$2,$EL$2,$DK259:$EI259)</f>
        <v>-10058.6</v>
      </c>
      <c r="EM259" s="79">
        <f t="shared" si="349"/>
        <v>21053.560000000012</v>
      </c>
      <c r="ES259" s="66">
        <v>-3489.94</v>
      </c>
      <c r="EW259" s="144">
        <v>-3489.94</v>
      </c>
      <c r="FI259" s="66">
        <f t="shared" si="351"/>
        <v>0</v>
      </c>
      <c r="FJ259" s="66">
        <f t="shared" si="352"/>
        <v>0</v>
      </c>
      <c r="FK259" s="66">
        <f t="shared" si="353"/>
        <v>-6979.88</v>
      </c>
      <c r="FL259" s="173">
        <f t="shared" si="354"/>
        <v>14073.680000000011</v>
      </c>
    </row>
    <row r="260" spans="1:169" hidden="1" outlineLevel="1" x14ac:dyDescent="0.2">
      <c r="A260" s="76" t="s">
        <v>27</v>
      </c>
      <c r="B260" s="76" t="s">
        <v>77</v>
      </c>
      <c r="C260" s="76" t="s">
        <v>105</v>
      </c>
      <c r="D260" s="76" t="s">
        <v>150</v>
      </c>
      <c r="E260" s="77" t="s">
        <v>211</v>
      </c>
      <c r="F260" s="77" t="s">
        <v>712</v>
      </c>
      <c r="G260" s="77" t="str">
        <f t="shared" si="330"/>
        <v>1</v>
      </c>
      <c r="H260" s="77" t="str">
        <f t="shared" si="331"/>
        <v>0</v>
      </c>
      <c r="I260" s="77" t="str">
        <f t="shared" si="332"/>
        <v>0</v>
      </c>
      <c r="J260" s="77" t="str">
        <f t="shared" si="333"/>
        <v>0</v>
      </c>
      <c r="K260" s="77" t="str">
        <f t="shared" si="334"/>
        <v>1000</v>
      </c>
      <c r="L260" s="77" t="str">
        <f>IFERROR(VLOOKUP(K260,Sheet2!$A$20:$B$23,2,FALSE),"X")</f>
        <v>01</v>
      </c>
      <c r="M260" s="77" t="str">
        <f t="shared" si="335"/>
        <v>15500678District Design and Led 17-20</v>
      </c>
      <c r="N260" s="76" t="s">
        <v>161</v>
      </c>
      <c r="O260" s="76" t="s">
        <v>160</v>
      </c>
      <c r="P260" s="69" t="s">
        <v>168</v>
      </c>
      <c r="Q260" s="78">
        <v>43173</v>
      </c>
      <c r="R260" s="78">
        <v>43173</v>
      </c>
      <c r="S260" s="79">
        <v>45071</v>
      </c>
      <c r="AR260" s="79">
        <f>SUMIF($T$2:$AQ$2,$AR$2,$T260:$AQ260)</f>
        <v>0</v>
      </c>
      <c r="AS260" s="79">
        <f>SUMIF($T$2:$AQ$2,$AS$2,$T260:$AQ260)</f>
        <v>0</v>
      </c>
      <c r="AT260" s="79">
        <f t="shared" si="338"/>
        <v>45071</v>
      </c>
      <c r="AU260" s="158" t="s">
        <v>161</v>
      </c>
      <c r="AV260" s="79">
        <v>48103</v>
      </c>
      <c r="AX260" s="79">
        <v>-6413</v>
      </c>
      <c r="BD260" s="79">
        <v>-2449</v>
      </c>
      <c r="BL260" s="79">
        <v>-17620</v>
      </c>
      <c r="BP260" s="79">
        <v>-16615</v>
      </c>
      <c r="BT260" s="79">
        <v>-7113</v>
      </c>
      <c r="BV260" s="79">
        <f>SUMIF($AX$2:$BU$2,$BV$2,$AX260:$BU260)</f>
        <v>-50210</v>
      </c>
      <c r="BW260" s="79">
        <f>SUMIF($AX$2:$BU$2,$BW$2,$AX260:$BU260)</f>
        <v>0</v>
      </c>
      <c r="BX260" s="79">
        <f t="shared" si="341"/>
        <v>42964</v>
      </c>
      <c r="BY260" s="158" t="s">
        <v>341</v>
      </c>
      <c r="BZ260" s="79">
        <v>46929</v>
      </c>
      <c r="CD260" s="79">
        <v>-2410</v>
      </c>
      <c r="CJ260" s="79">
        <v>-4021.03</v>
      </c>
      <c r="CN260" s="79">
        <v>-2284.2799999999997</v>
      </c>
      <c r="CP260" s="79">
        <v>-23901.51</v>
      </c>
      <c r="CV260" s="79">
        <f>-10347.63-11164.38</f>
        <v>-21512.01</v>
      </c>
      <c r="CZ260" s="79">
        <v>-12616.94</v>
      </c>
      <c r="DB260" s="79">
        <f>SUMIF($CD$2:$DA$2,$DB$2,$CD260:$DA260)</f>
        <v>-2410</v>
      </c>
      <c r="DC260" s="79">
        <f>SUMIF($CD$2:$DA$2,$DC$2,$CD260:$DA260)</f>
        <v>-64335.770000000004</v>
      </c>
      <c r="DD260" s="79">
        <f>SUMIF($CD$2:$DA$2,$DD$2,$CD260:$DA260)</f>
        <v>0</v>
      </c>
      <c r="DE260" s="79">
        <f t="shared" si="345"/>
        <v>23147.229999999996</v>
      </c>
      <c r="DK260" s="79">
        <v>-3995.08</v>
      </c>
      <c r="DP260" s="131"/>
      <c r="DQ260" s="79">
        <f>-11559.64-122.72</f>
        <v>-11682.359999999999</v>
      </c>
      <c r="DW260" s="79">
        <v>-1933.52</v>
      </c>
      <c r="EC260" s="79">
        <v>-1793.46</v>
      </c>
      <c r="EI260" s="79">
        <v>-1195.6400000000001</v>
      </c>
      <c r="EJ260" s="79">
        <f>SUMIF($DK$2:$EI$2,$EJ$2,$DK260:$EI260)</f>
        <v>0</v>
      </c>
      <c r="EK260" s="79">
        <f>SUMIF($DK$2:$EI$2,$EK$2,$DK260:$EI260)</f>
        <v>-19404.419999999998</v>
      </c>
      <c r="EL260" s="79">
        <f>SUMIF($DK$2:$EI$2,$EL$2,$DK260:$EI260)</f>
        <v>-1195.6400000000001</v>
      </c>
      <c r="EM260" s="79">
        <f t="shared" si="349"/>
        <v>2547.1699999999983</v>
      </c>
      <c r="ES260" s="66">
        <v>-597.82000000000005</v>
      </c>
      <c r="EW260" s="144">
        <v>-597.82000000000005</v>
      </c>
      <c r="FI260" s="66">
        <f t="shared" si="351"/>
        <v>0</v>
      </c>
      <c r="FJ260" s="66">
        <f t="shared" si="352"/>
        <v>0</v>
      </c>
      <c r="FK260" s="66">
        <f t="shared" si="353"/>
        <v>-1195.6400000000001</v>
      </c>
      <c r="FL260" s="173">
        <f t="shared" si="354"/>
        <v>1351.5299999999982</v>
      </c>
    </row>
    <row r="261" spans="1:169" s="118" customFormat="1" hidden="1" outlineLevel="1" x14ac:dyDescent="0.2">
      <c r="A261" s="118" t="s">
        <v>27</v>
      </c>
      <c r="B261" s="118" t="s">
        <v>778</v>
      </c>
      <c r="C261" s="118" t="s">
        <v>105</v>
      </c>
      <c r="D261" s="118" t="s">
        <v>779</v>
      </c>
      <c r="E261" s="119" t="s">
        <v>456</v>
      </c>
      <c r="F261" s="119"/>
      <c r="G261" s="119"/>
      <c r="H261" s="119"/>
      <c r="I261" s="119"/>
      <c r="J261" s="119"/>
      <c r="K261" s="119"/>
      <c r="L261" s="119"/>
      <c r="M261" s="119" t="str">
        <f t="shared" ref="M261" si="355">A261&amp;B261&amp;E261</f>
        <v>15504282District Design and Led 20-23</v>
      </c>
      <c r="O261" s="118" t="s">
        <v>160</v>
      </c>
      <c r="P261" s="120"/>
      <c r="Q261" s="121"/>
      <c r="R261" s="121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60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  <c r="BH261" s="122"/>
      <c r="BI261" s="122"/>
      <c r="BJ261" s="122"/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22"/>
      <c r="BU261" s="122"/>
      <c r="BV261" s="122"/>
      <c r="BW261" s="122"/>
      <c r="BX261" s="122"/>
      <c r="BY261" s="160"/>
      <c r="BZ261" s="122"/>
      <c r="CA261" s="122"/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2"/>
      <c r="CP261" s="122"/>
      <c r="CQ261" s="122"/>
      <c r="CR261" s="122"/>
      <c r="CS261" s="122"/>
      <c r="CT261" s="122"/>
      <c r="CU261" s="122"/>
      <c r="CV261" s="122"/>
      <c r="CW261" s="122"/>
      <c r="CX261" s="122"/>
      <c r="CY261" s="122"/>
      <c r="CZ261" s="122"/>
      <c r="DA261" s="122"/>
      <c r="DB261" s="122"/>
      <c r="DC261" s="122"/>
      <c r="DD261" s="122"/>
      <c r="DE261" s="122"/>
      <c r="DF261" s="160"/>
      <c r="DG261" s="122"/>
      <c r="DH261" s="122"/>
      <c r="DI261" s="122"/>
      <c r="DJ261" s="122">
        <v>25000</v>
      </c>
      <c r="DK261" s="122"/>
      <c r="DL261" s="122"/>
      <c r="DM261" s="122"/>
      <c r="DN261" s="122"/>
      <c r="DO261" s="122"/>
      <c r="DP261" s="122"/>
      <c r="DQ261" s="122"/>
      <c r="DR261" s="122"/>
      <c r="DS261" s="122"/>
      <c r="DT261" s="122"/>
      <c r="DU261" s="122"/>
      <c r="DV261" s="122"/>
      <c r="DW261" s="122"/>
      <c r="DX261" s="122"/>
      <c r="DY261" s="122"/>
      <c r="DZ261" s="122"/>
      <c r="EA261" s="122"/>
      <c r="EB261" s="122"/>
      <c r="EC261" s="122"/>
      <c r="ED261" s="122"/>
      <c r="EE261" s="122"/>
      <c r="EF261" s="122"/>
      <c r="EG261" s="131"/>
      <c r="EH261" s="122"/>
      <c r="EI261" s="122"/>
      <c r="EJ261" s="122"/>
      <c r="EK261" s="122"/>
      <c r="EL261" s="122"/>
      <c r="EM261" s="122">
        <f t="shared" ref="EM261" si="356">DE261+DH261+DG261+DJ261+(EJ261+EK261+EL261)</f>
        <v>25000</v>
      </c>
      <c r="EN261" s="122"/>
      <c r="EO261" s="122"/>
      <c r="EP261" s="122"/>
      <c r="EQ261" s="122"/>
      <c r="ER261" s="122"/>
      <c r="ES261" s="126"/>
      <c r="ET261" s="126"/>
      <c r="EU261" s="126"/>
      <c r="EV261" s="66"/>
      <c r="EW261" s="144"/>
      <c r="EX261" s="126"/>
      <c r="EY261" s="126"/>
      <c r="EZ261" s="126"/>
      <c r="FA261" s="126"/>
      <c r="FB261" s="126"/>
      <c r="FC261" s="224">
        <v>-10000</v>
      </c>
      <c r="FD261" s="126"/>
      <c r="FE261" s="126"/>
      <c r="FF261" s="126"/>
      <c r="FG261" s="126"/>
      <c r="FH261" s="126"/>
      <c r="FI261" s="66">
        <f t="shared" si="351"/>
        <v>0</v>
      </c>
      <c r="FJ261" s="66">
        <f t="shared" si="352"/>
        <v>0</v>
      </c>
      <c r="FK261" s="66">
        <f t="shared" si="353"/>
        <v>-10000</v>
      </c>
      <c r="FL261" s="173">
        <f t="shared" si="354"/>
        <v>15000</v>
      </c>
      <c r="FM261" s="123"/>
    </row>
    <row r="262" spans="1:169" hidden="1" outlineLevel="1" x14ac:dyDescent="0.2">
      <c r="A262" s="76" t="s">
        <v>27</v>
      </c>
      <c r="B262" s="76" t="s">
        <v>78</v>
      </c>
      <c r="C262" s="76" t="s">
        <v>105</v>
      </c>
      <c r="D262" s="76" t="s">
        <v>151</v>
      </c>
      <c r="E262" s="77" t="s">
        <v>211</v>
      </c>
      <c r="F262" s="77" t="s">
        <v>712</v>
      </c>
      <c r="G262" s="77" t="str">
        <f t="shared" si="330"/>
        <v>1</v>
      </c>
      <c r="H262" s="77" t="str">
        <f t="shared" si="331"/>
        <v>0</v>
      </c>
      <c r="I262" s="77" t="str">
        <f t="shared" si="332"/>
        <v>0</v>
      </c>
      <c r="J262" s="77" t="str">
        <f t="shared" si="333"/>
        <v>0</v>
      </c>
      <c r="K262" s="77" t="str">
        <f t="shared" si="334"/>
        <v>1000</v>
      </c>
      <c r="L262" s="77" t="str">
        <f>IFERROR(VLOOKUP(K262,Sheet2!$A$20:$B$23,2,FALSE),"X")</f>
        <v>01</v>
      </c>
      <c r="M262" s="77" t="str">
        <f t="shared" si="335"/>
        <v>15503760District Design and Led 17-20</v>
      </c>
      <c r="N262" s="76" t="s">
        <v>161</v>
      </c>
      <c r="O262" s="76" t="s">
        <v>160</v>
      </c>
      <c r="P262" s="69" t="s">
        <v>168</v>
      </c>
      <c r="Q262" s="78">
        <v>43173</v>
      </c>
      <c r="R262" s="78">
        <v>43173</v>
      </c>
      <c r="S262" s="79">
        <v>34841</v>
      </c>
      <c r="AR262" s="79">
        <f t="shared" ref="AR262:AR271" si="357">SUMIF($T$2:$AQ$2,$AR$2,$T262:$AQ262)</f>
        <v>0</v>
      </c>
      <c r="AS262" s="79">
        <f t="shared" ref="AS262:AS271" si="358">SUMIF($T$2:$AQ$2,$AS$2,$T262:$AQ262)</f>
        <v>0</v>
      </c>
      <c r="AT262" s="79">
        <f t="shared" si="338"/>
        <v>34841</v>
      </c>
      <c r="AU262" s="158" t="s">
        <v>161</v>
      </c>
      <c r="AV262" s="79">
        <v>35628</v>
      </c>
      <c r="AX262" s="79">
        <v>-356</v>
      </c>
      <c r="BD262" s="79">
        <v>0</v>
      </c>
      <c r="BV262" s="79">
        <f t="shared" ref="BV262:BV271" si="359">SUMIF($AX$2:$BU$2,$BV$2,$AX262:$BU262)</f>
        <v>-356</v>
      </c>
      <c r="BW262" s="79">
        <f t="shared" ref="BW262:BW271" si="360">SUMIF($AX$2:$BU$2,$BW$2,$AX262:$BU262)</f>
        <v>0</v>
      </c>
      <c r="BX262" s="79">
        <f t="shared" si="341"/>
        <v>70113</v>
      </c>
      <c r="BY262" s="158" t="s">
        <v>341</v>
      </c>
      <c r="BZ262" s="79">
        <v>-64432</v>
      </c>
      <c r="CP262" s="79">
        <v>-3145.77</v>
      </c>
      <c r="DB262" s="79">
        <f t="shared" ref="DB262:DB271" si="361">SUMIF($CD$2:$DA$2,$DB$2,$CD262:$DA262)</f>
        <v>0</v>
      </c>
      <c r="DC262" s="79">
        <f t="shared" ref="DC262:DC271" si="362">SUMIF($CD$2:$DA$2,$DC$2,$CD262:$DA262)</f>
        <v>-3145.77</v>
      </c>
      <c r="DD262" s="79">
        <f t="shared" ref="DD262:DD271" si="363">SUMIF($CD$2:$DA$2,$DD$2,$CD262:$DA262)</f>
        <v>0</v>
      </c>
      <c r="DE262" s="79">
        <f t="shared" si="345"/>
        <v>2535.23</v>
      </c>
      <c r="DP262" s="131"/>
      <c r="EJ262" s="79">
        <f t="shared" ref="EJ262:EJ271" si="364">SUMIF($DK$2:$EI$2,$EJ$2,$DK262:$EI262)</f>
        <v>0</v>
      </c>
      <c r="EK262" s="79">
        <f t="shared" ref="EK262:EK271" si="365">SUMIF($DK$2:$EI$2,$EK$2,$DK262:$EI262)</f>
        <v>0</v>
      </c>
      <c r="EL262" s="79">
        <f t="shared" ref="EL262:EL271" si="366">SUMIF($DK$2:$EI$2,$EL$2,$DK262:$EI262)</f>
        <v>0</v>
      </c>
      <c r="EM262" s="79">
        <f t="shared" si="349"/>
        <v>2535.23</v>
      </c>
      <c r="EW262" s="144"/>
      <c r="FI262" s="66">
        <f t="shared" si="351"/>
        <v>0</v>
      </c>
      <c r="FJ262" s="66">
        <f t="shared" si="352"/>
        <v>0</v>
      </c>
      <c r="FK262" s="66">
        <f t="shared" si="353"/>
        <v>0</v>
      </c>
      <c r="FL262" s="173">
        <f t="shared" si="354"/>
        <v>2535.23</v>
      </c>
    </row>
    <row r="263" spans="1:169" hidden="1" outlineLevel="1" x14ac:dyDescent="0.2">
      <c r="A263" s="76" t="s">
        <v>27</v>
      </c>
      <c r="B263" s="76" t="s">
        <v>79</v>
      </c>
      <c r="C263" s="76" t="s">
        <v>105</v>
      </c>
      <c r="D263" s="76" t="s">
        <v>152</v>
      </c>
      <c r="E263" s="77" t="s">
        <v>211</v>
      </c>
      <c r="F263" s="77" t="s">
        <v>712</v>
      </c>
      <c r="G263" s="77" t="str">
        <f t="shared" si="330"/>
        <v>1</v>
      </c>
      <c r="H263" s="77" t="str">
        <f t="shared" si="331"/>
        <v>0</v>
      </c>
      <c r="I263" s="77" t="str">
        <f t="shared" si="332"/>
        <v>0</v>
      </c>
      <c r="J263" s="77" t="str">
        <f t="shared" si="333"/>
        <v>0</v>
      </c>
      <c r="K263" s="77" t="str">
        <f t="shared" si="334"/>
        <v>1000</v>
      </c>
      <c r="L263" s="77" t="str">
        <f>IFERROR(VLOOKUP(K263,Sheet2!$A$20:$B$23,2,FALSE),"X")</f>
        <v>01</v>
      </c>
      <c r="M263" s="77" t="str">
        <f t="shared" si="335"/>
        <v>15505068District Design and Led 17-20</v>
      </c>
      <c r="N263" s="76" t="s">
        <v>161</v>
      </c>
      <c r="O263" s="76" t="s">
        <v>160</v>
      </c>
      <c r="P263" s="69" t="s">
        <v>168</v>
      </c>
      <c r="Q263" s="78">
        <v>43173</v>
      </c>
      <c r="R263" s="78">
        <v>43173</v>
      </c>
      <c r="S263" s="79">
        <v>46861</v>
      </c>
      <c r="AR263" s="79">
        <f t="shared" si="357"/>
        <v>0</v>
      </c>
      <c r="AS263" s="79">
        <f t="shared" si="358"/>
        <v>0</v>
      </c>
      <c r="AT263" s="79">
        <f t="shared" si="338"/>
        <v>46861</v>
      </c>
      <c r="AU263" s="158" t="s">
        <v>161</v>
      </c>
      <c r="AV263" s="79">
        <v>23115</v>
      </c>
      <c r="AX263" s="79">
        <v>-19944</v>
      </c>
      <c r="BD263" s="79">
        <v>-99</v>
      </c>
      <c r="BH263" s="79">
        <v>198</v>
      </c>
      <c r="BL263" s="79">
        <v>-14850</v>
      </c>
      <c r="BP263" s="79">
        <v>-4912</v>
      </c>
      <c r="BT263" s="79">
        <v>-3104</v>
      </c>
      <c r="BV263" s="79">
        <f t="shared" si="359"/>
        <v>-42711</v>
      </c>
      <c r="BW263" s="79">
        <f t="shared" si="360"/>
        <v>0</v>
      </c>
      <c r="BX263" s="79">
        <f t="shared" si="341"/>
        <v>27265</v>
      </c>
      <c r="BY263" s="158" t="s">
        <v>341</v>
      </c>
      <c r="BZ263" s="79">
        <v>45486</v>
      </c>
      <c r="CD263" s="79">
        <v>-1552</v>
      </c>
      <c r="CJ263" s="79">
        <v>-5761.6</v>
      </c>
      <c r="CN263" s="79">
        <v>-1554.64</v>
      </c>
      <c r="CP263" s="79">
        <v>-6533.04</v>
      </c>
      <c r="CV263" s="79">
        <v>-6815.01</v>
      </c>
      <c r="CZ263" s="79">
        <f>-4850.71-2459.01</f>
        <v>-7309.72</v>
      </c>
      <c r="DB263" s="79">
        <f t="shared" si="361"/>
        <v>-1552</v>
      </c>
      <c r="DC263" s="79">
        <f t="shared" si="362"/>
        <v>-27974.010000000002</v>
      </c>
      <c r="DD263" s="79">
        <f t="shared" si="363"/>
        <v>0</v>
      </c>
      <c r="DE263" s="79">
        <f t="shared" si="345"/>
        <v>43224.99</v>
      </c>
      <c r="DK263" s="79">
        <v>-1272.97</v>
      </c>
      <c r="DP263" s="131"/>
      <c r="DQ263" s="79">
        <f>-1277.74-9463.8</f>
        <v>-10741.539999999999</v>
      </c>
      <c r="DW263" s="79">
        <v>-14703.66</v>
      </c>
      <c r="EC263" s="79">
        <v>-4371.6400000000003</v>
      </c>
      <c r="EI263" s="79">
        <v>-3577.1</v>
      </c>
      <c r="EJ263" s="79">
        <f t="shared" si="364"/>
        <v>0</v>
      </c>
      <c r="EK263" s="79">
        <f t="shared" si="365"/>
        <v>-31089.809999999998</v>
      </c>
      <c r="EL263" s="79">
        <f t="shared" si="366"/>
        <v>-3577.1</v>
      </c>
      <c r="EM263" s="79">
        <f t="shared" si="349"/>
        <v>8558.0800000000017</v>
      </c>
      <c r="ES263" s="66">
        <v>-1788.57</v>
      </c>
      <c r="EW263" s="144">
        <v>-1788.56</v>
      </c>
      <c r="FI263" s="66">
        <f t="shared" si="351"/>
        <v>0</v>
      </c>
      <c r="FJ263" s="66">
        <f t="shared" si="352"/>
        <v>0</v>
      </c>
      <c r="FK263" s="66">
        <f t="shared" si="353"/>
        <v>-3577.13</v>
      </c>
      <c r="FL263" s="173">
        <f t="shared" si="354"/>
        <v>4980.9500000000016</v>
      </c>
    </row>
    <row r="264" spans="1:169" hidden="1" outlineLevel="1" x14ac:dyDescent="0.2">
      <c r="A264" s="76" t="s">
        <v>27</v>
      </c>
      <c r="B264" s="76" t="s">
        <v>80</v>
      </c>
      <c r="C264" s="76" t="s">
        <v>105</v>
      </c>
      <c r="D264" s="76" t="s">
        <v>205</v>
      </c>
      <c r="E264" s="77" t="s">
        <v>211</v>
      </c>
      <c r="F264" s="77" t="s">
        <v>712</v>
      </c>
      <c r="G264" s="77" t="str">
        <f t="shared" si="330"/>
        <v>1</v>
      </c>
      <c r="H264" s="77" t="str">
        <f t="shared" si="331"/>
        <v>0</v>
      </c>
      <c r="I264" s="77" t="str">
        <f t="shared" si="332"/>
        <v>0</v>
      </c>
      <c r="J264" s="77" t="str">
        <f t="shared" si="333"/>
        <v>0</v>
      </c>
      <c r="K264" s="77" t="str">
        <f t="shared" si="334"/>
        <v>1000</v>
      </c>
      <c r="L264" s="77" t="str">
        <f>IFERROR(VLOOKUP(K264,Sheet2!$A$20:$B$23,2,FALSE),"X")</f>
        <v>01</v>
      </c>
      <c r="M264" s="77" t="str">
        <f t="shared" si="335"/>
        <v>15507127District Design and Led 17-20</v>
      </c>
      <c r="N264" s="76" t="s">
        <v>161</v>
      </c>
      <c r="O264" s="76" t="s">
        <v>160</v>
      </c>
      <c r="P264" s="69" t="s">
        <v>168</v>
      </c>
      <c r="Q264" s="78">
        <v>43173</v>
      </c>
      <c r="R264" s="78">
        <v>43173</v>
      </c>
      <c r="S264" s="79">
        <v>38420</v>
      </c>
      <c r="AR264" s="79">
        <f t="shared" si="357"/>
        <v>0</v>
      </c>
      <c r="AS264" s="79">
        <f t="shared" si="358"/>
        <v>0</v>
      </c>
      <c r="AT264" s="79">
        <f t="shared" si="338"/>
        <v>38420</v>
      </c>
      <c r="AU264" s="158" t="s">
        <v>161</v>
      </c>
      <c r="AV264" s="79">
        <v>43420</v>
      </c>
      <c r="AX264" s="79">
        <v>-4727</v>
      </c>
      <c r="BD264" s="79">
        <v>-2000</v>
      </c>
      <c r="BL264" s="79">
        <v>-25291</v>
      </c>
      <c r="BP264" s="79">
        <v>-15581</v>
      </c>
      <c r="BT264" s="79">
        <v>-10387</v>
      </c>
      <c r="BV264" s="79">
        <f t="shared" si="359"/>
        <v>-57986</v>
      </c>
      <c r="BW264" s="79">
        <f t="shared" si="360"/>
        <v>0</v>
      </c>
      <c r="BX264" s="79">
        <f t="shared" si="341"/>
        <v>23854</v>
      </c>
      <c r="BY264" s="158" t="s">
        <v>341</v>
      </c>
      <c r="BZ264" s="79">
        <v>43427</v>
      </c>
      <c r="CD264" s="79">
        <v>-5193</v>
      </c>
      <c r="CJ264" s="79">
        <v>-10222.86</v>
      </c>
      <c r="CN264" s="79">
        <v>-5201.8999999999996</v>
      </c>
      <c r="CP264" s="79">
        <v>-15543.05</v>
      </c>
      <c r="CV264" s="79">
        <v>-15543.04</v>
      </c>
      <c r="CZ264" s="79">
        <v>-10294.56</v>
      </c>
      <c r="DB264" s="79">
        <f t="shared" si="361"/>
        <v>-5193</v>
      </c>
      <c r="DC264" s="79">
        <f t="shared" si="362"/>
        <v>-56805.409999999996</v>
      </c>
      <c r="DD264" s="79">
        <f t="shared" si="363"/>
        <v>0</v>
      </c>
      <c r="DE264" s="79">
        <f t="shared" si="345"/>
        <v>5282.5900000000038</v>
      </c>
      <c r="DK264" s="79">
        <v>-5206.37</v>
      </c>
      <c r="DP264" s="131"/>
      <c r="DQ264" s="79">
        <v>-76.22</v>
      </c>
      <c r="DW264" s="79">
        <v>-0.9</v>
      </c>
      <c r="EJ264" s="79">
        <f t="shared" si="364"/>
        <v>0</v>
      </c>
      <c r="EK264" s="79">
        <f t="shared" si="365"/>
        <v>-5283.49</v>
      </c>
      <c r="EL264" s="79">
        <f t="shared" si="366"/>
        <v>0</v>
      </c>
      <c r="EM264" s="79">
        <f t="shared" si="349"/>
        <v>-0.89999999999599822</v>
      </c>
      <c r="EW264" s="144"/>
      <c r="FI264" s="66">
        <f t="shared" si="351"/>
        <v>0</v>
      </c>
      <c r="FJ264" s="66">
        <f t="shared" si="352"/>
        <v>0</v>
      </c>
      <c r="FK264" s="66">
        <f t="shared" si="353"/>
        <v>0</v>
      </c>
      <c r="FL264" s="173">
        <f t="shared" si="354"/>
        <v>-0.89999999999599822</v>
      </c>
    </row>
    <row r="265" spans="1:169" hidden="1" outlineLevel="1" x14ac:dyDescent="0.2">
      <c r="A265" s="76" t="s">
        <v>27</v>
      </c>
      <c r="B265" s="76" t="s">
        <v>81</v>
      </c>
      <c r="C265" s="76" t="s">
        <v>105</v>
      </c>
      <c r="D265" s="76" t="s">
        <v>153</v>
      </c>
      <c r="E265" s="77" t="s">
        <v>211</v>
      </c>
      <c r="F265" s="77" t="s">
        <v>712</v>
      </c>
      <c r="G265" s="77" t="str">
        <f t="shared" si="330"/>
        <v>1</v>
      </c>
      <c r="H265" s="77" t="str">
        <f t="shared" si="331"/>
        <v>0</v>
      </c>
      <c r="I265" s="77" t="str">
        <f t="shared" si="332"/>
        <v>0</v>
      </c>
      <c r="J265" s="77" t="str">
        <f t="shared" si="333"/>
        <v>0</v>
      </c>
      <c r="K265" s="77" t="str">
        <f t="shared" si="334"/>
        <v>1000</v>
      </c>
      <c r="L265" s="77" t="str">
        <f>IFERROR(VLOOKUP(K265,Sheet2!$A$20:$B$23,2,FALSE),"X")</f>
        <v>01</v>
      </c>
      <c r="M265" s="77" t="str">
        <f t="shared" si="335"/>
        <v>15507161District Design and Led 17-20</v>
      </c>
      <c r="N265" s="76" t="s">
        <v>161</v>
      </c>
      <c r="O265" s="76" t="s">
        <v>160</v>
      </c>
      <c r="P265" s="69" t="s">
        <v>168</v>
      </c>
      <c r="Q265" s="78">
        <v>43173</v>
      </c>
      <c r="R265" s="78">
        <v>43173</v>
      </c>
      <c r="S265" s="79">
        <v>48265</v>
      </c>
      <c r="AR265" s="79">
        <f t="shared" si="357"/>
        <v>0</v>
      </c>
      <c r="AS265" s="79">
        <f t="shared" si="358"/>
        <v>0</v>
      </c>
      <c r="AT265" s="79">
        <f t="shared" si="338"/>
        <v>48265</v>
      </c>
      <c r="AU265" s="158" t="s">
        <v>161</v>
      </c>
      <c r="AV265" s="79">
        <v>26494</v>
      </c>
      <c r="AX265" s="79">
        <v>-13126</v>
      </c>
      <c r="BD265" s="79">
        <v>0</v>
      </c>
      <c r="BL265" s="79">
        <v>-12099</v>
      </c>
      <c r="BP265" s="79">
        <v>-4373</v>
      </c>
      <c r="BT265" s="79">
        <v>-2649</v>
      </c>
      <c r="BV265" s="79">
        <f t="shared" si="359"/>
        <v>-32247</v>
      </c>
      <c r="BW265" s="79">
        <f t="shared" si="360"/>
        <v>0</v>
      </c>
      <c r="BX265" s="79">
        <f t="shared" si="341"/>
        <v>42512</v>
      </c>
      <c r="BY265" s="158" t="s">
        <v>341</v>
      </c>
      <c r="BZ265" s="79">
        <v>28997</v>
      </c>
      <c r="CD265" s="79">
        <v>-1325</v>
      </c>
      <c r="CJ265" s="79">
        <v>-2283</v>
      </c>
      <c r="CN265" s="79">
        <v>-1326.68</v>
      </c>
      <c r="DB265" s="79">
        <f t="shared" si="361"/>
        <v>-1325</v>
      </c>
      <c r="DC265" s="79">
        <f t="shared" si="362"/>
        <v>-3609.6800000000003</v>
      </c>
      <c r="DD265" s="79">
        <f t="shared" si="363"/>
        <v>0</v>
      </c>
      <c r="DE265" s="79">
        <f t="shared" si="345"/>
        <v>66574.320000000007</v>
      </c>
      <c r="DP265" s="131"/>
      <c r="EJ265" s="79">
        <f t="shared" si="364"/>
        <v>0</v>
      </c>
      <c r="EK265" s="79">
        <f t="shared" si="365"/>
        <v>0</v>
      </c>
      <c r="EL265" s="79">
        <f t="shared" si="366"/>
        <v>0</v>
      </c>
      <c r="EM265" s="79">
        <f t="shared" si="349"/>
        <v>66574.320000000007</v>
      </c>
      <c r="EW265" s="144"/>
      <c r="FI265" s="66">
        <f t="shared" si="351"/>
        <v>0</v>
      </c>
      <c r="FJ265" s="66">
        <f t="shared" si="352"/>
        <v>0</v>
      </c>
      <c r="FK265" s="66">
        <f t="shared" si="353"/>
        <v>0</v>
      </c>
      <c r="FL265" s="173">
        <f t="shared" si="354"/>
        <v>66574.320000000007</v>
      </c>
    </row>
    <row r="266" spans="1:169" hidden="1" outlineLevel="1" x14ac:dyDescent="0.2">
      <c r="A266" s="76" t="s">
        <v>27</v>
      </c>
      <c r="B266" s="76" t="s">
        <v>82</v>
      </c>
      <c r="C266" s="76" t="s">
        <v>105</v>
      </c>
      <c r="D266" s="76" t="s">
        <v>154</v>
      </c>
      <c r="E266" s="77" t="s">
        <v>211</v>
      </c>
      <c r="F266" s="77" t="s">
        <v>712</v>
      </c>
      <c r="G266" s="77" t="str">
        <f t="shared" si="330"/>
        <v>1</v>
      </c>
      <c r="H266" s="77" t="str">
        <f t="shared" si="331"/>
        <v>0</v>
      </c>
      <c r="I266" s="77" t="str">
        <f t="shared" si="332"/>
        <v>0</v>
      </c>
      <c r="J266" s="77" t="str">
        <f t="shared" si="333"/>
        <v>0</v>
      </c>
      <c r="K266" s="77" t="str">
        <f t="shared" si="334"/>
        <v>1000</v>
      </c>
      <c r="L266" s="77" t="str">
        <f>IFERROR(VLOOKUP(K266,Sheet2!$A$20:$B$23,2,FALSE),"X")</f>
        <v>01</v>
      </c>
      <c r="M266" s="77" t="str">
        <f t="shared" si="335"/>
        <v>15507198District Design and Led 17-20</v>
      </c>
      <c r="N266" s="76" t="s">
        <v>161</v>
      </c>
      <c r="O266" s="76" t="s">
        <v>160</v>
      </c>
      <c r="P266" s="69" t="s">
        <v>168</v>
      </c>
      <c r="Q266" s="78">
        <v>43173</v>
      </c>
      <c r="R266" s="78">
        <v>43173</v>
      </c>
      <c r="S266" s="79">
        <v>82077</v>
      </c>
      <c r="AR266" s="79">
        <f t="shared" si="357"/>
        <v>0</v>
      </c>
      <c r="AS266" s="79">
        <f t="shared" si="358"/>
        <v>0</v>
      </c>
      <c r="AT266" s="79">
        <f t="shared" si="338"/>
        <v>82077</v>
      </c>
      <c r="AU266" s="158" t="s">
        <v>161</v>
      </c>
      <c r="AV266" s="79">
        <v>67727</v>
      </c>
      <c r="AX266" s="79">
        <v>-2263</v>
      </c>
      <c r="BD266" s="79">
        <v>-4210</v>
      </c>
      <c r="BL266" s="79">
        <v>-55495</v>
      </c>
      <c r="BP266" s="79">
        <v>-32574</v>
      </c>
      <c r="BT266" s="79">
        <v>-23713</v>
      </c>
      <c r="BV266" s="79">
        <f t="shared" si="359"/>
        <v>-118255</v>
      </c>
      <c r="BW266" s="79">
        <f t="shared" si="360"/>
        <v>0</v>
      </c>
      <c r="BX266" s="79">
        <f t="shared" si="341"/>
        <v>31549</v>
      </c>
      <c r="BY266" s="158" t="s">
        <v>341</v>
      </c>
      <c r="BZ266" s="79">
        <v>103765</v>
      </c>
      <c r="CD266" s="79">
        <v>-10519</v>
      </c>
      <c r="CJ266" s="79">
        <v>-17373.59</v>
      </c>
      <c r="CN266" s="79">
        <v>-3656.41</v>
      </c>
      <c r="CP266" s="79">
        <v>-29037.360000000001</v>
      </c>
      <c r="CT266" s="79">
        <v>-8682.66</v>
      </c>
      <c r="CV266" s="79">
        <f>-17373.59-12760.72</f>
        <v>-30134.309999999998</v>
      </c>
      <c r="CZ266" s="79">
        <v>-20858.27</v>
      </c>
      <c r="DB266" s="79">
        <f t="shared" si="361"/>
        <v>-10519</v>
      </c>
      <c r="DC266" s="79">
        <f t="shared" si="362"/>
        <v>-109742.6</v>
      </c>
      <c r="DD266" s="79">
        <f t="shared" si="363"/>
        <v>0</v>
      </c>
      <c r="DE266" s="79">
        <f t="shared" si="345"/>
        <v>15052.399999999994</v>
      </c>
      <c r="DK266" s="79">
        <v>-9679.11</v>
      </c>
      <c r="DP266" s="131"/>
      <c r="DQ266" s="79">
        <v>-5373.29</v>
      </c>
      <c r="DW266" s="79">
        <v>-7.0000000000000007E-2</v>
      </c>
      <c r="EJ266" s="79">
        <f t="shared" si="364"/>
        <v>0</v>
      </c>
      <c r="EK266" s="79">
        <f t="shared" si="365"/>
        <v>-15052.470000000001</v>
      </c>
      <c r="EL266" s="79">
        <f t="shared" si="366"/>
        <v>0</v>
      </c>
      <c r="EM266" s="79">
        <f t="shared" si="349"/>
        <v>-7.0000000006984919E-2</v>
      </c>
      <c r="EW266" s="144"/>
      <c r="FI266" s="66">
        <f t="shared" si="351"/>
        <v>0</v>
      </c>
      <c r="FJ266" s="66">
        <f t="shared" si="352"/>
        <v>0</v>
      </c>
      <c r="FK266" s="66">
        <f t="shared" si="353"/>
        <v>0</v>
      </c>
      <c r="FL266" s="173">
        <f t="shared" si="354"/>
        <v>-7.0000000006984919E-2</v>
      </c>
    </row>
    <row r="267" spans="1:169" hidden="1" outlineLevel="1" x14ac:dyDescent="0.2">
      <c r="A267" s="76" t="s">
        <v>27</v>
      </c>
      <c r="B267" s="76" t="s">
        <v>34</v>
      </c>
      <c r="C267" s="76" t="s">
        <v>105</v>
      </c>
      <c r="D267" s="76" t="s">
        <v>111</v>
      </c>
      <c r="E267" s="77" t="s">
        <v>211</v>
      </c>
      <c r="F267" s="77" t="s">
        <v>712</v>
      </c>
      <c r="G267" s="77" t="str">
        <f t="shared" si="330"/>
        <v>1</v>
      </c>
      <c r="H267" s="77" t="str">
        <f t="shared" si="331"/>
        <v>0</v>
      </c>
      <c r="I267" s="77" t="str">
        <f t="shared" si="332"/>
        <v>0</v>
      </c>
      <c r="J267" s="77" t="str">
        <f t="shared" si="333"/>
        <v>0</v>
      </c>
      <c r="K267" s="77" t="str">
        <f t="shared" si="334"/>
        <v>1000</v>
      </c>
      <c r="L267" s="77" t="str">
        <f>IFERROR(VLOOKUP(K267,Sheet2!$A$20:$B$23,2,FALSE),"X")</f>
        <v>01</v>
      </c>
      <c r="M267" s="77" t="str">
        <f t="shared" si="335"/>
        <v>1550N/ADistrict Design and Led 17-20</v>
      </c>
      <c r="N267" s="76" t="s">
        <v>161</v>
      </c>
      <c r="O267" s="76" t="s">
        <v>160</v>
      </c>
      <c r="P267" s="69" t="s">
        <v>168</v>
      </c>
      <c r="Q267" s="78">
        <v>43173</v>
      </c>
      <c r="R267" s="78">
        <v>43173</v>
      </c>
      <c r="S267" s="79">
        <v>13936</v>
      </c>
      <c r="AR267" s="79">
        <f t="shared" si="357"/>
        <v>0</v>
      </c>
      <c r="AS267" s="79">
        <f t="shared" si="358"/>
        <v>0</v>
      </c>
      <c r="AT267" s="79">
        <f t="shared" si="338"/>
        <v>13936</v>
      </c>
      <c r="AU267" s="79"/>
      <c r="AV267" s="79">
        <v>0</v>
      </c>
      <c r="BD267" s="79">
        <v>-3163</v>
      </c>
      <c r="BT267" s="79">
        <v>-10773</v>
      </c>
      <c r="BV267" s="79">
        <f t="shared" si="359"/>
        <v>-13936</v>
      </c>
      <c r="BW267" s="79">
        <f t="shared" si="360"/>
        <v>0</v>
      </c>
      <c r="BX267" s="79">
        <f t="shared" si="341"/>
        <v>0</v>
      </c>
      <c r="BY267" s="158" t="s">
        <v>336</v>
      </c>
      <c r="BZ267" s="79">
        <v>26989</v>
      </c>
      <c r="DB267" s="79">
        <f t="shared" si="361"/>
        <v>0</v>
      </c>
      <c r="DC267" s="79">
        <f t="shared" si="362"/>
        <v>0</v>
      </c>
      <c r="DD267" s="79">
        <f t="shared" si="363"/>
        <v>0</v>
      </c>
      <c r="DE267" s="79">
        <f t="shared" si="345"/>
        <v>26989</v>
      </c>
      <c r="DP267" s="131"/>
      <c r="DQ267" s="79">
        <v>-18300.259999999998</v>
      </c>
      <c r="EJ267" s="79">
        <f t="shared" si="364"/>
        <v>0</v>
      </c>
      <c r="EK267" s="79">
        <f t="shared" si="365"/>
        <v>-18300.259999999998</v>
      </c>
      <c r="EL267" s="79">
        <f t="shared" si="366"/>
        <v>0</v>
      </c>
      <c r="EM267" s="79">
        <f t="shared" si="349"/>
        <v>8688.7400000000016</v>
      </c>
      <c r="EW267" s="144">
        <v>-3547.05</v>
      </c>
      <c r="FI267" s="66">
        <f t="shared" si="351"/>
        <v>0</v>
      </c>
      <c r="FJ267" s="66">
        <f t="shared" si="352"/>
        <v>0</v>
      </c>
      <c r="FK267" s="66">
        <f t="shared" si="353"/>
        <v>-3547.05</v>
      </c>
      <c r="FL267" s="173">
        <f t="shared" si="354"/>
        <v>5141.6900000000014</v>
      </c>
    </row>
    <row r="268" spans="1:169" hidden="1" outlineLevel="1" x14ac:dyDescent="0.2">
      <c r="A268" s="89" t="s">
        <v>29</v>
      </c>
      <c r="B268" s="89" t="s">
        <v>83</v>
      </c>
      <c r="C268" s="88" t="s">
        <v>695</v>
      </c>
      <c r="D268" s="88" t="s">
        <v>155</v>
      </c>
      <c r="E268" s="89" t="s">
        <v>214</v>
      </c>
      <c r="F268" s="89" t="s">
        <v>712</v>
      </c>
      <c r="G268" s="77" t="str">
        <f t="shared" si="330"/>
        <v>0</v>
      </c>
      <c r="H268" s="77" t="str">
        <f t="shared" si="331"/>
        <v>0</v>
      </c>
      <c r="I268" s="77" t="str">
        <f t="shared" si="332"/>
        <v>0</v>
      </c>
      <c r="J268" s="77" t="str">
        <f t="shared" si="333"/>
        <v>0</v>
      </c>
      <c r="K268" s="77" t="str">
        <f t="shared" si="334"/>
        <v>0000</v>
      </c>
      <c r="L268" s="77" t="str">
        <f>IFERROR(VLOOKUP(K268,Sheet2!$A$20:$B$23,2,FALSE),"X")</f>
        <v>X</v>
      </c>
      <c r="M268" s="77" t="str">
        <f t="shared" si="335"/>
        <v>16200058District Design and Led 19-22</v>
      </c>
      <c r="N268" s="88"/>
      <c r="O268" s="88" t="s">
        <v>160</v>
      </c>
      <c r="P268" s="90" t="s">
        <v>168</v>
      </c>
      <c r="Q268" s="91"/>
      <c r="R268" s="91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>
        <f t="shared" si="357"/>
        <v>0</v>
      </c>
      <c r="AS268" s="92">
        <f t="shared" si="358"/>
        <v>0</v>
      </c>
      <c r="AT268" s="92">
        <f t="shared" si="338"/>
        <v>0</v>
      </c>
      <c r="AU268" s="161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>
        <f t="shared" si="359"/>
        <v>0</v>
      </c>
      <c r="BW268" s="92">
        <f t="shared" si="360"/>
        <v>0</v>
      </c>
      <c r="BX268" s="92">
        <f t="shared" si="341"/>
        <v>0</v>
      </c>
      <c r="BY268" s="161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>
        <f t="shared" si="361"/>
        <v>0</v>
      </c>
      <c r="DC268" s="92">
        <f t="shared" si="362"/>
        <v>0</v>
      </c>
      <c r="DD268" s="92">
        <f t="shared" si="363"/>
        <v>0</v>
      </c>
      <c r="DE268" s="92">
        <f t="shared" si="345"/>
        <v>0</v>
      </c>
      <c r="DH268" s="103">
        <v>82875</v>
      </c>
      <c r="DP268" s="131"/>
      <c r="EJ268" s="79">
        <f t="shared" si="364"/>
        <v>0</v>
      </c>
      <c r="EK268" s="79">
        <f t="shared" si="365"/>
        <v>0</v>
      </c>
      <c r="EL268" s="79">
        <f t="shared" si="366"/>
        <v>0</v>
      </c>
      <c r="EM268" s="79">
        <f t="shared" si="349"/>
        <v>82875</v>
      </c>
      <c r="EP268" s="103">
        <v>82875</v>
      </c>
      <c r="FI268" s="66">
        <f t="shared" si="351"/>
        <v>0</v>
      </c>
      <c r="FJ268" s="66">
        <f t="shared" si="352"/>
        <v>0</v>
      </c>
      <c r="FK268" s="66">
        <f t="shared" si="353"/>
        <v>0</v>
      </c>
      <c r="FL268" s="173">
        <f t="shared" si="354"/>
        <v>165750</v>
      </c>
    </row>
    <row r="269" spans="1:169" hidden="1" outlineLevel="1" x14ac:dyDescent="0.2">
      <c r="A269" s="89" t="s">
        <v>29</v>
      </c>
      <c r="B269" s="89" t="s">
        <v>694</v>
      </c>
      <c r="C269" s="88" t="s">
        <v>695</v>
      </c>
      <c r="D269" s="88" t="s">
        <v>696</v>
      </c>
      <c r="E269" s="89" t="s">
        <v>214</v>
      </c>
      <c r="F269" s="89" t="s">
        <v>712</v>
      </c>
      <c r="G269" s="77" t="str">
        <f t="shared" si="330"/>
        <v>0</v>
      </c>
      <c r="H269" s="77" t="str">
        <f t="shared" si="331"/>
        <v>0</v>
      </c>
      <c r="I269" s="77" t="str">
        <f t="shared" si="332"/>
        <v>0</v>
      </c>
      <c r="J269" s="77" t="str">
        <f t="shared" si="333"/>
        <v>0</v>
      </c>
      <c r="K269" s="77" t="str">
        <f t="shared" si="334"/>
        <v>0000</v>
      </c>
      <c r="L269" s="77" t="str">
        <f>IFERROR(VLOOKUP(K269,Sheet2!$A$20:$B$23,2,FALSE),"X")</f>
        <v>X</v>
      </c>
      <c r="M269" s="77" t="str">
        <f t="shared" si="335"/>
        <v>16200066District Design and Led 19-22</v>
      </c>
      <c r="N269" s="88"/>
      <c r="O269" s="88" t="s">
        <v>160</v>
      </c>
      <c r="P269" s="90" t="s">
        <v>168</v>
      </c>
      <c r="Q269" s="91"/>
      <c r="R269" s="91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>
        <f t="shared" si="357"/>
        <v>0</v>
      </c>
      <c r="AS269" s="92">
        <f t="shared" si="358"/>
        <v>0</v>
      </c>
      <c r="AT269" s="92">
        <f t="shared" si="338"/>
        <v>0</v>
      </c>
      <c r="AU269" s="161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>
        <f t="shared" si="359"/>
        <v>0</v>
      </c>
      <c r="BW269" s="92">
        <f t="shared" si="360"/>
        <v>0</v>
      </c>
      <c r="BX269" s="92">
        <f t="shared" si="341"/>
        <v>0</v>
      </c>
      <c r="BY269" s="161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>
        <f t="shared" si="361"/>
        <v>0</v>
      </c>
      <c r="DC269" s="92">
        <f t="shared" si="362"/>
        <v>0</v>
      </c>
      <c r="DD269" s="92">
        <f t="shared" si="363"/>
        <v>0</v>
      </c>
      <c r="DE269" s="92">
        <f t="shared" si="345"/>
        <v>0</v>
      </c>
      <c r="DH269" s="103">
        <v>82875</v>
      </c>
      <c r="DP269" s="131"/>
      <c r="EJ269" s="79">
        <f t="shared" si="364"/>
        <v>0</v>
      </c>
      <c r="EK269" s="79">
        <f t="shared" si="365"/>
        <v>0</v>
      </c>
      <c r="EL269" s="79">
        <f t="shared" si="366"/>
        <v>0</v>
      </c>
      <c r="EM269" s="79">
        <f t="shared" si="349"/>
        <v>82875</v>
      </c>
      <c r="EP269" s="103">
        <v>82875</v>
      </c>
      <c r="FI269" s="66">
        <f t="shared" si="351"/>
        <v>0</v>
      </c>
      <c r="FJ269" s="66">
        <f t="shared" si="352"/>
        <v>0</v>
      </c>
      <c r="FK269" s="66">
        <f t="shared" si="353"/>
        <v>0</v>
      </c>
      <c r="FL269" s="173">
        <f t="shared" si="354"/>
        <v>165750</v>
      </c>
    </row>
    <row r="270" spans="1:169" hidden="1" outlineLevel="1" x14ac:dyDescent="0.2">
      <c r="A270" s="88" t="s">
        <v>381</v>
      </c>
      <c r="B270" s="88" t="s">
        <v>467</v>
      </c>
      <c r="C270" s="88" t="s">
        <v>465</v>
      </c>
      <c r="D270" s="88" t="s">
        <v>674</v>
      </c>
      <c r="E270" s="89" t="s">
        <v>214</v>
      </c>
      <c r="F270" s="89" t="s">
        <v>712</v>
      </c>
      <c r="G270" s="77" t="str">
        <f t="shared" si="330"/>
        <v>0</v>
      </c>
      <c r="H270" s="77" t="str">
        <f t="shared" si="331"/>
        <v>0</v>
      </c>
      <c r="I270" s="77" t="str">
        <f t="shared" si="332"/>
        <v>1</v>
      </c>
      <c r="J270" s="77" t="str">
        <f t="shared" si="333"/>
        <v>0</v>
      </c>
      <c r="K270" s="77" t="str">
        <f t="shared" si="334"/>
        <v>0010</v>
      </c>
      <c r="L270" s="77" t="str">
        <f>IFERROR(VLOOKUP(K270,Sheet2!$A$20:$B$23,2,FALSE),"X")</f>
        <v>03</v>
      </c>
      <c r="M270" s="77" t="str">
        <f t="shared" si="335"/>
        <v>20003604District Design and Led 19-22</v>
      </c>
      <c r="N270" s="88"/>
      <c r="O270" s="88" t="s">
        <v>160</v>
      </c>
      <c r="P270" s="90" t="s">
        <v>168</v>
      </c>
      <c r="Q270" s="91"/>
      <c r="R270" s="91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>
        <f t="shared" si="357"/>
        <v>0</v>
      </c>
      <c r="AS270" s="92">
        <f t="shared" si="358"/>
        <v>0</v>
      </c>
      <c r="AT270" s="92">
        <f t="shared" si="338"/>
        <v>0</v>
      </c>
      <c r="AU270" s="161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>
        <f t="shared" si="359"/>
        <v>0</v>
      </c>
      <c r="BW270" s="92">
        <f t="shared" si="360"/>
        <v>0</v>
      </c>
      <c r="BX270" s="92">
        <f t="shared" si="341"/>
        <v>0</v>
      </c>
      <c r="BY270" s="92"/>
      <c r="BZ270" s="92"/>
      <c r="CA270" s="92"/>
      <c r="CB270" s="92"/>
      <c r="CC270" s="92">
        <v>37751.265200000002</v>
      </c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>
        <v>-9000</v>
      </c>
      <c r="CY270" s="92"/>
      <c r="CZ270" s="92"/>
      <c r="DA270" s="92"/>
      <c r="DB270" s="92">
        <f t="shared" si="361"/>
        <v>0</v>
      </c>
      <c r="DC270" s="92">
        <f t="shared" si="362"/>
        <v>-9000</v>
      </c>
      <c r="DD270" s="92">
        <f t="shared" si="363"/>
        <v>0</v>
      </c>
      <c r="DE270" s="92">
        <f t="shared" si="345"/>
        <v>28751.265200000002</v>
      </c>
      <c r="DF270" s="79"/>
      <c r="DH270" s="103">
        <v>76245</v>
      </c>
      <c r="DP270" s="131">
        <v>-15846.32</v>
      </c>
      <c r="DS270" s="79">
        <v>-12904.68</v>
      </c>
      <c r="DU270" s="79">
        <v>-0.27</v>
      </c>
      <c r="DY270" s="79">
        <v>-15601.94</v>
      </c>
      <c r="EE270" s="79">
        <v>-2133.46</v>
      </c>
      <c r="EI270" s="79">
        <v>-528.04</v>
      </c>
      <c r="EJ270" s="79">
        <f t="shared" si="364"/>
        <v>-15846.32</v>
      </c>
      <c r="EK270" s="79">
        <f t="shared" si="365"/>
        <v>-30640.35</v>
      </c>
      <c r="EL270" s="79">
        <f t="shared" si="366"/>
        <v>-528.04</v>
      </c>
      <c r="EM270" s="79">
        <f t="shared" si="349"/>
        <v>57981.555199999995</v>
      </c>
      <c r="EP270" s="103">
        <v>78367.5</v>
      </c>
      <c r="EU270" s="66">
        <v>-4950.55</v>
      </c>
      <c r="EW270" s="144">
        <v>-26735.93</v>
      </c>
      <c r="EY270" s="144">
        <v>-1056.73</v>
      </c>
      <c r="FD270" s="66">
        <v>-608.41999999999996</v>
      </c>
      <c r="FI270" s="66">
        <f t="shared" si="351"/>
        <v>0</v>
      </c>
      <c r="FJ270" s="66">
        <f t="shared" si="352"/>
        <v>0</v>
      </c>
      <c r="FK270" s="66">
        <f t="shared" si="353"/>
        <v>-33351.629999999997</v>
      </c>
      <c r="FL270" s="173">
        <f t="shared" si="354"/>
        <v>102997.4252</v>
      </c>
    </row>
    <row r="271" spans="1:169" hidden="1" outlineLevel="1" x14ac:dyDescent="0.2">
      <c r="A271" s="76" t="s">
        <v>30</v>
      </c>
      <c r="B271" s="76" t="s">
        <v>86</v>
      </c>
      <c r="C271" s="76" t="s">
        <v>612</v>
      </c>
      <c r="D271" s="76" t="s">
        <v>157</v>
      </c>
      <c r="E271" s="77" t="s">
        <v>213</v>
      </c>
      <c r="F271" s="77" t="s">
        <v>712</v>
      </c>
      <c r="G271" s="77" t="str">
        <f t="shared" si="330"/>
        <v>0</v>
      </c>
      <c r="H271" s="77" t="str">
        <f t="shared" si="331"/>
        <v>1</v>
      </c>
      <c r="I271" s="77" t="str">
        <f t="shared" si="332"/>
        <v>0</v>
      </c>
      <c r="J271" s="77" t="str">
        <f t="shared" si="333"/>
        <v>0</v>
      </c>
      <c r="K271" s="77" t="str">
        <f t="shared" ref="K271" si="367">CONCATENATE(G271,H271,I271,J271)</f>
        <v>0100</v>
      </c>
      <c r="L271" s="77" t="str">
        <f>IFERROR(VLOOKUP(K271,Sheet2!$A$20:$B$23,2,FALSE),"X")</f>
        <v>02</v>
      </c>
      <c r="M271" s="77" t="str">
        <f t="shared" ref="M271:M310" si="368">A271&amp;B271&amp;E271</f>
        <v>20350609District Design and Led 18-21</v>
      </c>
      <c r="O271" s="76" t="s">
        <v>160</v>
      </c>
      <c r="P271" s="69" t="s">
        <v>168</v>
      </c>
      <c r="Q271" s="78"/>
      <c r="R271" s="78"/>
      <c r="AR271" s="79">
        <f t="shared" si="357"/>
        <v>0</v>
      </c>
      <c r="AS271" s="79">
        <f t="shared" si="358"/>
        <v>0</v>
      </c>
      <c r="AT271" s="79">
        <f t="shared" ref="AT271" si="369">S271+(AR271+AS271)</f>
        <v>0</v>
      </c>
      <c r="AU271" s="158" t="s">
        <v>336</v>
      </c>
      <c r="AV271" s="79"/>
      <c r="AW271" s="79">
        <v>22254</v>
      </c>
      <c r="BT271" s="79">
        <v>-22254</v>
      </c>
      <c r="BV271" s="79">
        <f t="shared" si="359"/>
        <v>-22254</v>
      </c>
      <c r="BW271" s="79">
        <f t="shared" si="360"/>
        <v>0</v>
      </c>
      <c r="BX271" s="79">
        <f t="shared" ref="BX271" si="370">AT271+AV271+AW271+(BV271+BW271)</f>
        <v>0</v>
      </c>
      <c r="BY271" s="158" t="s">
        <v>341</v>
      </c>
      <c r="CA271" s="79">
        <v>34435</v>
      </c>
      <c r="DB271" s="79">
        <f t="shared" si="361"/>
        <v>0</v>
      </c>
      <c r="DC271" s="79">
        <f t="shared" si="362"/>
        <v>0</v>
      </c>
      <c r="DD271" s="79">
        <f t="shared" si="363"/>
        <v>0</v>
      </c>
      <c r="DE271" s="79">
        <f t="shared" ref="DE271" si="371">BX271+CA271+BZ271+CC271+(DB271+DC271+DD271)</f>
        <v>34435</v>
      </c>
      <c r="DH271" s="103">
        <v>24970.16</v>
      </c>
      <c r="DK271" s="79">
        <v>-7680.68</v>
      </c>
      <c r="DP271" s="131"/>
      <c r="DQ271" s="79">
        <v>-3046.39</v>
      </c>
      <c r="DS271" s="79">
        <v>-1800</v>
      </c>
      <c r="DU271" s="79">
        <v>-5295.05</v>
      </c>
      <c r="EI271" s="79" t="s">
        <v>701</v>
      </c>
      <c r="EJ271" s="79">
        <f t="shared" si="364"/>
        <v>0</v>
      </c>
      <c r="EK271" s="79">
        <f t="shared" si="365"/>
        <v>-17822.12</v>
      </c>
      <c r="EL271" s="79">
        <f t="shared" si="366"/>
        <v>0</v>
      </c>
      <c r="EM271" s="79">
        <f t="shared" ref="EM271:EM306" si="372">DE271+DH271+DG271+DJ271+(EJ271+EK271+EL271)</f>
        <v>41583.040000000008</v>
      </c>
      <c r="EP271" s="103">
        <v>25025.84</v>
      </c>
      <c r="ES271" s="66">
        <f>-(21907.88+19675.16)</f>
        <v>-41583.040000000001</v>
      </c>
      <c r="EY271" s="66">
        <v>-6242.54</v>
      </c>
      <c r="FI271" s="66">
        <f t="shared" si="351"/>
        <v>0</v>
      </c>
      <c r="FJ271" s="66">
        <f t="shared" si="352"/>
        <v>0</v>
      </c>
      <c r="FK271" s="66">
        <f t="shared" si="353"/>
        <v>-47825.58</v>
      </c>
      <c r="FL271" s="173">
        <f t="shared" si="354"/>
        <v>18783.300000000003</v>
      </c>
    </row>
    <row r="272" spans="1:169" s="118" customFormat="1" hidden="1" outlineLevel="1" x14ac:dyDescent="0.2">
      <c r="A272" s="118" t="s">
        <v>30</v>
      </c>
      <c r="B272" s="118" t="s">
        <v>780</v>
      </c>
      <c r="C272" s="118" t="s">
        <v>612</v>
      </c>
      <c r="D272" s="118" t="s">
        <v>781</v>
      </c>
      <c r="E272" s="119" t="s">
        <v>456</v>
      </c>
      <c r="F272" s="119"/>
      <c r="G272" s="119"/>
      <c r="H272" s="119"/>
      <c r="I272" s="119"/>
      <c r="J272" s="119"/>
      <c r="K272" s="119"/>
      <c r="L272" s="119"/>
      <c r="M272" s="119" t="str">
        <f t="shared" si="368"/>
        <v>20352036District Design and Led 20-23</v>
      </c>
      <c r="O272" s="118" t="s">
        <v>160</v>
      </c>
      <c r="P272" s="120"/>
      <c r="Q272" s="121"/>
      <c r="R272" s="121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60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  <c r="BH272" s="122"/>
      <c r="BI272" s="122"/>
      <c r="BJ272" s="122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60"/>
      <c r="BZ272" s="122"/>
      <c r="CA272" s="122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2"/>
      <c r="CP272" s="122"/>
      <c r="CQ272" s="122"/>
      <c r="CR272" s="122"/>
      <c r="CS272" s="122"/>
      <c r="CT272" s="122"/>
      <c r="CU272" s="122"/>
      <c r="CV272" s="122"/>
      <c r="CW272" s="122"/>
      <c r="CX272" s="122"/>
      <c r="CY272" s="122"/>
      <c r="CZ272" s="122"/>
      <c r="DA272" s="122"/>
      <c r="DB272" s="122"/>
      <c r="DC272" s="122"/>
      <c r="DD272" s="122"/>
      <c r="DE272" s="122"/>
      <c r="DF272" s="160"/>
      <c r="DG272" s="122"/>
      <c r="DH272" s="122"/>
      <c r="DI272" s="122"/>
      <c r="DJ272" s="122">
        <v>14500</v>
      </c>
      <c r="DK272" s="122"/>
      <c r="DL272" s="122"/>
      <c r="DM272" s="122"/>
      <c r="DN272" s="122"/>
      <c r="DO272" s="122"/>
      <c r="DP272" s="122"/>
      <c r="DQ272" s="122"/>
      <c r="DR272" s="122"/>
      <c r="DS272" s="122"/>
      <c r="DT272" s="122"/>
      <c r="DU272" s="122"/>
      <c r="DV272" s="122"/>
      <c r="DW272" s="122"/>
      <c r="DX272" s="122"/>
      <c r="DY272" s="122"/>
      <c r="DZ272" s="122"/>
      <c r="EA272" s="122"/>
      <c r="EB272" s="122"/>
      <c r="EC272" s="122"/>
      <c r="ED272" s="122"/>
      <c r="EE272" s="122"/>
      <c r="EF272" s="122"/>
      <c r="EG272" s="131"/>
      <c r="EH272" s="122"/>
      <c r="EI272" s="122"/>
      <c r="EJ272" s="122"/>
      <c r="EK272" s="122"/>
      <c r="EL272" s="122"/>
      <c r="EM272" s="122">
        <f t="shared" si="372"/>
        <v>14500</v>
      </c>
      <c r="EN272" s="122"/>
      <c r="EO272" s="122"/>
      <c r="EP272" s="122"/>
      <c r="EQ272" s="103">
        <v>31000</v>
      </c>
      <c r="ER272" s="122"/>
      <c r="ES272" s="126"/>
      <c r="ET272" s="126"/>
      <c r="EU272" s="126"/>
      <c r="EV272" s="66"/>
      <c r="EW272" s="126"/>
      <c r="EX272" s="126"/>
      <c r="EY272" s="126"/>
      <c r="EZ272" s="126"/>
      <c r="FA272" s="126"/>
      <c r="FB272" s="126"/>
      <c r="FC272" s="224">
        <v>-1550</v>
      </c>
      <c r="FD272" s="126"/>
      <c r="FE272" s="126"/>
      <c r="FF272" s="126"/>
      <c r="FG272" s="126"/>
      <c r="FH272" s="126"/>
      <c r="FI272" s="66">
        <f t="shared" si="351"/>
        <v>0</v>
      </c>
      <c r="FJ272" s="66">
        <f t="shared" si="352"/>
        <v>0</v>
      </c>
      <c r="FK272" s="66">
        <f t="shared" si="353"/>
        <v>-1550</v>
      </c>
      <c r="FL272" s="173">
        <f t="shared" si="354"/>
        <v>43950</v>
      </c>
      <c r="FM272" s="123"/>
    </row>
    <row r="273" spans="1:168" hidden="1" outlineLevel="1" x14ac:dyDescent="0.2">
      <c r="A273" s="88" t="s">
        <v>30</v>
      </c>
      <c r="B273" s="89" t="s">
        <v>692</v>
      </c>
      <c r="C273" s="88" t="s">
        <v>612</v>
      </c>
      <c r="D273" s="88" t="s">
        <v>693</v>
      </c>
      <c r="E273" s="89" t="s">
        <v>214</v>
      </c>
      <c r="F273" s="89" t="s">
        <v>712</v>
      </c>
      <c r="G273" s="77" t="str">
        <f t="shared" ref="G273:G310" si="373">IF(S273&gt;0, "1", "0")</f>
        <v>0</v>
      </c>
      <c r="H273" s="77" t="str">
        <f t="shared" ref="H273:H310" si="374">IF(AW273&gt;0, "1", "0")</f>
        <v>0</v>
      </c>
      <c r="I273" s="77" t="str">
        <f t="shared" ref="I273:I310" si="375">IF(CC273&gt;0, "1", "0")</f>
        <v>0</v>
      </c>
      <c r="J273" s="77" t="str">
        <f t="shared" ref="J273:J310" si="376">IF(DJ273&gt;0, "1", "0")</f>
        <v>0</v>
      </c>
      <c r="K273" s="77" t="str">
        <f t="shared" ref="K273:K310" si="377">CONCATENATE(G273,H273,I273,J273)</f>
        <v>0000</v>
      </c>
      <c r="L273" s="77" t="str">
        <f>IFERROR(VLOOKUP(K273,Sheet2!$A$20:$B$23,2,FALSE),"X")</f>
        <v>X</v>
      </c>
      <c r="M273" s="77" t="str">
        <f t="shared" si="368"/>
        <v>20355436District Design and Led 19-22</v>
      </c>
      <c r="N273" s="88"/>
      <c r="O273" s="88" t="s">
        <v>160</v>
      </c>
      <c r="P273" s="90" t="s">
        <v>168</v>
      </c>
      <c r="Q273" s="91"/>
      <c r="R273" s="91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>
        <f t="shared" ref="AR273:AR293" si="378">SUMIF($T$2:$AQ$2,$AR$2,$T273:$AQ273)</f>
        <v>0</v>
      </c>
      <c r="AS273" s="92">
        <f t="shared" ref="AS273:AS293" si="379">SUMIF($T$2:$AQ$2,$AS$2,$T273:$AQ273)</f>
        <v>0</v>
      </c>
      <c r="AT273" s="92">
        <f t="shared" ref="AT273:AT310" si="380">S273+(AR273+AS273)</f>
        <v>0</v>
      </c>
      <c r="AU273" s="161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>
        <f t="shared" ref="BV273:BV293" si="381">SUMIF($AX$2:$BU$2,$BV$2,$AX273:$BU273)</f>
        <v>0</v>
      </c>
      <c r="BW273" s="92">
        <f t="shared" ref="BW273:BW293" si="382">SUMIF($AX$2:$BU$2,$BW$2,$AX273:$BU273)</f>
        <v>0</v>
      </c>
      <c r="BX273" s="92">
        <f t="shared" ref="BX273:BX310" si="383">AT273+AV273+AW273+(BV273+BW273)</f>
        <v>0</v>
      </c>
      <c r="BY273" s="161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  <c r="CZ273" s="92"/>
      <c r="DA273" s="92"/>
      <c r="DB273" s="92">
        <f t="shared" ref="DB273:DB293" si="384">SUMIF($CD$2:$DA$2,$DB$2,$CD273:$DA273)</f>
        <v>0</v>
      </c>
      <c r="DC273" s="92">
        <f t="shared" ref="DC273:DC293" si="385">SUMIF($CD$2:$DA$2,$DC$2,$CD273:$DA273)</f>
        <v>0</v>
      </c>
      <c r="DD273" s="92">
        <f t="shared" ref="DD273:DD293" si="386">SUMIF($CD$2:$DA$2,$DD$2,$CD273:$DA273)</f>
        <v>0</v>
      </c>
      <c r="DE273" s="92">
        <f t="shared" ref="DE273:DE310" si="387">BX273+CA273+BZ273+CC273+(DB273+DC273+DD273)</f>
        <v>0</v>
      </c>
      <c r="DH273" s="79">
        <v>26908</v>
      </c>
      <c r="DP273" s="131"/>
      <c r="EJ273" s="79">
        <f t="shared" ref="EJ273:EJ293" si="388">SUMIF($DK$2:$EI$2,$EJ$2,$DK273:$EI273)</f>
        <v>0</v>
      </c>
      <c r="EK273" s="79">
        <f t="shared" ref="EK273:EK293" si="389">SUMIF($DK$2:$EI$2,$EK$2,$DK273:$EI273)</f>
        <v>0</v>
      </c>
      <c r="EL273" s="79">
        <f t="shared" ref="EL273:EL293" si="390">SUMIF($DK$2:$EI$2,$EL$2,$DK273:$EI273)</f>
        <v>0</v>
      </c>
      <c r="EM273" s="79">
        <f t="shared" si="372"/>
        <v>26908</v>
      </c>
      <c r="EP273" s="103">
        <v>26967.5</v>
      </c>
      <c r="FI273" s="66">
        <f t="shared" si="351"/>
        <v>0</v>
      </c>
      <c r="FJ273" s="66">
        <f t="shared" si="352"/>
        <v>0</v>
      </c>
      <c r="FK273" s="66">
        <f t="shared" si="353"/>
        <v>0</v>
      </c>
      <c r="FL273" s="173">
        <f t="shared" si="354"/>
        <v>53875.5</v>
      </c>
    </row>
    <row r="274" spans="1:168" hidden="1" outlineLevel="1" x14ac:dyDescent="0.2">
      <c r="A274" s="88" t="s">
        <v>30</v>
      </c>
      <c r="B274" s="88" t="s">
        <v>664</v>
      </c>
      <c r="C274" s="88" t="s">
        <v>612</v>
      </c>
      <c r="D274" s="88" t="s">
        <v>671</v>
      </c>
      <c r="E274" s="89" t="s">
        <v>214</v>
      </c>
      <c r="F274" s="89" t="s">
        <v>712</v>
      </c>
      <c r="G274" s="77" t="str">
        <f t="shared" si="373"/>
        <v>0</v>
      </c>
      <c r="H274" s="77" t="str">
        <f t="shared" si="374"/>
        <v>0</v>
      </c>
      <c r="I274" s="77" t="str">
        <f t="shared" si="375"/>
        <v>1</v>
      </c>
      <c r="J274" s="77" t="str">
        <f t="shared" si="376"/>
        <v>0</v>
      </c>
      <c r="K274" s="77" t="str">
        <f t="shared" si="377"/>
        <v>0010</v>
      </c>
      <c r="L274" s="77" t="str">
        <f>IFERROR(VLOOKUP(K274,Sheet2!$A$20:$B$23,2,FALSE),"X")</f>
        <v>03</v>
      </c>
      <c r="M274" s="77" t="str">
        <f t="shared" si="368"/>
        <v>20355836District Design and Led 19-22</v>
      </c>
      <c r="N274" s="88"/>
      <c r="O274" s="88" t="s">
        <v>160</v>
      </c>
      <c r="P274" s="90" t="s">
        <v>168</v>
      </c>
      <c r="Q274" s="91"/>
      <c r="R274" s="91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>
        <f t="shared" si="378"/>
        <v>0</v>
      </c>
      <c r="AS274" s="92">
        <f t="shared" si="379"/>
        <v>0</v>
      </c>
      <c r="AT274" s="92">
        <f t="shared" si="380"/>
        <v>0</v>
      </c>
      <c r="AU274" s="161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>
        <f t="shared" si="381"/>
        <v>0</v>
      </c>
      <c r="BW274" s="92">
        <f t="shared" si="382"/>
        <v>0</v>
      </c>
      <c r="BX274" s="92">
        <f t="shared" si="383"/>
        <v>0</v>
      </c>
      <c r="BY274" s="161"/>
      <c r="BZ274" s="92"/>
      <c r="CA274" s="92"/>
      <c r="CB274" s="92"/>
      <c r="CC274" s="92">
        <v>38739.599999999999</v>
      </c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>
        <f t="shared" si="384"/>
        <v>0</v>
      </c>
      <c r="DC274" s="92">
        <f t="shared" si="385"/>
        <v>0</v>
      </c>
      <c r="DD274" s="92">
        <f t="shared" si="386"/>
        <v>0</v>
      </c>
      <c r="DE274" s="92">
        <f t="shared" si="387"/>
        <v>38739.599999999999</v>
      </c>
      <c r="DH274" s="103">
        <v>87449.375</v>
      </c>
      <c r="DP274" s="131"/>
      <c r="DS274" s="79">
        <f>-(5155.57+5159.12)</f>
        <v>-10314.689999999999</v>
      </c>
      <c r="DU274" s="79">
        <v>-5159.12</v>
      </c>
      <c r="DW274" s="79">
        <v>-5075.3900000000003</v>
      </c>
      <c r="DY274" s="79">
        <v>-5159.12</v>
      </c>
      <c r="EA274" s="79">
        <v>-5159.12</v>
      </c>
      <c r="EC274" s="79">
        <v>-5159.12</v>
      </c>
      <c r="EE274" s="79">
        <v>-5159.1099999999997</v>
      </c>
      <c r="EI274" s="79">
        <v>-5075.3900000000003</v>
      </c>
      <c r="EJ274" s="79">
        <f t="shared" si="388"/>
        <v>0</v>
      </c>
      <c r="EK274" s="79">
        <f t="shared" si="389"/>
        <v>-41185.67</v>
      </c>
      <c r="EL274" s="79">
        <f t="shared" si="390"/>
        <v>-5075.3900000000003</v>
      </c>
      <c r="EM274" s="79">
        <f t="shared" si="372"/>
        <v>79927.915000000008</v>
      </c>
      <c r="EP274" s="103">
        <v>89532.1</v>
      </c>
      <c r="ES274" s="66">
        <v>-15477.41</v>
      </c>
      <c r="EW274" s="144">
        <v>-5238.18</v>
      </c>
      <c r="EX274" s="144">
        <v>-5239.66</v>
      </c>
      <c r="EY274" s="144">
        <f>-5239.67-3893.63</f>
        <v>-9133.2999999999993</v>
      </c>
      <c r="FC274" s="66">
        <v>-1253.6600000000001</v>
      </c>
      <c r="FE274" s="312">
        <v>-5228.59</v>
      </c>
      <c r="FI274" s="66">
        <f t="shared" si="351"/>
        <v>0</v>
      </c>
      <c r="FJ274" s="66">
        <f t="shared" si="352"/>
        <v>0</v>
      </c>
      <c r="FK274" s="66">
        <f t="shared" si="353"/>
        <v>-41570.800000000003</v>
      </c>
      <c r="FL274" s="173">
        <f t="shared" si="354"/>
        <v>127889.21500000001</v>
      </c>
    </row>
    <row r="275" spans="1:168" hidden="1" outlineLevel="1" x14ac:dyDescent="0.2">
      <c r="A275" s="76" t="s">
        <v>30</v>
      </c>
      <c r="B275" s="76" t="s">
        <v>84</v>
      </c>
      <c r="C275" s="76" t="s">
        <v>612</v>
      </c>
      <c r="D275" s="76" t="s">
        <v>156</v>
      </c>
      <c r="E275" s="77" t="s">
        <v>211</v>
      </c>
      <c r="F275" s="77" t="s">
        <v>712</v>
      </c>
      <c r="G275" s="77" t="str">
        <f t="shared" si="373"/>
        <v>1</v>
      </c>
      <c r="H275" s="77" t="str">
        <f t="shared" si="374"/>
        <v>0</v>
      </c>
      <c r="I275" s="77" t="str">
        <f t="shared" si="375"/>
        <v>0</v>
      </c>
      <c r="J275" s="77" t="str">
        <f t="shared" si="376"/>
        <v>0</v>
      </c>
      <c r="K275" s="77" t="str">
        <f t="shared" si="377"/>
        <v>1000</v>
      </c>
      <c r="L275" s="77" t="str">
        <f>IFERROR(VLOOKUP(K275,Sheet2!$A$20:$B$23,2,FALSE),"X")</f>
        <v>01</v>
      </c>
      <c r="M275" s="77" t="str">
        <f t="shared" si="368"/>
        <v>20356026District Design and Led 17-20</v>
      </c>
      <c r="N275" s="76" t="s">
        <v>161</v>
      </c>
      <c r="O275" s="76" t="s">
        <v>160</v>
      </c>
      <c r="P275" s="69" t="s">
        <v>168</v>
      </c>
      <c r="Q275" s="78">
        <v>43173</v>
      </c>
      <c r="R275" s="78">
        <v>43173</v>
      </c>
      <c r="S275" s="79">
        <v>30000</v>
      </c>
      <c r="AR275" s="79">
        <f t="shared" si="378"/>
        <v>0</v>
      </c>
      <c r="AS275" s="79">
        <f t="shared" si="379"/>
        <v>0</v>
      </c>
      <c r="AT275" s="79">
        <f t="shared" si="380"/>
        <v>30000</v>
      </c>
      <c r="AU275" s="158" t="s">
        <v>161</v>
      </c>
      <c r="AV275" s="79">
        <v>30000</v>
      </c>
      <c r="BF275" s="79">
        <v>-2127</v>
      </c>
      <c r="BT275" s="79">
        <v>-5665</v>
      </c>
      <c r="BV275" s="79">
        <f t="shared" si="381"/>
        <v>-7792</v>
      </c>
      <c r="BW275" s="79">
        <f t="shared" si="382"/>
        <v>0</v>
      </c>
      <c r="BX275" s="79">
        <f t="shared" si="383"/>
        <v>52208</v>
      </c>
      <c r="BY275" s="158" t="s">
        <v>341</v>
      </c>
      <c r="BZ275" s="79">
        <v>10000</v>
      </c>
      <c r="CH275" s="79">
        <v>-18114.240000000002</v>
      </c>
      <c r="CJ275" s="79">
        <v>-125</v>
      </c>
      <c r="CL275" s="79">
        <v>-795.49</v>
      </c>
      <c r="CN275" s="79">
        <v>-2002.23</v>
      </c>
      <c r="CR275" s="79">
        <v>-75</v>
      </c>
      <c r="CT275" s="79">
        <f>-2070.77-525.56</f>
        <v>-2596.33</v>
      </c>
      <c r="DB275" s="79">
        <f t="shared" si="384"/>
        <v>0</v>
      </c>
      <c r="DC275" s="79">
        <f t="shared" si="385"/>
        <v>-23708.29</v>
      </c>
      <c r="DD275" s="79">
        <f t="shared" si="386"/>
        <v>0</v>
      </c>
      <c r="DE275" s="79">
        <f t="shared" si="387"/>
        <v>38499.71</v>
      </c>
      <c r="DP275" s="131"/>
      <c r="DU275" s="79">
        <v>-14172.5</v>
      </c>
      <c r="EC275" s="79">
        <v>-2400</v>
      </c>
      <c r="EE275" s="79">
        <v>-2400</v>
      </c>
      <c r="EJ275" s="79">
        <f t="shared" si="388"/>
        <v>0</v>
      </c>
      <c r="EK275" s="79">
        <f t="shared" si="389"/>
        <v>-18972.5</v>
      </c>
      <c r="EL275" s="79">
        <f t="shared" si="390"/>
        <v>0</v>
      </c>
      <c r="EM275" s="79">
        <f t="shared" si="372"/>
        <v>19527.21</v>
      </c>
      <c r="EY275" s="144">
        <v>-11300</v>
      </c>
      <c r="FI275" s="66">
        <f t="shared" si="351"/>
        <v>0</v>
      </c>
      <c r="FJ275" s="66">
        <f t="shared" si="352"/>
        <v>0</v>
      </c>
      <c r="FK275" s="66">
        <f t="shared" si="353"/>
        <v>-11300</v>
      </c>
      <c r="FL275" s="173">
        <f t="shared" si="354"/>
        <v>8227.2099999999991</v>
      </c>
    </row>
    <row r="276" spans="1:168" hidden="1" outlineLevel="1" x14ac:dyDescent="0.2">
      <c r="A276" s="76" t="s">
        <v>30</v>
      </c>
      <c r="B276" s="76" t="s">
        <v>84</v>
      </c>
      <c r="C276" s="76" t="s">
        <v>612</v>
      </c>
      <c r="D276" s="76" t="s">
        <v>156</v>
      </c>
      <c r="E276" s="77" t="s">
        <v>213</v>
      </c>
      <c r="F276" s="77" t="s">
        <v>712</v>
      </c>
      <c r="G276" s="77" t="str">
        <f t="shared" si="373"/>
        <v>0</v>
      </c>
      <c r="H276" s="77" t="str">
        <f t="shared" si="374"/>
        <v>1</v>
      </c>
      <c r="I276" s="77" t="str">
        <f t="shared" si="375"/>
        <v>0</v>
      </c>
      <c r="J276" s="77" t="str">
        <f t="shared" si="376"/>
        <v>0</v>
      </c>
      <c r="K276" s="77" t="str">
        <f t="shared" si="377"/>
        <v>0100</v>
      </c>
      <c r="L276" s="77" t="str">
        <f>IFERROR(VLOOKUP(K276,Sheet2!$A$20:$B$23,2,FALSE),"X")</f>
        <v>02</v>
      </c>
      <c r="M276" s="77" t="str">
        <f t="shared" si="368"/>
        <v>20356026District Design and Led 18-21</v>
      </c>
      <c r="O276" s="76" t="s">
        <v>160</v>
      </c>
      <c r="P276" s="69" t="s">
        <v>168</v>
      </c>
      <c r="Q276" s="78"/>
      <c r="R276" s="78"/>
      <c r="AR276" s="79">
        <f t="shared" si="378"/>
        <v>0</v>
      </c>
      <c r="AS276" s="79">
        <f t="shared" si="379"/>
        <v>0</v>
      </c>
      <c r="AT276" s="79">
        <f t="shared" si="380"/>
        <v>0</v>
      </c>
      <c r="AU276" s="158" t="s">
        <v>336</v>
      </c>
      <c r="AV276" s="79"/>
      <c r="AW276" s="79">
        <v>10597</v>
      </c>
      <c r="BT276" s="79">
        <v>-10068</v>
      </c>
      <c r="BV276" s="79">
        <f t="shared" si="381"/>
        <v>-10068</v>
      </c>
      <c r="BW276" s="79">
        <f t="shared" si="382"/>
        <v>0</v>
      </c>
      <c r="BX276" s="79">
        <f t="shared" si="383"/>
        <v>529</v>
      </c>
      <c r="BY276" s="158" t="s">
        <v>341</v>
      </c>
      <c r="CA276" s="79">
        <v>10761</v>
      </c>
      <c r="CH276" s="79">
        <v>-5245.71</v>
      </c>
      <c r="DB276" s="79">
        <f t="shared" si="384"/>
        <v>0</v>
      </c>
      <c r="DC276" s="79">
        <f t="shared" si="385"/>
        <v>-5245.71</v>
      </c>
      <c r="DD276" s="79">
        <f t="shared" si="386"/>
        <v>0</v>
      </c>
      <c r="DE276" s="79">
        <f t="shared" si="387"/>
        <v>6044.29</v>
      </c>
      <c r="DP276" s="131"/>
      <c r="EJ276" s="79">
        <f t="shared" si="388"/>
        <v>0</v>
      </c>
      <c r="EK276" s="79">
        <f t="shared" si="389"/>
        <v>0</v>
      </c>
      <c r="EL276" s="79">
        <f t="shared" si="390"/>
        <v>0</v>
      </c>
      <c r="EM276" s="79">
        <f t="shared" si="372"/>
        <v>6044.29</v>
      </c>
      <c r="FI276" s="66">
        <f t="shared" si="351"/>
        <v>0</v>
      </c>
      <c r="FJ276" s="66">
        <f t="shared" si="352"/>
        <v>0</v>
      </c>
      <c r="FK276" s="66">
        <f t="shared" si="353"/>
        <v>0</v>
      </c>
      <c r="FL276" s="173">
        <f t="shared" si="354"/>
        <v>6044.29</v>
      </c>
    </row>
    <row r="277" spans="1:168" hidden="1" outlineLevel="1" x14ac:dyDescent="0.2">
      <c r="A277" s="76" t="s">
        <v>30</v>
      </c>
      <c r="B277" s="76" t="s">
        <v>85</v>
      </c>
      <c r="C277" s="76" t="s">
        <v>612</v>
      </c>
      <c r="D277" s="76" t="s">
        <v>206</v>
      </c>
      <c r="E277" s="77" t="s">
        <v>211</v>
      </c>
      <c r="F277" s="77" t="s">
        <v>712</v>
      </c>
      <c r="G277" s="77" t="str">
        <f t="shared" si="373"/>
        <v>1</v>
      </c>
      <c r="H277" s="77" t="str">
        <f t="shared" si="374"/>
        <v>0</v>
      </c>
      <c r="I277" s="77" t="str">
        <f t="shared" si="375"/>
        <v>0</v>
      </c>
      <c r="J277" s="77" t="str">
        <f t="shared" si="376"/>
        <v>0</v>
      </c>
      <c r="K277" s="77" t="str">
        <f t="shared" si="377"/>
        <v>1000</v>
      </c>
      <c r="L277" s="77" t="str">
        <f>IFERROR(VLOOKUP(K277,Sheet2!$A$20:$B$23,2,FALSE),"X")</f>
        <v>01</v>
      </c>
      <c r="M277" s="77" t="str">
        <f t="shared" si="368"/>
        <v>20358133District Design and Led 17-20</v>
      </c>
      <c r="N277" s="76" t="s">
        <v>161</v>
      </c>
      <c r="O277" s="76" t="s">
        <v>160</v>
      </c>
      <c r="P277" s="69" t="s">
        <v>168</v>
      </c>
      <c r="Q277" s="78">
        <v>43173</v>
      </c>
      <c r="R277" s="78">
        <v>43173</v>
      </c>
      <c r="S277" s="79">
        <v>18620</v>
      </c>
      <c r="AR277" s="79">
        <f t="shared" si="378"/>
        <v>0</v>
      </c>
      <c r="AS277" s="79">
        <f t="shared" si="379"/>
        <v>0</v>
      </c>
      <c r="AT277" s="79">
        <f t="shared" si="380"/>
        <v>18620</v>
      </c>
      <c r="AU277" s="158" t="s">
        <v>161</v>
      </c>
      <c r="AV277" s="79">
        <v>19558</v>
      </c>
      <c r="BF277" s="79">
        <v>-3644</v>
      </c>
      <c r="BH277" s="79">
        <v>-2397</v>
      </c>
      <c r="BJ277" s="79">
        <v>-1802</v>
      </c>
      <c r="BL277" s="79">
        <v>-2331</v>
      </c>
      <c r="BN277" s="79">
        <v>-2845</v>
      </c>
      <c r="BP277" s="79">
        <v>-3137</v>
      </c>
      <c r="BR277" s="79">
        <v>-744</v>
      </c>
      <c r="BV277" s="79">
        <f t="shared" si="381"/>
        <v>-16900</v>
      </c>
      <c r="BW277" s="79">
        <f t="shared" si="382"/>
        <v>0</v>
      </c>
      <c r="BX277" s="79">
        <f t="shared" si="383"/>
        <v>21278</v>
      </c>
      <c r="CD277" s="79">
        <v>-8010</v>
      </c>
      <c r="CH277" s="79">
        <v>-976.02</v>
      </c>
      <c r="CL277" s="79">
        <v>-10432.48</v>
      </c>
      <c r="CP277" s="79">
        <v>-1750.99</v>
      </c>
      <c r="CT277" s="79">
        <v>-108.51</v>
      </c>
      <c r="DB277" s="79">
        <f t="shared" si="384"/>
        <v>-8010</v>
      </c>
      <c r="DC277" s="79">
        <f t="shared" si="385"/>
        <v>-13268</v>
      </c>
      <c r="DD277" s="79">
        <f t="shared" si="386"/>
        <v>0</v>
      </c>
      <c r="DE277" s="79">
        <f t="shared" si="387"/>
        <v>0</v>
      </c>
      <c r="DP277" s="131"/>
      <c r="EJ277" s="79">
        <f t="shared" si="388"/>
        <v>0</v>
      </c>
      <c r="EK277" s="79">
        <f t="shared" si="389"/>
        <v>0</v>
      </c>
      <c r="EL277" s="79">
        <f t="shared" si="390"/>
        <v>0</v>
      </c>
      <c r="EM277" s="79">
        <f t="shared" si="372"/>
        <v>0</v>
      </c>
      <c r="FI277" s="66">
        <f t="shared" si="351"/>
        <v>0</v>
      </c>
      <c r="FJ277" s="66">
        <f t="shared" si="352"/>
        <v>0</v>
      </c>
      <c r="FK277" s="66">
        <f t="shared" si="353"/>
        <v>0</v>
      </c>
      <c r="FL277" s="173">
        <f t="shared" si="354"/>
        <v>0</v>
      </c>
    </row>
    <row r="278" spans="1:168" hidden="1" outlineLevel="1" x14ac:dyDescent="0.2">
      <c r="A278" s="76" t="s">
        <v>30</v>
      </c>
      <c r="B278" s="76" t="s">
        <v>85</v>
      </c>
      <c r="C278" s="76" t="s">
        <v>612</v>
      </c>
      <c r="D278" s="76" t="s">
        <v>206</v>
      </c>
      <c r="E278" s="77" t="s">
        <v>213</v>
      </c>
      <c r="F278" s="77" t="s">
        <v>712</v>
      </c>
      <c r="G278" s="77" t="str">
        <f t="shared" si="373"/>
        <v>0</v>
      </c>
      <c r="H278" s="77" t="str">
        <f t="shared" si="374"/>
        <v>1</v>
      </c>
      <c r="I278" s="77" t="str">
        <f t="shared" si="375"/>
        <v>0</v>
      </c>
      <c r="J278" s="77" t="str">
        <f t="shared" si="376"/>
        <v>0</v>
      </c>
      <c r="K278" s="77" t="str">
        <f t="shared" si="377"/>
        <v>0100</v>
      </c>
      <c r="L278" s="77" t="str">
        <f>IFERROR(VLOOKUP(K278,Sheet2!$A$20:$B$23,2,FALSE),"X")</f>
        <v>02</v>
      </c>
      <c r="M278" s="77" t="str">
        <f t="shared" si="368"/>
        <v>20358133District Design and Led 18-21</v>
      </c>
      <c r="O278" s="76" t="s">
        <v>160</v>
      </c>
      <c r="P278" s="69" t="s">
        <v>168</v>
      </c>
      <c r="Q278" s="78"/>
      <c r="R278" s="78"/>
      <c r="AR278" s="79">
        <f t="shared" si="378"/>
        <v>0</v>
      </c>
      <c r="AS278" s="79">
        <f t="shared" si="379"/>
        <v>0</v>
      </c>
      <c r="AT278" s="79">
        <f t="shared" si="380"/>
        <v>0</v>
      </c>
      <c r="AU278" s="158" t="s">
        <v>336</v>
      </c>
      <c r="AV278" s="79"/>
      <c r="AW278" s="79">
        <v>31791</v>
      </c>
      <c r="BR278" s="79">
        <v>-3315</v>
      </c>
      <c r="BV278" s="79">
        <f t="shared" si="381"/>
        <v>-3315</v>
      </c>
      <c r="BW278" s="79">
        <f t="shared" si="382"/>
        <v>0</v>
      </c>
      <c r="BX278" s="79">
        <f t="shared" si="383"/>
        <v>28476</v>
      </c>
      <c r="BY278" s="158" t="s">
        <v>341</v>
      </c>
      <c r="CA278" s="79">
        <v>32283</v>
      </c>
      <c r="CH278" s="79">
        <v>-3372.06</v>
      </c>
      <c r="CN278" s="79">
        <v>-5547.0499999999993</v>
      </c>
      <c r="CP278" s="79">
        <v>-525.55999999999995</v>
      </c>
      <c r="CR278" s="79">
        <v>-3841.9300000000003</v>
      </c>
      <c r="CT278" s="79">
        <f>-2234.66-2886.74-1489.3-2714.93</f>
        <v>-9325.6299999999992</v>
      </c>
      <c r="CV278" s="79">
        <f>-3697.49-1729.06</f>
        <v>-5426.5499999999993</v>
      </c>
      <c r="CX278" s="79">
        <f>-950.43-2464.99</f>
        <v>-3415.4199999999996</v>
      </c>
      <c r="CZ278" s="79">
        <f>-3454.45-2409.59</f>
        <v>-5864.04</v>
      </c>
      <c r="DB278" s="79">
        <f t="shared" si="384"/>
        <v>0</v>
      </c>
      <c r="DC278" s="79">
        <f t="shared" si="385"/>
        <v>-37318.239999999991</v>
      </c>
      <c r="DD278" s="79">
        <f t="shared" si="386"/>
        <v>0</v>
      </c>
      <c r="DE278" s="79">
        <f t="shared" si="387"/>
        <v>23440.760000000009</v>
      </c>
      <c r="DH278" s="103">
        <v>60541.875</v>
      </c>
      <c r="DM278" s="79">
        <v>-2626.56</v>
      </c>
      <c r="DP278" s="131"/>
      <c r="DQ278" s="79">
        <f>-3890.74-500.99</f>
        <v>-4391.7299999999996</v>
      </c>
      <c r="DS278" s="79">
        <f>-(500.99+1245.37+4557.17)</f>
        <v>-6303.53</v>
      </c>
      <c r="DU278" s="79">
        <f>-(50.94+4557.17+450.05+1245.37)</f>
        <v>-6303.53</v>
      </c>
      <c r="DW278" s="79">
        <f>-(4557.17+1245.37+500.99)</f>
        <v>-6303.53</v>
      </c>
      <c r="DY278" s="79">
        <f>-(4557.17+1245.37+500.99)</f>
        <v>-6303.53</v>
      </c>
      <c r="EC278" s="79">
        <f>-(74.98+769.69+4557.17)</f>
        <v>-5401.84</v>
      </c>
      <c r="EE278" s="79">
        <f>-(500.99+1245.37+4557.17+4557.17)</f>
        <v>-10860.7</v>
      </c>
      <c r="EH278" s="79" t="s">
        <v>701</v>
      </c>
      <c r="EI278" s="79">
        <v>-1891.52</v>
      </c>
      <c r="EJ278" s="79">
        <f t="shared" si="388"/>
        <v>0</v>
      </c>
      <c r="EK278" s="79">
        <f t="shared" si="389"/>
        <v>-48494.95</v>
      </c>
      <c r="EL278" s="79">
        <f t="shared" si="390"/>
        <v>-1891.52</v>
      </c>
      <c r="EM278" s="79">
        <f t="shared" si="372"/>
        <v>33596.165000000015</v>
      </c>
      <c r="EP278" s="103">
        <v>61755.574999999997</v>
      </c>
      <c r="ES278" s="66">
        <f>-(2665.65+4557.21)</f>
        <v>-7222.8600000000006</v>
      </c>
      <c r="EW278" s="144">
        <v>-10536.36</v>
      </c>
      <c r="EY278" s="144">
        <f>-5092.5-13125</f>
        <v>-18217.5</v>
      </c>
      <c r="FE278" s="312">
        <v>-5092.5</v>
      </c>
      <c r="FI278" s="66">
        <f t="shared" si="351"/>
        <v>0</v>
      </c>
      <c r="FJ278" s="66">
        <f t="shared" si="352"/>
        <v>0</v>
      </c>
      <c r="FK278" s="66">
        <f t="shared" si="353"/>
        <v>-41069.22</v>
      </c>
      <c r="FL278" s="173">
        <f t="shared" si="354"/>
        <v>54282.520000000019</v>
      </c>
    </row>
    <row r="279" spans="1:168" hidden="1" outlineLevel="1" x14ac:dyDescent="0.2">
      <c r="A279" s="76" t="s">
        <v>30</v>
      </c>
      <c r="B279" s="76" t="s">
        <v>34</v>
      </c>
      <c r="C279" s="76" t="s">
        <v>612</v>
      </c>
      <c r="D279" s="76" t="s">
        <v>111</v>
      </c>
      <c r="E279" s="77" t="s">
        <v>211</v>
      </c>
      <c r="F279" s="77" t="s">
        <v>712</v>
      </c>
      <c r="G279" s="77" t="str">
        <f t="shared" si="373"/>
        <v>1</v>
      </c>
      <c r="H279" s="77" t="str">
        <f t="shared" si="374"/>
        <v>0</v>
      </c>
      <c r="I279" s="77" t="str">
        <f t="shared" si="375"/>
        <v>0</v>
      </c>
      <c r="J279" s="77" t="str">
        <f t="shared" si="376"/>
        <v>0</v>
      </c>
      <c r="K279" s="77" t="str">
        <f t="shared" si="377"/>
        <v>1000</v>
      </c>
      <c r="L279" s="77" t="str">
        <f>IFERROR(VLOOKUP(K279,Sheet2!$A$20:$B$23,2,FALSE),"X")</f>
        <v>01</v>
      </c>
      <c r="M279" s="99" t="str">
        <f t="shared" si="368"/>
        <v>2035N/ADistrict Design and Led 17-20</v>
      </c>
      <c r="N279" s="98" t="s">
        <v>161</v>
      </c>
      <c r="O279" s="98" t="s">
        <v>160</v>
      </c>
      <c r="P279" s="69" t="s">
        <v>168</v>
      </c>
      <c r="Q279" s="78">
        <v>43173</v>
      </c>
      <c r="R279" s="78">
        <v>43173</v>
      </c>
      <c r="S279" s="79">
        <v>133177</v>
      </c>
      <c r="AR279" s="79">
        <f t="shared" si="378"/>
        <v>0</v>
      </c>
      <c r="AS279" s="79">
        <f t="shared" si="379"/>
        <v>0</v>
      </c>
      <c r="AT279" s="79">
        <f t="shared" si="380"/>
        <v>133177</v>
      </c>
      <c r="AU279" s="158" t="s">
        <v>161</v>
      </c>
      <c r="AV279" s="79">
        <v>126000</v>
      </c>
      <c r="BF279" s="79">
        <v>-16785</v>
      </c>
      <c r="BH279" s="79">
        <v>-6000</v>
      </c>
      <c r="BJ279" s="79">
        <v>-8137</v>
      </c>
      <c r="BL279" s="79">
        <v>-2034</v>
      </c>
      <c r="BN279" s="79">
        <v>-16160</v>
      </c>
      <c r="BP279" s="79">
        <v>-16276</v>
      </c>
      <c r="BR279" s="79">
        <v>-8026</v>
      </c>
      <c r="BV279" s="79">
        <f t="shared" si="381"/>
        <v>-73418</v>
      </c>
      <c r="BW279" s="79">
        <f t="shared" si="382"/>
        <v>0</v>
      </c>
      <c r="BX279" s="79">
        <f t="shared" si="383"/>
        <v>185759</v>
      </c>
      <c r="CD279" s="79">
        <v>-44912.800000000003</v>
      </c>
      <c r="CJ279" s="79">
        <v>-27425.99</v>
      </c>
      <c r="CL279" s="79">
        <v>-23457.99</v>
      </c>
      <c r="CN279" s="79">
        <v>-2185.9899999999998</v>
      </c>
      <c r="CP279" s="79">
        <v>-22585.23</v>
      </c>
      <c r="CR279" s="79">
        <v>-3690.38</v>
      </c>
      <c r="CT279" s="79">
        <v>-19962.38</v>
      </c>
      <c r="CV279" s="79">
        <v>-3723.88</v>
      </c>
      <c r="CX279" s="79">
        <v>-3707.13</v>
      </c>
      <c r="CZ279" s="79">
        <v>-3599.01</v>
      </c>
      <c r="DB279" s="79">
        <f t="shared" si="384"/>
        <v>-44912.800000000003</v>
      </c>
      <c r="DC279" s="79">
        <f t="shared" si="385"/>
        <v>-110337.98000000001</v>
      </c>
      <c r="DD279" s="79">
        <f t="shared" si="386"/>
        <v>0</v>
      </c>
      <c r="DE279" s="79">
        <f t="shared" si="387"/>
        <v>30508.219999999972</v>
      </c>
      <c r="DK279" s="79">
        <v>-11266.31</v>
      </c>
      <c r="DQ279" s="79">
        <v>-12275</v>
      </c>
      <c r="EI279" s="79" t="s">
        <v>701</v>
      </c>
      <c r="EJ279" s="79">
        <f t="shared" si="388"/>
        <v>0</v>
      </c>
      <c r="EK279" s="79">
        <f t="shared" si="389"/>
        <v>-23541.309999999998</v>
      </c>
      <c r="EL279" s="79">
        <f t="shared" si="390"/>
        <v>0</v>
      </c>
      <c r="EM279" s="79">
        <f t="shared" si="372"/>
        <v>6966.9099999999744</v>
      </c>
      <c r="ES279" s="66">
        <v>-6966.91</v>
      </c>
      <c r="FI279" s="66">
        <f t="shared" si="351"/>
        <v>0</v>
      </c>
      <c r="FJ279" s="66">
        <f t="shared" si="352"/>
        <v>0</v>
      </c>
      <c r="FK279" s="66">
        <f t="shared" si="353"/>
        <v>-6966.91</v>
      </c>
      <c r="FL279" s="173">
        <f t="shared" si="354"/>
        <v>-2.5465851649641991E-11</v>
      </c>
    </row>
    <row r="280" spans="1:168" hidden="1" outlineLevel="1" x14ac:dyDescent="0.2">
      <c r="A280" s="76" t="s">
        <v>224</v>
      </c>
      <c r="B280" s="76" t="s">
        <v>318</v>
      </c>
      <c r="C280" s="76" t="s">
        <v>225</v>
      </c>
      <c r="D280" s="76" t="s">
        <v>288</v>
      </c>
      <c r="E280" s="77" t="s">
        <v>213</v>
      </c>
      <c r="F280" s="77" t="s">
        <v>712</v>
      </c>
      <c r="G280" s="77" t="str">
        <f t="shared" si="373"/>
        <v>0</v>
      </c>
      <c r="H280" s="77" t="str">
        <f t="shared" si="374"/>
        <v>1</v>
      </c>
      <c r="I280" s="77" t="str">
        <f t="shared" si="375"/>
        <v>0</v>
      </c>
      <c r="J280" s="77" t="str">
        <f t="shared" si="376"/>
        <v>0</v>
      </c>
      <c r="K280" s="77" t="str">
        <f t="shared" si="377"/>
        <v>0100</v>
      </c>
      <c r="L280" s="77" t="str">
        <f>IFERROR(VLOOKUP(K280,Sheet2!$A$20:$B$23,2,FALSE),"X")</f>
        <v>02</v>
      </c>
      <c r="M280" s="77" t="str">
        <f t="shared" si="368"/>
        <v>21806366District Design and Led 18-21</v>
      </c>
      <c r="O280" s="76" t="s">
        <v>160</v>
      </c>
      <c r="P280" s="69" t="s">
        <v>168</v>
      </c>
      <c r="Q280" s="78"/>
      <c r="R280" s="78"/>
      <c r="AR280" s="79">
        <f t="shared" si="378"/>
        <v>0</v>
      </c>
      <c r="AS280" s="79">
        <f t="shared" si="379"/>
        <v>0</v>
      </c>
      <c r="AT280" s="79">
        <f t="shared" si="380"/>
        <v>0</v>
      </c>
      <c r="AU280" s="158" t="s">
        <v>336</v>
      </c>
      <c r="AV280" s="79"/>
      <c r="AW280" s="97">
        <f>50000+(50000*0.0594)</f>
        <v>52970</v>
      </c>
      <c r="BV280" s="79">
        <f t="shared" si="381"/>
        <v>0</v>
      </c>
      <c r="BW280" s="79">
        <f t="shared" si="382"/>
        <v>0</v>
      </c>
      <c r="BX280" s="79">
        <f t="shared" si="383"/>
        <v>52970</v>
      </c>
      <c r="BY280" s="158" t="s">
        <v>341</v>
      </c>
      <c r="CA280" s="79">
        <v>50000</v>
      </c>
      <c r="CV280" s="79">
        <v>-50000</v>
      </c>
      <c r="CZ280" s="79">
        <v>-19341.45</v>
      </c>
      <c r="DB280" s="79">
        <f t="shared" si="384"/>
        <v>0</v>
      </c>
      <c r="DC280" s="79">
        <f t="shared" si="385"/>
        <v>-69341.45</v>
      </c>
      <c r="DD280" s="79">
        <f t="shared" si="386"/>
        <v>0</v>
      </c>
      <c r="DE280" s="79">
        <f t="shared" si="387"/>
        <v>33628.550000000003</v>
      </c>
      <c r="DP280" s="131"/>
      <c r="DW280" s="79">
        <v>-13063.33</v>
      </c>
      <c r="DY280" s="79">
        <v>-8853.1299999999992</v>
      </c>
      <c r="EJ280" s="79">
        <f t="shared" si="388"/>
        <v>0</v>
      </c>
      <c r="EK280" s="79">
        <f t="shared" si="389"/>
        <v>-21916.46</v>
      </c>
      <c r="EL280" s="79">
        <f t="shared" si="390"/>
        <v>0</v>
      </c>
      <c r="EM280" s="79">
        <f t="shared" si="372"/>
        <v>11712.090000000004</v>
      </c>
      <c r="ES280" s="66">
        <v>-7882.67</v>
      </c>
      <c r="FC280" s="224">
        <v>-3829.42</v>
      </c>
      <c r="FI280" s="66">
        <f t="shared" si="351"/>
        <v>0</v>
      </c>
      <c r="FJ280" s="66">
        <f t="shared" si="352"/>
        <v>0</v>
      </c>
      <c r="FK280" s="66">
        <f t="shared" si="353"/>
        <v>-11712.09</v>
      </c>
      <c r="FL280" s="173">
        <f t="shared" si="354"/>
        <v>0</v>
      </c>
    </row>
    <row r="281" spans="1:168" hidden="1" outlineLevel="1" x14ac:dyDescent="0.2">
      <c r="A281" s="76" t="s">
        <v>224</v>
      </c>
      <c r="B281" s="76" t="s">
        <v>428</v>
      </c>
      <c r="C281" s="76" t="s">
        <v>225</v>
      </c>
      <c r="D281" s="76" t="s">
        <v>553</v>
      </c>
      <c r="E281" s="77" t="s">
        <v>213</v>
      </c>
      <c r="F281" s="77" t="s">
        <v>712</v>
      </c>
      <c r="G281" s="77" t="str">
        <f t="shared" si="373"/>
        <v>0</v>
      </c>
      <c r="H281" s="77" t="str">
        <f t="shared" si="374"/>
        <v>1</v>
      </c>
      <c r="I281" s="77" t="str">
        <f t="shared" si="375"/>
        <v>0</v>
      </c>
      <c r="J281" s="77" t="str">
        <f t="shared" si="376"/>
        <v>0</v>
      </c>
      <c r="K281" s="77" t="str">
        <f t="shared" si="377"/>
        <v>0100</v>
      </c>
      <c r="L281" s="77" t="str">
        <f>IFERROR(VLOOKUP(K281,Sheet2!$A$20:$B$23,2,FALSE),"X")</f>
        <v>02</v>
      </c>
      <c r="M281" s="77" t="str">
        <f t="shared" si="368"/>
        <v>21806466District Design and Led 18-21</v>
      </c>
      <c r="O281" s="76" t="s">
        <v>160</v>
      </c>
      <c r="P281" s="69" t="s">
        <v>168</v>
      </c>
      <c r="Q281" s="78"/>
      <c r="R281" s="78"/>
      <c r="AR281" s="79">
        <f t="shared" si="378"/>
        <v>0</v>
      </c>
      <c r="AS281" s="79">
        <f t="shared" si="379"/>
        <v>0</v>
      </c>
      <c r="AT281" s="79">
        <f t="shared" si="380"/>
        <v>0</v>
      </c>
      <c r="AU281" s="158" t="s">
        <v>336</v>
      </c>
      <c r="AV281" s="79"/>
      <c r="AW281" s="97">
        <f>50000+(50000*0.0594)</f>
        <v>52970</v>
      </c>
      <c r="BV281" s="79">
        <f t="shared" si="381"/>
        <v>0</v>
      </c>
      <c r="BW281" s="79">
        <f t="shared" si="382"/>
        <v>0</v>
      </c>
      <c r="BX281" s="79">
        <f t="shared" si="383"/>
        <v>52970</v>
      </c>
      <c r="BY281" s="158" t="s">
        <v>341</v>
      </c>
      <c r="CA281" s="79">
        <v>50000</v>
      </c>
      <c r="CL281" s="79">
        <v>-18443.88</v>
      </c>
      <c r="CV281" s="79">
        <v>-31556.12</v>
      </c>
      <c r="CZ281" s="79">
        <v>-41466.9</v>
      </c>
      <c r="DB281" s="79">
        <f t="shared" si="384"/>
        <v>0</v>
      </c>
      <c r="DC281" s="79">
        <f t="shared" si="385"/>
        <v>-91466.9</v>
      </c>
      <c r="DD281" s="79">
        <f t="shared" si="386"/>
        <v>0</v>
      </c>
      <c r="DE281" s="79">
        <f t="shared" si="387"/>
        <v>11503.100000000006</v>
      </c>
      <c r="DM281" s="79">
        <v>-8533.1</v>
      </c>
      <c r="DP281" s="131"/>
      <c r="EJ281" s="79">
        <f t="shared" si="388"/>
        <v>0</v>
      </c>
      <c r="EK281" s="79">
        <f t="shared" si="389"/>
        <v>-8533.1</v>
      </c>
      <c r="EL281" s="79">
        <f t="shared" si="390"/>
        <v>0</v>
      </c>
      <c r="EM281" s="79">
        <f t="shared" si="372"/>
        <v>2970.0000000000055</v>
      </c>
      <c r="EX281" s="144">
        <v>-2970</v>
      </c>
      <c r="FI281" s="66">
        <f t="shared" si="351"/>
        <v>0</v>
      </c>
      <c r="FJ281" s="66">
        <f t="shared" si="352"/>
        <v>0</v>
      </c>
      <c r="FK281" s="66">
        <f t="shared" si="353"/>
        <v>-2970</v>
      </c>
      <c r="FL281" s="173">
        <f t="shared" si="354"/>
        <v>5.4569682106375694E-12</v>
      </c>
    </row>
    <row r="282" spans="1:168" hidden="1" outlineLevel="1" x14ac:dyDescent="0.2">
      <c r="A282" s="76" t="s">
        <v>224</v>
      </c>
      <c r="B282" s="76" t="s">
        <v>320</v>
      </c>
      <c r="C282" s="76" t="s">
        <v>225</v>
      </c>
      <c r="D282" s="76" t="s">
        <v>290</v>
      </c>
      <c r="E282" s="77" t="s">
        <v>213</v>
      </c>
      <c r="F282" s="77" t="s">
        <v>712</v>
      </c>
      <c r="G282" s="77" t="str">
        <f t="shared" si="373"/>
        <v>0</v>
      </c>
      <c r="H282" s="77" t="str">
        <f t="shared" si="374"/>
        <v>1</v>
      </c>
      <c r="I282" s="77" t="str">
        <f t="shared" si="375"/>
        <v>0</v>
      </c>
      <c r="J282" s="77" t="str">
        <f t="shared" si="376"/>
        <v>0</v>
      </c>
      <c r="K282" s="77" t="str">
        <f t="shared" si="377"/>
        <v>0100</v>
      </c>
      <c r="L282" s="77" t="str">
        <f>IFERROR(VLOOKUP(K282,Sheet2!$A$20:$B$23,2,FALSE),"X")</f>
        <v>02</v>
      </c>
      <c r="M282" s="77" t="str">
        <f t="shared" si="368"/>
        <v>21807106District Design and Led 18-21</v>
      </c>
      <c r="O282" s="76" t="s">
        <v>160</v>
      </c>
      <c r="P282" s="69" t="s">
        <v>168</v>
      </c>
      <c r="Q282" s="78"/>
      <c r="R282" s="78"/>
      <c r="AR282" s="79">
        <f t="shared" si="378"/>
        <v>0</v>
      </c>
      <c r="AS282" s="79">
        <f t="shared" si="379"/>
        <v>0</v>
      </c>
      <c r="AT282" s="79">
        <f t="shared" si="380"/>
        <v>0</v>
      </c>
      <c r="AU282" s="158" t="s">
        <v>336</v>
      </c>
      <c r="AV282" s="79"/>
      <c r="AW282" s="97">
        <f>50000+(50000*0.0594)</f>
        <v>52970</v>
      </c>
      <c r="BV282" s="79">
        <f t="shared" si="381"/>
        <v>0</v>
      </c>
      <c r="BW282" s="79">
        <f t="shared" si="382"/>
        <v>0</v>
      </c>
      <c r="BX282" s="79">
        <f t="shared" si="383"/>
        <v>52970</v>
      </c>
      <c r="BY282" s="158" t="s">
        <v>341</v>
      </c>
      <c r="CA282" s="79">
        <v>50000</v>
      </c>
      <c r="CL282" s="79">
        <v>-7765.29</v>
      </c>
      <c r="CV282" s="79">
        <v>-42234.71</v>
      </c>
      <c r="CZ282" s="79">
        <v>-20321.77</v>
      </c>
      <c r="DB282" s="79">
        <f t="shared" si="384"/>
        <v>0</v>
      </c>
      <c r="DC282" s="79">
        <f t="shared" si="385"/>
        <v>-70321.77</v>
      </c>
      <c r="DD282" s="79">
        <f t="shared" si="386"/>
        <v>0</v>
      </c>
      <c r="DE282" s="79">
        <f t="shared" si="387"/>
        <v>32648.229999999996</v>
      </c>
      <c r="DP282" s="131"/>
      <c r="DW282" s="79">
        <v>-20125.830000000002</v>
      </c>
      <c r="DY282" s="79">
        <v>-4095.45</v>
      </c>
      <c r="EJ282" s="79">
        <f t="shared" si="388"/>
        <v>0</v>
      </c>
      <c r="EK282" s="79">
        <f t="shared" si="389"/>
        <v>-24221.280000000002</v>
      </c>
      <c r="EL282" s="79">
        <f t="shared" si="390"/>
        <v>0</v>
      </c>
      <c r="EM282" s="79">
        <f t="shared" si="372"/>
        <v>8426.9499999999935</v>
      </c>
      <c r="ES282" s="66">
        <v>-5525.1</v>
      </c>
      <c r="EU282" s="66">
        <v>-917.9</v>
      </c>
      <c r="FC282" s="224">
        <v>-1983.95</v>
      </c>
      <c r="FI282" s="66">
        <f t="shared" si="351"/>
        <v>0</v>
      </c>
      <c r="FJ282" s="66">
        <f t="shared" si="352"/>
        <v>0</v>
      </c>
      <c r="FK282" s="66">
        <f t="shared" si="353"/>
        <v>-8426.9500000000007</v>
      </c>
      <c r="FL282" s="173">
        <f t="shared" si="354"/>
        <v>0</v>
      </c>
    </row>
    <row r="283" spans="1:168" hidden="1" outlineLevel="1" x14ac:dyDescent="0.2">
      <c r="A283" s="77" t="s">
        <v>224</v>
      </c>
      <c r="B283" s="76" t="s">
        <v>34</v>
      </c>
      <c r="C283" s="76" t="s">
        <v>225</v>
      </c>
      <c r="D283" s="76" t="s">
        <v>111</v>
      </c>
      <c r="E283" s="77" t="s">
        <v>211</v>
      </c>
      <c r="F283" s="77" t="s">
        <v>712</v>
      </c>
      <c r="G283" s="77" t="str">
        <f t="shared" si="373"/>
        <v>1</v>
      </c>
      <c r="H283" s="77" t="str">
        <f t="shared" si="374"/>
        <v>0</v>
      </c>
      <c r="I283" s="77" t="str">
        <f t="shared" si="375"/>
        <v>0</v>
      </c>
      <c r="J283" s="77" t="str">
        <f t="shared" si="376"/>
        <v>0</v>
      </c>
      <c r="K283" s="77" t="str">
        <f t="shared" si="377"/>
        <v>1000</v>
      </c>
      <c r="L283" s="77" t="str">
        <f>IFERROR(VLOOKUP(K283,Sheet2!$A$20:$B$23,2,FALSE),"X")</f>
        <v>01</v>
      </c>
      <c r="M283" s="77" t="str">
        <f t="shared" si="368"/>
        <v>2180N/ADistrict Design and Led 17-20</v>
      </c>
      <c r="N283" s="76" t="s">
        <v>161</v>
      </c>
      <c r="O283" s="76" t="s">
        <v>160</v>
      </c>
      <c r="P283" s="69" t="s">
        <v>168</v>
      </c>
      <c r="Q283" s="78">
        <v>43173</v>
      </c>
      <c r="R283" s="78">
        <v>43173</v>
      </c>
      <c r="S283" s="79">
        <v>60894</v>
      </c>
      <c r="AR283" s="79">
        <f t="shared" si="378"/>
        <v>0</v>
      </c>
      <c r="AS283" s="79">
        <f t="shared" si="379"/>
        <v>0</v>
      </c>
      <c r="AT283" s="79">
        <f t="shared" si="380"/>
        <v>60894</v>
      </c>
      <c r="AU283" s="158" t="s">
        <v>161</v>
      </c>
      <c r="AV283" s="79">
        <v>75000</v>
      </c>
      <c r="BD283" s="79">
        <v>-53675</v>
      </c>
      <c r="BV283" s="79">
        <f t="shared" si="381"/>
        <v>-53675</v>
      </c>
      <c r="BW283" s="79">
        <f t="shared" si="382"/>
        <v>0</v>
      </c>
      <c r="BX283" s="79">
        <f t="shared" si="383"/>
        <v>82219</v>
      </c>
      <c r="CT283" s="79">
        <v>-79079.75</v>
      </c>
      <c r="CV283" s="79">
        <v>-3139.25</v>
      </c>
      <c r="DB283" s="79">
        <f t="shared" si="384"/>
        <v>0</v>
      </c>
      <c r="DC283" s="79">
        <f t="shared" si="385"/>
        <v>-82219</v>
      </c>
      <c r="DD283" s="79">
        <f t="shared" si="386"/>
        <v>0</v>
      </c>
      <c r="DE283" s="79">
        <f t="shared" si="387"/>
        <v>0</v>
      </c>
      <c r="DP283" s="131"/>
      <c r="EJ283" s="79">
        <f t="shared" si="388"/>
        <v>0</v>
      </c>
      <c r="EK283" s="79">
        <f t="shared" si="389"/>
        <v>0</v>
      </c>
      <c r="EL283" s="79">
        <f t="shared" si="390"/>
        <v>0</v>
      </c>
      <c r="EM283" s="79">
        <f t="shared" si="372"/>
        <v>0</v>
      </c>
      <c r="FI283" s="66">
        <f t="shared" si="351"/>
        <v>0</v>
      </c>
      <c r="FJ283" s="66">
        <f t="shared" si="352"/>
        <v>0</v>
      </c>
      <c r="FK283" s="66">
        <f t="shared" si="353"/>
        <v>0</v>
      </c>
      <c r="FL283" s="173">
        <f t="shared" si="354"/>
        <v>0</v>
      </c>
    </row>
    <row r="284" spans="1:168" hidden="1" outlineLevel="1" x14ac:dyDescent="0.2">
      <c r="A284" s="76" t="s">
        <v>224</v>
      </c>
      <c r="B284" s="76" t="s">
        <v>34</v>
      </c>
      <c r="C284" s="76" t="s">
        <v>225</v>
      </c>
      <c r="D284" s="76" t="s">
        <v>111</v>
      </c>
      <c r="E284" s="77" t="s">
        <v>213</v>
      </c>
      <c r="F284" s="77" t="s">
        <v>712</v>
      </c>
      <c r="G284" s="77" t="str">
        <f t="shared" si="373"/>
        <v>0</v>
      </c>
      <c r="H284" s="77" t="str">
        <f t="shared" si="374"/>
        <v>1</v>
      </c>
      <c r="I284" s="77" t="str">
        <f t="shared" si="375"/>
        <v>0</v>
      </c>
      <c r="J284" s="77" t="str">
        <f t="shared" si="376"/>
        <v>0</v>
      </c>
      <c r="K284" s="77" t="str">
        <f t="shared" si="377"/>
        <v>0100</v>
      </c>
      <c r="L284" s="77" t="str">
        <f>IFERROR(VLOOKUP(K284,Sheet2!$A$20:$B$23,2,FALSE),"X")</f>
        <v>02</v>
      </c>
      <c r="M284" s="77" t="str">
        <f t="shared" si="368"/>
        <v>2180N/ADistrict Design and Led 18-21</v>
      </c>
      <c r="O284" s="76" t="s">
        <v>160</v>
      </c>
      <c r="P284" s="69" t="s">
        <v>168</v>
      </c>
      <c r="Q284" s="78"/>
      <c r="R284" s="78"/>
      <c r="AR284" s="79">
        <f t="shared" si="378"/>
        <v>0</v>
      </c>
      <c r="AS284" s="79">
        <f t="shared" si="379"/>
        <v>0</v>
      </c>
      <c r="AT284" s="79">
        <f t="shared" si="380"/>
        <v>0</v>
      </c>
      <c r="AU284" s="158" t="s">
        <v>336</v>
      </c>
      <c r="AV284" s="79"/>
      <c r="AW284" s="97">
        <f>369455+(369455*0.0594)</f>
        <v>391400.62699999998</v>
      </c>
      <c r="BV284" s="79">
        <f t="shared" si="381"/>
        <v>0</v>
      </c>
      <c r="BW284" s="79">
        <f t="shared" si="382"/>
        <v>0</v>
      </c>
      <c r="BX284" s="79">
        <f t="shared" si="383"/>
        <v>391400.62699999998</v>
      </c>
      <c r="BY284" s="79"/>
      <c r="CA284" s="79">
        <v>329546</v>
      </c>
      <c r="CL284" s="79">
        <v>-59151.519999999997</v>
      </c>
      <c r="CV284" s="79">
        <f>-51370.24-231223.73</f>
        <v>-282593.97000000003</v>
      </c>
      <c r="DB284" s="79">
        <f t="shared" si="384"/>
        <v>0</v>
      </c>
      <c r="DC284" s="79">
        <f t="shared" si="385"/>
        <v>-341745.49000000005</v>
      </c>
      <c r="DD284" s="79">
        <f t="shared" si="386"/>
        <v>0</v>
      </c>
      <c r="DE284" s="79">
        <f t="shared" si="387"/>
        <v>379201.13699999993</v>
      </c>
      <c r="DF284" s="79"/>
      <c r="DG284" s="79">
        <v>283624</v>
      </c>
      <c r="DP284" s="131"/>
      <c r="DQ284" s="79">
        <v>-20490.509999999998</v>
      </c>
      <c r="DU284" s="79">
        <v>-322006.19</v>
      </c>
      <c r="DW284" s="79">
        <v>-5840.47</v>
      </c>
      <c r="DY284" s="79">
        <f>-(1699.34+209021.54)</f>
        <v>-210720.88</v>
      </c>
      <c r="EE284" s="79">
        <v>-41593.620000000003</v>
      </c>
      <c r="EJ284" s="79">
        <f t="shared" si="388"/>
        <v>0</v>
      </c>
      <c r="EK284" s="79">
        <f t="shared" si="389"/>
        <v>-600651.67000000004</v>
      </c>
      <c r="EL284" s="79">
        <f t="shared" si="390"/>
        <v>0</v>
      </c>
      <c r="EM284" s="79">
        <f t="shared" si="372"/>
        <v>62173.46699999983</v>
      </c>
      <c r="ES284" s="66">
        <v>-62173.47</v>
      </c>
      <c r="FI284" s="66">
        <f t="shared" si="351"/>
        <v>0</v>
      </c>
      <c r="FJ284" s="66">
        <f t="shared" si="352"/>
        <v>0</v>
      </c>
      <c r="FK284" s="66">
        <f t="shared" si="353"/>
        <v>-62173.47</v>
      </c>
      <c r="FL284" s="173">
        <f t="shared" si="354"/>
        <v>-3.0000001715961844E-3</v>
      </c>
    </row>
    <row r="285" spans="1:168" hidden="1" outlineLevel="1" x14ac:dyDescent="0.2">
      <c r="A285" s="76" t="s">
        <v>400</v>
      </c>
      <c r="B285" s="76" t="s">
        <v>429</v>
      </c>
      <c r="C285" s="76" t="s">
        <v>611</v>
      </c>
      <c r="D285" s="76" t="s">
        <v>554</v>
      </c>
      <c r="E285" s="77" t="s">
        <v>213</v>
      </c>
      <c r="F285" s="77" t="s">
        <v>712</v>
      </c>
      <c r="G285" s="77" t="str">
        <f t="shared" si="373"/>
        <v>0</v>
      </c>
      <c r="H285" s="77" t="str">
        <f t="shared" si="374"/>
        <v>1</v>
      </c>
      <c r="I285" s="77" t="str">
        <f t="shared" si="375"/>
        <v>0</v>
      </c>
      <c r="J285" s="77" t="str">
        <f t="shared" si="376"/>
        <v>0</v>
      </c>
      <c r="K285" s="77" t="str">
        <f t="shared" si="377"/>
        <v>0100</v>
      </c>
      <c r="L285" s="77" t="str">
        <f>IFERROR(VLOOKUP(K285,Sheet2!$A$20:$B$23,2,FALSE),"X")</f>
        <v>02</v>
      </c>
      <c r="M285" s="77" t="str">
        <f t="shared" si="368"/>
        <v>21906196District Design and Led 18-21</v>
      </c>
      <c r="O285" s="76" t="s">
        <v>160</v>
      </c>
      <c r="P285" s="69" t="s">
        <v>168</v>
      </c>
      <c r="Q285" s="78"/>
      <c r="R285" s="78"/>
      <c r="AR285" s="79">
        <f t="shared" si="378"/>
        <v>0</v>
      </c>
      <c r="AS285" s="79">
        <f t="shared" si="379"/>
        <v>0</v>
      </c>
      <c r="AT285" s="79">
        <f t="shared" si="380"/>
        <v>0</v>
      </c>
      <c r="AU285" s="158" t="s">
        <v>336</v>
      </c>
      <c r="AV285" s="79"/>
      <c r="AW285" s="79">
        <v>69390</v>
      </c>
      <c r="BP285" s="79">
        <v>-36000</v>
      </c>
      <c r="BT285" s="79">
        <v>-32190</v>
      </c>
      <c r="BV285" s="79">
        <f t="shared" si="381"/>
        <v>-68190</v>
      </c>
      <c r="BW285" s="79">
        <f t="shared" si="382"/>
        <v>0</v>
      </c>
      <c r="BX285" s="79">
        <f t="shared" si="383"/>
        <v>1200</v>
      </c>
      <c r="BY285" s="79"/>
      <c r="CD285" s="79">
        <v>-1200</v>
      </c>
      <c r="DB285" s="79">
        <f t="shared" si="384"/>
        <v>-1200</v>
      </c>
      <c r="DC285" s="79">
        <f t="shared" si="385"/>
        <v>0</v>
      </c>
      <c r="DD285" s="79">
        <f t="shared" si="386"/>
        <v>0</v>
      </c>
      <c r="DE285" s="79">
        <f t="shared" si="387"/>
        <v>0</v>
      </c>
      <c r="DF285" s="79"/>
      <c r="DH285" s="103">
        <v>62156</v>
      </c>
      <c r="DP285" s="131"/>
      <c r="EE285" s="79">
        <v>-40453.800000000003</v>
      </c>
      <c r="EJ285" s="79">
        <f t="shared" si="388"/>
        <v>0</v>
      </c>
      <c r="EK285" s="79">
        <f t="shared" si="389"/>
        <v>-40453.800000000003</v>
      </c>
      <c r="EL285" s="79">
        <f t="shared" si="390"/>
        <v>0</v>
      </c>
      <c r="EM285" s="79">
        <f t="shared" si="372"/>
        <v>21702.199999999997</v>
      </c>
      <c r="EU285" s="66">
        <v>-10958.89</v>
      </c>
      <c r="FI285" s="66">
        <f t="shared" si="351"/>
        <v>0</v>
      </c>
      <c r="FJ285" s="66">
        <f t="shared" si="352"/>
        <v>0</v>
      </c>
      <c r="FK285" s="66">
        <f t="shared" si="353"/>
        <v>-10958.89</v>
      </c>
      <c r="FL285" s="173">
        <f t="shared" si="354"/>
        <v>10743.309999999998</v>
      </c>
    </row>
    <row r="286" spans="1:168" hidden="1" outlineLevel="1" x14ac:dyDescent="0.2">
      <c r="A286" s="76" t="s">
        <v>18</v>
      </c>
      <c r="B286" s="76" t="s">
        <v>41</v>
      </c>
      <c r="C286" s="76" t="s">
        <v>613</v>
      </c>
      <c r="D286" s="76" t="s">
        <v>117</v>
      </c>
      <c r="E286" s="77" t="s">
        <v>213</v>
      </c>
      <c r="F286" s="77" t="s">
        <v>712</v>
      </c>
      <c r="G286" s="77" t="str">
        <f t="shared" si="373"/>
        <v>0</v>
      </c>
      <c r="H286" s="77" t="str">
        <f t="shared" si="374"/>
        <v>1</v>
      </c>
      <c r="I286" s="77" t="str">
        <f t="shared" si="375"/>
        <v>0</v>
      </c>
      <c r="J286" s="77" t="str">
        <f t="shared" si="376"/>
        <v>0</v>
      </c>
      <c r="K286" s="77" t="str">
        <f t="shared" si="377"/>
        <v>0100</v>
      </c>
      <c r="L286" s="77" t="str">
        <f>IFERROR(VLOOKUP(K286,Sheet2!$A$20:$B$23,2,FALSE),"X")</f>
        <v>02</v>
      </c>
      <c r="M286" s="77" t="str">
        <f t="shared" si="368"/>
        <v>23951094District Design and Led 18-21</v>
      </c>
      <c r="O286" s="76" t="s">
        <v>160</v>
      </c>
      <c r="P286" s="69" t="s">
        <v>168</v>
      </c>
      <c r="Q286" s="78"/>
      <c r="R286" s="78"/>
      <c r="AR286" s="79">
        <f t="shared" si="378"/>
        <v>0</v>
      </c>
      <c r="AS286" s="79">
        <f t="shared" si="379"/>
        <v>0</v>
      </c>
      <c r="AT286" s="79">
        <f t="shared" si="380"/>
        <v>0</v>
      </c>
      <c r="AU286" s="158" t="s">
        <v>336</v>
      </c>
      <c r="AV286" s="79"/>
      <c r="AW286" s="79">
        <v>5000</v>
      </c>
      <c r="BP286" s="79">
        <v>-2700</v>
      </c>
      <c r="BR286" s="79">
        <v>-2300</v>
      </c>
      <c r="BV286" s="79">
        <f t="shared" si="381"/>
        <v>-5000</v>
      </c>
      <c r="BW286" s="79">
        <f t="shared" si="382"/>
        <v>0</v>
      </c>
      <c r="BX286" s="79">
        <f t="shared" si="383"/>
        <v>0</v>
      </c>
      <c r="BY286" s="158" t="s">
        <v>458</v>
      </c>
      <c r="CA286" s="79">
        <v>6195</v>
      </c>
      <c r="CL286" s="79">
        <v>-1200</v>
      </c>
      <c r="DB286" s="79">
        <f t="shared" si="384"/>
        <v>0</v>
      </c>
      <c r="DC286" s="79">
        <f t="shared" si="385"/>
        <v>-1200</v>
      </c>
      <c r="DD286" s="79">
        <f t="shared" si="386"/>
        <v>0</v>
      </c>
      <c r="DE286" s="79">
        <f t="shared" si="387"/>
        <v>4995</v>
      </c>
      <c r="DG286" s="79">
        <v>530</v>
      </c>
      <c r="DP286" s="131"/>
      <c r="DQ286" s="79">
        <f>-4995-480</f>
        <v>-5475</v>
      </c>
      <c r="EJ286" s="79">
        <f t="shared" si="388"/>
        <v>0</v>
      </c>
      <c r="EK286" s="79">
        <f t="shared" si="389"/>
        <v>-5475</v>
      </c>
      <c r="EL286" s="79">
        <f t="shared" si="390"/>
        <v>0</v>
      </c>
      <c r="EM286" s="79">
        <f t="shared" si="372"/>
        <v>50</v>
      </c>
      <c r="FI286" s="66">
        <f t="shared" si="351"/>
        <v>0</v>
      </c>
      <c r="FJ286" s="66">
        <f t="shared" si="352"/>
        <v>0</v>
      </c>
      <c r="FK286" s="66">
        <f t="shared" si="353"/>
        <v>0</v>
      </c>
      <c r="FL286" s="173">
        <f t="shared" si="354"/>
        <v>50</v>
      </c>
    </row>
    <row r="287" spans="1:168" hidden="1" outlineLevel="1" x14ac:dyDescent="0.2">
      <c r="A287" s="76" t="s">
        <v>18</v>
      </c>
      <c r="B287" s="76" t="s">
        <v>42</v>
      </c>
      <c r="C287" s="76" t="s">
        <v>613</v>
      </c>
      <c r="D287" s="76" t="s">
        <v>118</v>
      </c>
      <c r="E287" s="77" t="s">
        <v>213</v>
      </c>
      <c r="F287" s="77" t="s">
        <v>712</v>
      </c>
      <c r="G287" s="77" t="str">
        <f t="shared" si="373"/>
        <v>0</v>
      </c>
      <c r="H287" s="77" t="str">
        <f t="shared" si="374"/>
        <v>1</v>
      </c>
      <c r="I287" s="77" t="str">
        <f t="shared" si="375"/>
        <v>0</v>
      </c>
      <c r="J287" s="77" t="str">
        <f t="shared" si="376"/>
        <v>0</v>
      </c>
      <c r="K287" s="77" t="str">
        <f t="shared" si="377"/>
        <v>0100</v>
      </c>
      <c r="L287" s="77" t="str">
        <f>IFERROR(VLOOKUP(K287,Sheet2!$A$20:$B$23,2,FALSE),"X")</f>
        <v>02</v>
      </c>
      <c r="M287" s="77" t="str">
        <f t="shared" si="368"/>
        <v>23951096District Design and Led 18-21</v>
      </c>
      <c r="O287" s="76" t="s">
        <v>160</v>
      </c>
      <c r="P287" s="69" t="s">
        <v>168</v>
      </c>
      <c r="Q287" s="78"/>
      <c r="R287" s="78"/>
      <c r="AR287" s="79">
        <f t="shared" si="378"/>
        <v>0</v>
      </c>
      <c r="AS287" s="79">
        <f t="shared" si="379"/>
        <v>0</v>
      </c>
      <c r="AT287" s="79">
        <f t="shared" si="380"/>
        <v>0</v>
      </c>
      <c r="AU287" s="158" t="s">
        <v>336</v>
      </c>
      <c r="AV287" s="79"/>
      <c r="AW287" s="79">
        <v>10235</v>
      </c>
      <c r="BP287" s="79">
        <v>-6240</v>
      </c>
      <c r="BR287" s="79">
        <v>-3995</v>
      </c>
      <c r="BV287" s="79">
        <f t="shared" si="381"/>
        <v>-10235</v>
      </c>
      <c r="BW287" s="79">
        <f t="shared" si="382"/>
        <v>0</v>
      </c>
      <c r="BX287" s="79">
        <f t="shared" si="383"/>
        <v>0</v>
      </c>
      <c r="BY287" s="158" t="s">
        <v>336</v>
      </c>
      <c r="CA287" s="79">
        <v>15230</v>
      </c>
      <c r="CJ287" s="79">
        <v>-500</v>
      </c>
      <c r="CR287" s="79">
        <v>-8871.36</v>
      </c>
      <c r="DB287" s="79">
        <f t="shared" si="384"/>
        <v>0</v>
      </c>
      <c r="DC287" s="79">
        <f t="shared" si="385"/>
        <v>-9371.36</v>
      </c>
      <c r="DD287" s="79">
        <f t="shared" si="386"/>
        <v>0</v>
      </c>
      <c r="DE287" s="79">
        <f t="shared" si="387"/>
        <v>5858.6399999999994</v>
      </c>
      <c r="DG287" s="79">
        <v>11310</v>
      </c>
      <c r="DM287" s="79">
        <v>-5858.64</v>
      </c>
      <c r="DP287" s="131"/>
      <c r="DY287" s="79">
        <v>-897</v>
      </c>
      <c r="EA287" s="79">
        <v>-4802.74</v>
      </c>
      <c r="EJ287" s="79">
        <f t="shared" si="388"/>
        <v>0</v>
      </c>
      <c r="EK287" s="79">
        <f t="shared" si="389"/>
        <v>-11558.380000000001</v>
      </c>
      <c r="EL287" s="79">
        <f t="shared" si="390"/>
        <v>0</v>
      </c>
      <c r="EM287" s="79">
        <f t="shared" si="372"/>
        <v>5610.2599999999984</v>
      </c>
      <c r="FI287" s="66">
        <f t="shared" si="351"/>
        <v>0</v>
      </c>
      <c r="FJ287" s="66">
        <f t="shared" si="352"/>
        <v>0</v>
      </c>
      <c r="FK287" s="66">
        <f t="shared" si="353"/>
        <v>0</v>
      </c>
      <c r="FL287" s="173">
        <f t="shared" si="354"/>
        <v>5610.2599999999984</v>
      </c>
    </row>
    <row r="288" spans="1:168" hidden="1" outlineLevel="1" x14ac:dyDescent="0.2">
      <c r="A288" s="76" t="s">
        <v>18</v>
      </c>
      <c r="B288" s="77" t="s">
        <v>43</v>
      </c>
      <c r="C288" s="76" t="s">
        <v>613</v>
      </c>
      <c r="D288" s="76" t="s">
        <v>119</v>
      </c>
      <c r="E288" s="77" t="s">
        <v>213</v>
      </c>
      <c r="F288" s="77" t="s">
        <v>712</v>
      </c>
      <c r="G288" s="77" t="str">
        <f t="shared" si="373"/>
        <v>0</v>
      </c>
      <c r="H288" s="77" t="str">
        <f t="shared" si="374"/>
        <v>0</v>
      </c>
      <c r="I288" s="77" t="str">
        <f t="shared" si="375"/>
        <v>0</v>
      </c>
      <c r="J288" s="77" t="str">
        <f t="shared" si="376"/>
        <v>0</v>
      </c>
      <c r="K288" s="77" t="str">
        <f t="shared" si="377"/>
        <v>0000</v>
      </c>
      <c r="L288" s="77" t="str">
        <f>IFERROR(VLOOKUP(K288,Sheet2!$A$20:$B$23,2,FALSE),"X")</f>
        <v>X</v>
      </c>
      <c r="M288" s="77" t="str">
        <f t="shared" si="368"/>
        <v>23951438District Design and Led 18-21</v>
      </c>
      <c r="O288" s="76" t="s">
        <v>160</v>
      </c>
      <c r="P288" s="69" t="s">
        <v>168</v>
      </c>
      <c r="Q288" s="78"/>
      <c r="R288" s="78"/>
      <c r="AR288" s="79">
        <f t="shared" si="378"/>
        <v>0</v>
      </c>
      <c r="AS288" s="79">
        <f t="shared" si="379"/>
        <v>0</v>
      </c>
      <c r="AT288" s="79">
        <f t="shared" si="380"/>
        <v>0</v>
      </c>
      <c r="AU288" s="158" t="s">
        <v>336</v>
      </c>
      <c r="AV288" s="79"/>
      <c r="BV288" s="79">
        <f t="shared" si="381"/>
        <v>0</v>
      </c>
      <c r="BW288" s="79">
        <f t="shared" si="382"/>
        <v>0</v>
      </c>
      <c r="BX288" s="79">
        <f t="shared" si="383"/>
        <v>0</v>
      </c>
      <c r="BY288" s="158" t="s">
        <v>336</v>
      </c>
      <c r="CA288" s="79">
        <v>22600</v>
      </c>
      <c r="CJ288" s="79">
        <v>-8292.89</v>
      </c>
      <c r="CL288" s="79">
        <v>-5550</v>
      </c>
      <c r="CT288" s="79">
        <v>-2800</v>
      </c>
      <c r="DB288" s="79">
        <f t="shared" si="384"/>
        <v>0</v>
      </c>
      <c r="DC288" s="79">
        <f t="shared" si="385"/>
        <v>-16642.89</v>
      </c>
      <c r="DD288" s="79">
        <f t="shared" si="386"/>
        <v>0</v>
      </c>
      <c r="DE288" s="79">
        <f t="shared" si="387"/>
        <v>5957.1100000000006</v>
      </c>
      <c r="DG288" s="79">
        <v>14365</v>
      </c>
      <c r="DM288" s="79">
        <f>-2800-2179.73</f>
        <v>-4979.7299999999996</v>
      </c>
      <c r="DP288" s="131"/>
      <c r="DQ288" s="79">
        <f>-977.38-7947.62</f>
        <v>-8925</v>
      </c>
      <c r="EA288" s="79">
        <v>-2800</v>
      </c>
      <c r="EJ288" s="79">
        <f t="shared" si="388"/>
        <v>0</v>
      </c>
      <c r="EK288" s="79">
        <f t="shared" si="389"/>
        <v>-16704.73</v>
      </c>
      <c r="EL288" s="79">
        <f t="shared" si="390"/>
        <v>0</v>
      </c>
      <c r="EM288" s="79">
        <f t="shared" si="372"/>
        <v>3617.380000000001</v>
      </c>
      <c r="FI288" s="66">
        <f t="shared" si="351"/>
        <v>0</v>
      </c>
      <c r="FJ288" s="66">
        <f t="shared" si="352"/>
        <v>0</v>
      </c>
      <c r="FK288" s="66">
        <f t="shared" si="353"/>
        <v>0</v>
      </c>
      <c r="FL288" s="173">
        <f t="shared" si="354"/>
        <v>3617.380000000001</v>
      </c>
    </row>
    <row r="289" spans="1:170" hidden="1" outlineLevel="1" x14ac:dyDescent="0.2">
      <c r="A289" s="76" t="s">
        <v>18</v>
      </c>
      <c r="B289" s="76" t="s">
        <v>430</v>
      </c>
      <c r="C289" s="76" t="s">
        <v>613</v>
      </c>
      <c r="D289" s="76" t="s">
        <v>555</v>
      </c>
      <c r="E289" s="77" t="s">
        <v>213</v>
      </c>
      <c r="F289" s="77" t="s">
        <v>712</v>
      </c>
      <c r="G289" s="77" t="str">
        <f t="shared" si="373"/>
        <v>0</v>
      </c>
      <c r="H289" s="77" t="str">
        <f t="shared" si="374"/>
        <v>1</v>
      </c>
      <c r="I289" s="77" t="str">
        <f t="shared" si="375"/>
        <v>0</v>
      </c>
      <c r="J289" s="77" t="str">
        <f t="shared" si="376"/>
        <v>0</v>
      </c>
      <c r="K289" s="77" t="str">
        <f t="shared" si="377"/>
        <v>0100</v>
      </c>
      <c r="L289" s="77" t="str">
        <f>IFERROR(VLOOKUP(K289,Sheet2!$A$20:$B$23,2,FALSE),"X")</f>
        <v>02</v>
      </c>
      <c r="M289" s="77" t="str">
        <f t="shared" si="368"/>
        <v>23958832District Design and Led 18-21</v>
      </c>
      <c r="O289" s="76" t="s">
        <v>160</v>
      </c>
      <c r="P289" s="69" t="s">
        <v>168</v>
      </c>
      <c r="Q289" s="78"/>
      <c r="R289" s="78"/>
      <c r="AR289" s="79">
        <f t="shared" si="378"/>
        <v>0</v>
      </c>
      <c r="AS289" s="79">
        <f t="shared" si="379"/>
        <v>0</v>
      </c>
      <c r="AT289" s="79">
        <f t="shared" si="380"/>
        <v>0</v>
      </c>
      <c r="AU289" s="158" t="s">
        <v>336</v>
      </c>
      <c r="AV289" s="79"/>
      <c r="AW289" s="79">
        <v>10000</v>
      </c>
      <c r="BR289" s="79">
        <v>-8445</v>
      </c>
      <c r="BV289" s="79">
        <f t="shared" si="381"/>
        <v>-8445</v>
      </c>
      <c r="BW289" s="79">
        <f t="shared" si="382"/>
        <v>0</v>
      </c>
      <c r="BX289" s="79">
        <f t="shared" si="383"/>
        <v>1555</v>
      </c>
      <c r="BY289" s="158" t="s">
        <v>336</v>
      </c>
      <c r="CA289" s="79">
        <v>26600</v>
      </c>
      <c r="CJ289" s="79">
        <v>-17301.54</v>
      </c>
      <c r="CL289" s="79">
        <v>-2975</v>
      </c>
      <c r="CR289" s="79">
        <v>-2975</v>
      </c>
      <c r="CX289" s="79">
        <v>-2800</v>
      </c>
      <c r="DB289" s="79">
        <f t="shared" si="384"/>
        <v>0</v>
      </c>
      <c r="DC289" s="79">
        <f t="shared" si="385"/>
        <v>-26051.54</v>
      </c>
      <c r="DD289" s="79">
        <f t="shared" si="386"/>
        <v>0</v>
      </c>
      <c r="DE289" s="79">
        <f t="shared" si="387"/>
        <v>2103.4599999999991</v>
      </c>
      <c r="DG289" s="79">
        <v>17791</v>
      </c>
      <c r="DM289" s="79">
        <v>-1743.78</v>
      </c>
      <c r="DP289" s="131"/>
      <c r="EA289" s="79">
        <f>-(359.68+2615.32)</f>
        <v>-2975</v>
      </c>
      <c r="EJ289" s="79">
        <f t="shared" si="388"/>
        <v>0</v>
      </c>
      <c r="EK289" s="79">
        <f t="shared" si="389"/>
        <v>-4718.78</v>
      </c>
      <c r="EL289" s="79">
        <f t="shared" si="390"/>
        <v>0</v>
      </c>
      <c r="EM289" s="79">
        <f t="shared" si="372"/>
        <v>15175.68</v>
      </c>
      <c r="FI289" s="66">
        <f t="shared" si="351"/>
        <v>0</v>
      </c>
      <c r="FJ289" s="66">
        <f t="shared" si="352"/>
        <v>0</v>
      </c>
      <c r="FK289" s="66">
        <f t="shared" si="353"/>
        <v>0</v>
      </c>
      <c r="FL289" s="173">
        <f t="shared" si="354"/>
        <v>15175.68</v>
      </c>
    </row>
    <row r="290" spans="1:170" hidden="1" outlineLevel="1" x14ac:dyDescent="0.2">
      <c r="A290" s="76" t="s">
        <v>18</v>
      </c>
      <c r="B290" s="76" t="s">
        <v>34</v>
      </c>
      <c r="C290" s="76" t="s">
        <v>613</v>
      </c>
      <c r="D290" s="76" t="s">
        <v>111</v>
      </c>
      <c r="E290" s="77" t="s">
        <v>213</v>
      </c>
      <c r="F290" s="77" t="s">
        <v>712</v>
      </c>
      <c r="G290" s="77" t="str">
        <f t="shared" si="373"/>
        <v>0</v>
      </c>
      <c r="H290" s="77" t="str">
        <f t="shared" si="374"/>
        <v>1</v>
      </c>
      <c r="I290" s="77" t="str">
        <f t="shared" si="375"/>
        <v>0</v>
      </c>
      <c r="J290" s="77" t="str">
        <f t="shared" si="376"/>
        <v>0</v>
      </c>
      <c r="K290" s="77" t="str">
        <f t="shared" si="377"/>
        <v>0100</v>
      </c>
      <c r="L290" s="77" t="str">
        <f>IFERROR(VLOOKUP(K290,Sheet2!$A$20:$B$23,2,FALSE),"X")</f>
        <v>02</v>
      </c>
      <c r="M290" s="77" t="str">
        <f t="shared" si="368"/>
        <v>2395N/ADistrict Design and Led 18-21</v>
      </c>
      <c r="O290" s="76" t="s">
        <v>160</v>
      </c>
      <c r="P290" s="69" t="s">
        <v>168</v>
      </c>
      <c r="Q290" s="78"/>
      <c r="R290" s="78"/>
      <c r="AR290" s="79">
        <f t="shared" si="378"/>
        <v>0</v>
      </c>
      <c r="AS290" s="79">
        <f t="shared" si="379"/>
        <v>0</v>
      </c>
      <c r="AT290" s="79">
        <f t="shared" si="380"/>
        <v>0</v>
      </c>
      <c r="AU290" s="158" t="s">
        <v>336</v>
      </c>
      <c r="AV290" s="79"/>
      <c r="AW290" s="79">
        <v>24200</v>
      </c>
      <c r="BP290" s="79">
        <v>-14000</v>
      </c>
      <c r="BT290" s="79">
        <v>-10000</v>
      </c>
      <c r="BV290" s="79">
        <f t="shared" si="381"/>
        <v>-24000</v>
      </c>
      <c r="BW290" s="79">
        <f t="shared" si="382"/>
        <v>0</v>
      </c>
      <c r="BX290" s="79">
        <f t="shared" si="383"/>
        <v>200</v>
      </c>
      <c r="BY290" s="158" t="s">
        <v>336</v>
      </c>
      <c r="CA290" s="79">
        <v>79800</v>
      </c>
      <c r="CJ290" s="79">
        <v>-48350</v>
      </c>
      <c r="CL290" s="79">
        <v>-175</v>
      </c>
      <c r="CR290" s="79">
        <v>-28175</v>
      </c>
      <c r="CT290" s="79">
        <v>-175</v>
      </c>
      <c r="CX290" s="79">
        <v>-175</v>
      </c>
      <c r="DB290" s="79">
        <f t="shared" si="384"/>
        <v>0</v>
      </c>
      <c r="DC290" s="79">
        <f t="shared" si="385"/>
        <v>-77050</v>
      </c>
      <c r="DD290" s="79">
        <f t="shared" si="386"/>
        <v>0</v>
      </c>
      <c r="DE290" s="79">
        <f t="shared" si="387"/>
        <v>2950</v>
      </c>
      <c r="DG290" s="79">
        <v>88179</v>
      </c>
      <c r="DM290" s="79">
        <f>-175-2775-4376.36-13225</f>
        <v>-20551.36</v>
      </c>
      <c r="DP290" s="131"/>
      <c r="DQ290" s="79">
        <v>-30000</v>
      </c>
      <c r="DW290" s="79">
        <v>-30000</v>
      </c>
      <c r="EA290" s="79">
        <v>-6000</v>
      </c>
      <c r="EJ290" s="79">
        <f t="shared" si="388"/>
        <v>0</v>
      </c>
      <c r="EK290" s="79">
        <f t="shared" si="389"/>
        <v>-86551.360000000001</v>
      </c>
      <c r="EL290" s="79">
        <f t="shared" si="390"/>
        <v>0</v>
      </c>
      <c r="EM290" s="79">
        <f t="shared" si="372"/>
        <v>4577.6399999999994</v>
      </c>
      <c r="FI290" s="66">
        <f t="shared" ref="FI290:FI310" si="391">SUMIF($ES$2:$FH$2,$FI$2,$ES290:$FH290)</f>
        <v>0</v>
      </c>
      <c r="FJ290" s="66">
        <f t="shared" ref="FJ290:FJ310" si="392">SUMIF($ES$2:$FH$2,$FJ$2,$ES290:$FH290)</f>
        <v>0</v>
      </c>
      <c r="FK290" s="66">
        <f t="shared" ref="FK290:FK310" si="393">SUMIF($ES$2:$FH$2,$FK$2,$ES290:$FH290)</f>
        <v>0</v>
      </c>
      <c r="FL290" s="173">
        <f t="shared" ref="FL290:FL310" si="394">EM290+EO290+EP290+EQ290+(FK290+FI290+FJ290)</f>
        <v>4577.6399999999994</v>
      </c>
    </row>
    <row r="291" spans="1:170" hidden="1" outlineLevel="1" x14ac:dyDescent="0.2">
      <c r="A291" s="88" t="s">
        <v>19</v>
      </c>
      <c r="B291" s="88" t="s">
        <v>666</v>
      </c>
      <c r="C291" s="88" t="s">
        <v>98</v>
      </c>
      <c r="D291" s="88" t="s">
        <v>676</v>
      </c>
      <c r="E291" s="89" t="s">
        <v>214</v>
      </c>
      <c r="F291" s="89" t="s">
        <v>712</v>
      </c>
      <c r="G291" s="77" t="str">
        <f t="shared" si="373"/>
        <v>0</v>
      </c>
      <c r="H291" s="77" t="str">
        <f t="shared" si="374"/>
        <v>0</v>
      </c>
      <c r="I291" s="77" t="str">
        <f t="shared" si="375"/>
        <v>1</v>
      </c>
      <c r="J291" s="77" t="str">
        <f t="shared" si="376"/>
        <v>0</v>
      </c>
      <c r="K291" s="77" t="str">
        <f t="shared" si="377"/>
        <v>0010</v>
      </c>
      <c r="L291" s="77" t="str">
        <f>IFERROR(VLOOKUP(K291,Sheet2!$A$20:$B$23,2,FALSE),"X")</f>
        <v>03</v>
      </c>
      <c r="M291" s="77" t="str">
        <f t="shared" si="368"/>
        <v>26900756District Design and Led 19-22</v>
      </c>
      <c r="N291" s="88"/>
      <c r="O291" s="88" t="s">
        <v>160</v>
      </c>
      <c r="P291" s="90" t="s">
        <v>168</v>
      </c>
      <c r="Q291" s="91"/>
      <c r="R291" s="91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>
        <f t="shared" si="378"/>
        <v>0</v>
      </c>
      <c r="AS291" s="92">
        <f t="shared" si="379"/>
        <v>0</v>
      </c>
      <c r="AT291" s="92">
        <f t="shared" si="380"/>
        <v>0</v>
      </c>
      <c r="AU291" s="161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>
        <f t="shared" si="381"/>
        <v>0</v>
      </c>
      <c r="BW291" s="92">
        <f t="shared" si="382"/>
        <v>0</v>
      </c>
      <c r="BX291" s="92">
        <f t="shared" si="383"/>
        <v>0</v>
      </c>
      <c r="BY291" s="161"/>
      <c r="BZ291" s="92"/>
      <c r="CA291" s="92"/>
      <c r="CB291" s="92"/>
      <c r="CC291" s="92">
        <v>4790.7</v>
      </c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>
        <f t="shared" si="384"/>
        <v>0</v>
      </c>
      <c r="DC291" s="92">
        <f t="shared" si="385"/>
        <v>0</v>
      </c>
      <c r="DD291" s="92">
        <f t="shared" si="386"/>
        <v>0</v>
      </c>
      <c r="DE291" s="92">
        <f t="shared" si="387"/>
        <v>4790.7</v>
      </c>
      <c r="DH291" s="103">
        <v>38500</v>
      </c>
      <c r="DP291" s="131"/>
      <c r="DS291" s="79">
        <f>-(4790.7+655.28)</f>
        <v>-5445.98</v>
      </c>
      <c r="DU291" s="79">
        <v>-5112.03</v>
      </c>
      <c r="DW291" s="79">
        <v>-3093.66</v>
      </c>
      <c r="DY291" s="79">
        <v>-2670.47</v>
      </c>
      <c r="EA291" s="79">
        <v>-2441.56</v>
      </c>
      <c r="EC291" s="79">
        <v>-3120.9</v>
      </c>
      <c r="EE291" s="79">
        <v>-2441.56</v>
      </c>
      <c r="EI291" s="79">
        <v>-386</v>
      </c>
      <c r="EJ291" s="79">
        <f t="shared" si="388"/>
        <v>0</v>
      </c>
      <c r="EK291" s="79">
        <f t="shared" si="389"/>
        <v>-24326.16</v>
      </c>
      <c r="EL291" s="79">
        <f t="shared" si="390"/>
        <v>-386</v>
      </c>
      <c r="EM291" s="79">
        <f t="shared" si="372"/>
        <v>18578.539999999997</v>
      </c>
      <c r="EP291" s="103">
        <v>11394.6</v>
      </c>
      <c r="EW291" s="144">
        <v>-5265.1</v>
      </c>
      <c r="FI291" s="66">
        <f t="shared" si="391"/>
        <v>0</v>
      </c>
      <c r="FJ291" s="66">
        <f t="shared" si="392"/>
        <v>0</v>
      </c>
      <c r="FK291" s="66">
        <f t="shared" si="393"/>
        <v>-5265.1</v>
      </c>
      <c r="FL291" s="173">
        <f t="shared" si="394"/>
        <v>24708.04</v>
      </c>
    </row>
    <row r="292" spans="1:170" hidden="1" outlineLevel="1" x14ac:dyDescent="0.2">
      <c r="A292" s="88" t="s">
        <v>19</v>
      </c>
      <c r="B292" s="88" t="s">
        <v>665</v>
      </c>
      <c r="C292" s="88" t="s">
        <v>98</v>
      </c>
      <c r="D292" s="88" t="s">
        <v>675</v>
      </c>
      <c r="E292" s="89" t="s">
        <v>214</v>
      </c>
      <c r="F292" s="89" t="s">
        <v>712</v>
      </c>
      <c r="G292" s="77" t="str">
        <f t="shared" si="373"/>
        <v>0</v>
      </c>
      <c r="H292" s="77" t="str">
        <f t="shared" si="374"/>
        <v>0</v>
      </c>
      <c r="I292" s="77" t="str">
        <f t="shared" si="375"/>
        <v>1</v>
      </c>
      <c r="J292" s="77" t="str">
        <f t="shared" si="376"/>
        <v>0</v>
      </c>
      <c r="K292" s="77" t="str">
        <f t="shared" si="377"/>
        <v>0010</v>
      </c>
      <c r="L292" s="77" t="str">
        <f>IFERROR(VLOOKUP(K292,Sheet2!$A$20:$B$23,2,FALSE),"X")</f>
        <v>03</v>
      </c>
      <c r="M292" s="77" t="str">
        <f t="shared" si="368"/>
        <v>26900822District Design and Led 19-22</v>
      </c>
      <c r="N292" s="88"/>
      <c r="O292" s="88" t="s">
        <v>160</v>
      </c>
      <c r="P292" s="90" t="s">
        <v>168</v>
      </c>
      <c r="Q292" s="91"/>
      <c r="R292" s="91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>
        <f t="shared" si="378"/>
        <v>0</v>
      </c>
      <c r="AS292" s="92">
        <f t="shared" si="379"/>
        <v>0</v>
      </c>
      <c r="AT292" s="92">
        <f t="shared" si="380"/>
        <v>0</v>
      </c>
      <c r="AU292" s="161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>
        <f t="shared" si="381"/>
        <v>0</v>
      </c>
      <c r="BW292" s="92">
        <f t="shared" si="382"/>
        <v>0</v>
      </c>
      <c r="BX292" s="92">
        <f t="shared" si="383"/>
        <v>0</v>
      </c>
      <c r="BY292" s="161"/>
      <c r="BZ292" s="92"/>
      <c r="CA292" s="92"/>
      <c r="CB292" s="92"/>
      <c r="CC292" s="92">
        <v>4790.7</v>
      </c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>
        <f t="shared" si="384"/>
        <v>0</v>
      </c>
      <c r="DC292" s="92">
        <f t="shared" si="385"/>
        <v>0</v>
      </c>
      <c r="DD292" s="92">
        <f t="shared" si="386"/>
        <v>0</v>
      </c>
      <c r="DE292" s="92">
        <f t="shared" si="387"/>
        <v>4790.7</v>
      </c>
      <c r="DH292" s="103">
        <v>38500</v>
      </c>
      <c r="DP292" s="131"/>
      <c r="DS292" s="79">
        <f>-(4790.7+834.43)</f>
        <v>-5625.13</v>
      </c>
      <c r="DU292" s="79">
        <v>-5188.37</v>
      </c>
      <c r="DW292" s="79">
        <v>-3099.85</v>
      </c>
      <c r="DY292" s="79">
        <v>-2899.72</v>
      </c>
      <c r="EA292" s="79">
        <v>-2594.5</v>
      </c>
      <c r="EC292" s="79">
        <v>-3728.5</v>
      </c>
      <c r="EE292" s="79">
        <v>-2517.88</v>
      </c>
      <c r="EI292" s="79">
        <v>-392</v>
      </c>
      <c r="EJ292" s="79">
        <f t="shared" si="388"/>
        <v>0</v>
      </c>
      <c r="EK292" s="79">
        <f t="shared" si="389"/>
        <v>-25653.95</v>
      </c>
      <c r="EL292" s="79">
        <f t="shared" si="390"/>
        <v>-392</v>
      </c>
      <c r="EM292" s="79">
        <f t="shared" si="372"/>
        <v>17244.749999999996</v>
      </c>
      <c r="EP292" s="103">
        <v>11394.6</v>
      </c>
      <c r="EQ292" s="103">
        <v>10400</v>
      </c>
      <c r="EW292" s="144">
        <v>-5271.09</v>
      </c>
      <c r="FI292" s="66">
        <f t="shared" si="391"/>
        <v>0</v>
      </c>
      <c r="FJ292" s="66">
        <f t="shared" si="392"/>
        <v>0</v>
      </c>
      <c r="FK292" s="66">
        <f t="shared" si="393"/>
        <v>-5271.09</v>
      </c>
      <c r="FL292" s="173">
        <f t="shared" si="394"/>
        <v>33768.259999999995</v>
      </c>
    </row>
    <row r="293" spans="1:170" hidden="1" outlineLevel="1" x14ac:dyDescent="0.2">
      <c r="A293" s="98" t="s">
        <v>19</v>
      </c>
      <c r="B293" s="98" t="s">
        <v>440</v>
      </c>
      <c r="C293" s="98" t="s">
        <v>98</v>
      </c>
      <c r="D293" s="98" t="s">
        <v>503</v>
      </c>
      <c r="E293" s="99" t="s">
        <v>213</v>
      </c>
      <c r="F293" s="99" t="s">
        <v>712</v>
      </c>
      <c r="G293" s="77" t="str">
        <f t="shared" si="373"/>
        <v>0</v>
      </c>
      <c r="H293" s="77" t="str">
        <f t="shared" si="374"/>
        <v>0</v>
      </c>
      <c r="I293" s="77" t="str">
        <f t="shared" si="375"/>
        <v>0</v>
      </c>
      <c r="J293" s="77" t="str">
        <f t="shared" si="376"/>
        <v>0</v>
      </c>
      <c r="K293" s="77" t="str">
        <f t="shared" si="377"/>
        <v>0000</v>
      </c>
      <c r="L293" s="77" t="str">
        <f>IFERROR(VLOOKUP(K293,Sheet2!$A$20:$B$23,2,FALSE),"X")</f>
        <v>X</v>
      </c>
      <c r="M293" s="99" t="str">
        <f t="shared" si="368"/>
        <v>26901454District Design and Led 18-21</v>
      </c>
      <c r="N293" s="98"/>
      <c r="O293" s="98" t="s">
        <v>160</v>
      </c>
      <c r="P293" s="100" t="s">
        <v>168</v>
      </c>
      <c r="Q293" s="101"/>
      <c r="R293" s="101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>
        <f t="shared" si="378"/>
        <v>0</v>
      </c>
      <c r="AS293" s="97">
        <f t="shared" si="379"/>
        <v>0</v>
      </c>
      <c r="AT293" s="97">
        <f t="shared" si="380"/>
        <v>0</v>
      </c>
      <c r="AU293" s="162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>
        <f t="shared" si="381"/>
        <v>0</v>
      </c>
      <c r="BW293" s="97">
        <f t="shared" si="382"/>
        <v>0</v>
      </c>
      <c r="BX293" s="97">
        <f t="shared" si="383"/>
        <v>0</v>
      </c>
      <c r="BY293" s="162" t="s">
        <v>341</v>
      </c>
      <c r="BZ293" s="97"/>
      <c r="CA293" s="97">
        <v>72000</v>
      </c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>
        <f t="shared" si="384"/>
        <v>0</v>
      </c>
      <c r="DC293" s="97">
        <f t="shared" si="385"/>
        <v>0</v>
      </c>
      <c r="DD293" s="97">
        <f t="shared" si="386"/>
        <v>0</v>
      </c>
      <c r="DE293" s="97">
        <f t="shared" si="387"/>
        <v>72000</v>
      </c>
      <c r="DP293" s="131"/>
      <c r="EJ293" s="79">
        <f t="shared" si="388"/>
        <v>0</v>
      </c>
      <c r="EK293" s="79">
        <f t="shared" si="389"/>
        <v>0</v>
      </c>
      <c r="EL293" s="79">
        <f t="shared" si="390"/>
        <v>0</v>
      </c>
      <c r="EM293" s="79">
        <f t="shared" si="372"/>
        <v>72000</v>
      </c>
      <c r="EW293" s="144"/>
      <c r="FI293" s="66">
        <f t="shared" si="391"/>
        <v>0</v>
      </c>
      <c r="FJ293" s="66">
        <f t="shared" si="392"/>
        <v>0</v>
      </c>
      <c r="FK293" s="66">
        <f t="shared" si="393"/>
        <v>0</v>
      </c>
      <c r="FL293" s="173">
        <f t="shared" si="394"/>
        <v>72000</v>
      </c>
    </row>
    <row r="294" spans="1:170" hidden="1" outlineLevel="1" x14ac:dyDescent="0.2">
      <c r="A294" s="118" t="s">
        <v>19</v>
      </c>
      <c r="B294" s="119" t="s">
        <v>34</v>
      </c>
      <c r="C294" s="118" t="s">
        <v>98</v>
      </c>
      <c r="D294" s="118" t="s">
        <v>809</v>
      </c>
      <c r="E294" s="119" t="s">
        <v>456</v>
      </c>
      <c r="F294" s="119"/>
      <c r="G294" s="119"/>
      <c r="H294" s="119"/>
      <c r="I294" s="119"/>
      <c r="J294" s="119"/>
      <c r="K294" s="119"/>
      <c r="L294" s="119"/>
      <c r="M294" s="119" t="str">
        <f t="shared" ref="M294" si="395">A294&amp;B294&amp;E294</f>
        <v>2690N/ADistrict Design and Led 20-23</v>
      </c>
      <c r="N294" s="118"/>
      <c r="O294" s="118" t="s">
        <v>160</v>
      </c>
      <c r="P294" s="120"/>
      <c r="Q294" s="121"/>
      <c r="R294" s="121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60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  <c r="BG294" s="122"/>
      <c r="BH294" s="122"/>
      <c r="BI294" s="122"/>
      <c r="BJ294" s="122"/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60"/>
      <c r="BZ294" s="122"/>
      <c r="CA294" s="122"/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2"/>
      <c r="CP294" s="122"/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2"/>
      <c r="DB294" s="122"/>
      <c r="DC294" s="122"/>
      <c r="DD294" s="122"/>
      <c r="DE294" s="122"/>
      <c r="DF294" s="160"/>
      <c r="DG294" s="122"/>
      <c r="DH294" s="122"/>
      <c r="DI294" s="122"/>
      <c r="DJ294" s="122">
        <v>74600</v>
      </c>
      <c r="DK294" s="122"/>
      <c r="DL294" s="122"/>
      <c r="DM294" s="122"/>
      <c r="DN294" s="122"/>
      <c r="DO294" s="122"/>
      <c r="DP294" s="122"/>
      <c r="DQ294" s="122"/>
      <c r="DR294" s="122"/>
      <c r="DS294" s="122"/>
      <c r="DT294" s="122"/>
      <c r="DU294" s="122"/>
      <c r="DV294" s="122"/>
      <c r="DW294" s="122"/>
      <c r="DX294" s="122"/>
      <c r="DY294" s="122"/>
      <c r="DZ294" s="122"/>
      <c r="EA294" s="122"/>
      <c r="EB294" s="122"/>
      <c r="EC294" s="122"/>
      <c r="ED294" s="122"/>
      <c r="EE294" s="122"/>
      <c r="EF294" s="122"/>
      <c r="EH294" s="122"/>
      <c r="EI294" s="122"/>
      <c r="EJ294" s="122"/>
      <c r="EK294" s="122"/>
      <c r="EL294" s="122"/>
      <c r="EM294" s="122">
        <f t="shared" ref="EM294" si="396">DE294+DH294+DG294+DJ294+(EJ294+EK294+EL294)</f>
        <v>74600</v>
      </c>
      <c r="EN294" s="122"/>
      <c r="EO294" s="122"/>
      <c r="EP294" s="122"/>
      <c r="EQ294" s="103">
        <v>10400</v>
      </c>
      <c r="ER294" s="122"/>
      <c r="ES294" s="126"/>
      <c r="ET294" s="126"/>
      <c r="EU294" s="126"/>
      <c r="EW294" s="144"/>
      <c r="EX294" s="126"/>
      <c r="EY294" s="126"/>
      <c r="EZ294" s="126"/>
      <c r="FA294" s="126"/>
      <c r="FB294" s="126"/>
      <c r="FC294" s="126"/>
      <c r="FD294" s="126"/>
      <c r="FE294" s="126"/>
      <c r="FF294" s="126"/>
      <c r="FG294" s="126"/>
      <c r="FH294" s="126"/>
      <c r="FI294" s="66">
        <f t="shared" si="391"/>
        <v>0</v>
      </c>
      <c r="FJ294" s="66">
        <f t="shared" si="392"/>
        <v>0</v>
      </c>
      <c r="FK294" s="66">
        <f t="shared" si="393"/>
        <v>0</v>
      </c>
      <c r="FL294" s="173">
        <f t="shared" si="394"/>
        <v>85000</v>
      </c>
      <c r="FM294" s="123"/>
      <c r="FN294" s="118"/>
    </row>
    <row r="295" spans="1:170" hidden="1" outlineLevel="1" x14ac:dyDescent="0.2">
      <c r="A295" s="88" t="s">
        <v>19</v>
      </c>
      <c r="B295" s="88" t="s">
        <v>667</v>
      </c>
      <c r="C295" s="88" t="s">
        <v>98</v>
      </c>
      <c r="D295" s="88" t="s">
        <v>677</v>
      </c>
      <c r="E295" s="89" t="s">
        <v>214</v>
      </c>
      <c r="F295" s="89" t="s">
        <v>712</v>
      </c>
      <c r="G295" s="77" t="str">
        <f t="shared" si="373"/>
        <v>0</v>
      </c>
      <c r="H295" s="77" t="str">
        <f t="shared" si="374"/>
        <v>0</v>
      </c>
      <c r="I295" s="77" t="str">
        <f t="shared" si="375"/>
        <v>1</v>
      </c>
      <c r="J295" s="77" t="str">
        <f t="shared" si="376"/>
        <v>0</v>
      </c>
      <c r="K295" s="77" t="str">
        <f t="shared" si="377"/>
        <v>0010</v>
      </c>
      <c r="L295" s="77" t="str">
        <f>IFERROR(VLOOKUP(K295,Sheet2!$A$20:$B$23,2,FALSE),"X")</f>
        <v>03</v>
      </c>
      <c r="M295" s="77" t="str">
        <f t="shared" si="368"/>
        <v>26905916District Design and Led 19-22</v>
      </c>
      <c r="N295" s="88"/>
      <c r="O295" s="88" t="s">
        <v>160</v>
      </c>
      <c r="P295" s="90" t="s">
        <v>168</v>
      </c>
      <c r="Q295" s="91"/>
      <c r="R295" s="91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>
        <f>SUMIF($T$2:$AQ$2,$AR$2,$T295:$AQ295)</f>
        <v>0</v>
      </c>
      <c r="AS295" s="92">
        <f>SUMIF($T$2:$AQ$2,$AS$2,$T295:$AQ295)</f>
        <v>0</v>
      </c>
      <c r="AT295" s="92">
        <f t="shared" si="380"/>
        <v>0</v>
      </c>
      <c r="AU295" s="161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>
        <f>SUMIF($AX$2:$BU$2,$BV$2,$AX295:$BU295)</f>
        <v>0</v>
      </c>
      <c r="BW295" s="92">
        <f>SUMIF($AX$2:$BU$2,$BW$2,$AX295:$BU295)</f>
        <v>0</v>
      </c>
      <c r="BX295" s="92">
        <f t="shared" si="383"/>
        <v>0</v>
      </c>
      <c r="BY295" s="161"/>
      <c r="BZ295" s="92"/>
      <c r="CA295" s="92"/>
      <c r="CB295" s="92"/>
      <c r="CC295" s="92">
        <v>4790.7</v>
      </c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>
        <f>SUMIF($CD$2:$DA$2,$DB$2,$CD295:$DA295)</f>
        <v>0</v>
      </c>
      <c r="DC295" s="92">
        <f>SUMIF($CD$2:$DA$2,$DC$2,$CD295:$DA295)</f>
        <v>0</v>
      </c>
      <c r="DD295" s="92">
        <f>SUMIF($CD$2:$DA$2,$DD$2,$CD295:$DA295)</f>
        <v>0</v>
      </c>
      <c r="DE295" s="92">
        <f t="shared" si="387"/>
        <v>4790.7</v>
      </c>
      <c r="DH295" s="103">
        <v>38500</v>
      </c>
      <c r="DP295" s="131"/>
      <c r="DS295" s="79">
        <f>-(4790.7+1270.59)</f>
        <v>-6061.29</v>
      </c>
      <c r="DU295" s="79">
        <v>-5107.96</v>
      </c>
      <c r="DW295" s="79">
        <v>-3087.91</v>
      </c>
      <c r="DY295" s="79">
        <v>-2666.7</v>
      </c>
      <c r="EA295" s="79">
        <v>-2441.56</v>
      </c>
      <c r="EC295" s="79">
        <v>-3364.72</v>
      </c>
      <c r="EE295" s="79">
        <v>-2441.56</v>
      </c>
      <c r="EI295" s="79">
        <v>-386</v>
      </c>
      <c r="EJ295" s="79">
        <f>SUMIF($DK$2:$EI$2,$EJ$2,$DK295:$EI295)</f>
        <v>0</v>
      </c>
      <c r="EK295" s="79">
        <f>SUMIF($DK$2:$EI$2,$EK$2,$DK295:$EI295)</f>
        <v>-25171.700000000004</v>
      </c>
      <c r="EL295" s="79">
        <f>SUMIF($DK$2:$EI$2,$EL$2,$DK295:$EI295)</f>
        <v>-386</v>
      </c>
      <c r="EM295" s="79">
        <f t="shared" si="372"/>
        <v>17732.999999999993</v>
      </c>
      <c r="EP295" s="103">
        <v>11394.6</v>
      </c>
      <c r="EQ295" s="103">
        <v>10400</v>
      </c>
      <c r="EW295" s="144">
        <v>-5271.07</v>
      </c>
      <c r="FI295" s="66">
        <f t="shared" si="391"/>
        <v>0</v>
      </c>
      <c r="FJ295" s="66">
        <f t="shared" si="392"/>
        <v>0</v>
      </c>
      <c r="FK295" s="66">
        <f t="shared" si="393"/>
        <v>-5271.07</v>
      </c>
      <c r="FL295" s="173">
        <f t="shared" si="394"/>
        <v>34256.529999999992</v>
      </c>
    </row>
    <row r="296" spans="1:170" hidden="1" outlineLevel="1" x14ac:dyDescent="0.2">
      <c r="A296" s="88" t="s">
        <v>19</v>
      </c>
      <c r="B296" s="88" t="s">
        <v>668</v>
      </c>
      <c r="C296" s="88" t="s">
        <v>98</v>
      </c>
      <c r="D296" s="88" t="s">
        <v>678</v>
      </c>
      <c r="E296" s="89" t="s">
        <v>214</v>
      </c>
      <c r="F296" s="89" t="s">
        <v>712</v>
      </c>
      <c r="G296" s="77" t="str">
        <f t="shared" si="373"/>
        <v>0</v>
      </c>
      <c r="H296" s="77" t="str">
        <f t="shared" si="374"/>
        <v>0</v>
      </c>
      <c r="I296" s="77" t="str">
        <f t="shared" si="375"/>
        <v>1</v>
      </c>
      <c r="J296" s="77" t="str">
        <f t="shared" si="376"/>
        <v>0</v>
      </c>
      <c r="K296" s="77" t="str">
        <f t="shared" si="377"/>
        <v>0010</v>
      </c>
      <c r="L296" s="77" t="str">
        <f>IFERROR(VLOOKUP(K296,Sheet2!$A$20:$B$23,2,FALSE),"X")</f>
        <v>03</v>
      </c>
      <c r="M296" s="77" t="str">
        <f t="shared" si="368"/>
        <v>26907481District Design and Led 19-22</v>
      </c>
      <c r="N296" s="88"/>
      <c r="O296" s="88" t="s">
        <v>160</v>
      </c>
      <c r="P296" s="90" t="s">
        <v>168</v>
      </c>
      <c r="Q296" s="91"/>
      <c r="R296" s="91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>
        <f>SUMIF($T$2:$AQ$2,$AR$2,$T296:$AQ296)</f>
        <v>0</v>
      </c>
      <c r="AS296" s="92">
        <f>SUMIF($T$2:$AQ$2,$AS$2,$T296:$AQ296)</f>
        <v>0</v>
      </c>
      <c r="AT296" s="92">
        <f t="shared" si="380"/>
        <v>0</v>
      </c>
      <c r="AU296" s="161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>
        <f>SUMIF($AX$2:$BU$2,$BV$2,$AX296:$BU296)</f>
        <v>0</v>
      </c>
      <c r="BW296" s="92">
        <f>SUMIF($AX$2:$BU$2,$BW$2,$AX296:$BU296)</f>
        <v>0</v>
      </c>
      <c r="BX296" s="92">
        <f t="shared" si="383"/>
        <v>0</v>
      </c>
      <c r="BY296" s="92"/>
      <c r="BZ296" s="92"/>
      <c r="CA296" s="92"/>
      <c r="CB296" s="92"/>
      <c r="CC296" s="92">
        <v>4790.7</v>
      </c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>
        <f>SUMIF($CD$2:$DA$2,$DB$2,$CD296:$DA296)</f>
        <v>0</v>
      </c>
      <c r="DC296" s="92">
        <f>SUMIF($CD$2:$DA$2,$DC$2,$CD296:$DA296)</f>
        <v>0</v>
      </c>
      <c r="DD296" s="92">
        <f>SUMIF($CD$2:$DA$2,$DD$2,$CD296:$DA296)</f>
        <v>0</v>
      </c>
      <c r="DE296" s="92">
        <f t="shared" si="387"/>
        <v>4790.7</v>
      </c>
      <c r="DF296" s="79"/>
      <c r="DH296" s="103">
        <v>38500</v>
      </c>
      <c r="DP296" s="131"/>
      <c r="DS296" s="79">
        <f>-(4790.7+478.44)</f>
        <v>-5269.1399999999994</v>
      </c>
      <c r="DU296" s="79">
        <v>-4883.12</v>
      </c>
      <c r="DW296" s="79">
        <v>-2828.56</v>
      </c>
      <c r="DY296" s="79">
        <v>-2441.56</v>
      </c>
      <c r="EA296" s="79">
        <v>-2441.56</v>
      </c>
      <c r="EC296" s="79">
        <v>-3020.43</v>
      </c>
      <c r="EE296" s="79">
        <v>-2441.56</v>
      </c>
      <c r="EI296" s="79">
        <v>-386</v>
      </c>
      <c r="EJ296" s="79">
        <f>SUMIF($DK$2:$EI$2,$EJ$2,$DK296:$EI296)</f>
        <v>0</v>
      </c>
      <c r="EK296" s="79">
        <f>SUMIF($DK$2:$EI$2,$EK$2,$DK296:$EI296)</f>
        <v>-23325.93</v>
      </c>
      <c r="EL296" s="79">
        <f>SUMIF($DK$2:$EI$2,$EL$2,$DK296:$EI296)</f>
        <v>-386</v>
      </c>
      <c r="EM296" s="79">
        <f t="shared" si="372"/>
        <v>19578.769999999997</v>
      </c>
      <c r="EP296" s="103">
        <v>11394.6</v>
      </c>
      <c r="EQ296" s="103">
        <v>10400</v>
      </c>
      <c r="EW296" s="144">
        <v>-10092.27</v>
      </c>
      <c r="FI296" s="66">
        <f t="shared" si="391"/>
        <v>0</v>
      </c>
      <c r="FJ296" s="66">
        <f t="shared" si="392"/>
        <v>0</v>
      </c>
      <c r="FK296" s="66">
        <f t="shared" si="393"/>
        <v>-10092.27</v>
      </c>
      <c r="FL296" s="173">
        <f t="shared" si="394"/>
        <v>31281.099999999995</v>
      </c>
    </row>
    <row r="297" spans="1:170" hidden="1" outlineLevel="1" x14ac:dyDescent="0.2">
      <c r="A297" s="76" t="s">
        <v>19</v>
      </c>
      <c r="B297" s="76" t="s">
        <v>34</v>
      </c>
      <c r="C297" s="76" t="s">
        <v>98</v>
      </c>
      <c r="D297" s="76" t="s">
        <v>111</v>
      </c>
      <c r="E297" s="77" t="s">
        <v>211</v>
      </c>
      <c r="F297" s="77" t="s">
        <v>712</v>
      </c>
      <c r="G297" s="77" t="str">
        <f t="shared" si="373"/>
        <v>1</v>
      </c>
      <c r="H297" s="77" t="str">
        <f t="shared" si="374"/>
        <v>0</v>
      </c>
      <c r="I297" s="77" t="str">
        <f t="shared" si="375"/>
        <v>0</v>
      </c>
      <c r="J297" s="77" t="str">
        <f t="shared" si="376"/>
        <v>0</v>
      </c>
      <c r="K297" s="77" t="str">
        <f t="shared" si="377"/>
        <v>1000</v>
      </c>
      <c r="L297" s="77" t="str">
        <f>IFERROR(VLOOKUP(K297,Sheet2!$A$20:$B$23,2,FALSE),"X")</f>
        <v>01</v>
      </c>
      <c r="M297" s="77" t="str">
        <f t="shared" si="368"/>
        <v>2690N/ADistrict Design and Led 17-20</v>
      </c>
      <c r="N297" s="76" t="s">
        <v>161</v>
      </c>
      <c r="O297" s="76" t="s">
        <v>160</v>
      </c>
      <c r="P297" s="69" t="s">
        <v>168</v>
      </c>
      <c r="Q297" s="78">
        <v>43168</v>
      </c>
      <c r="R297" s="78">
        <v>43168</v>
      </c>
      <c r="S297" s="79">
        <v>281696</v>
      </c>
      <c r="AR297" s="79">
        <f>SUMIF($T$2:$AQ$2,$AR$2,$T297:$AQ297)</f>
        <v>0</v>
      </c>
      <c r="AS297" s="79">
        <f>SUMIF($T$2:$AQ$2,$AS$2,$T297:$AQ297)</f>
        <v>0</v>
      </c>
      <c r="AT297" s="79">
        <f t="shared" si="380"/>
        <v>281696</v>
      </c>
      <c r="AU297" s="79"/>
      <c r="AV297" s="79"/>
      <c r="BD297" s="79">
        <v>-114000</v>
      </c>
      <c r="BJ297" s="79">
        <v>-1088</v>
      </c>
      <c r="BT297" s="79">
        <v>-40800</v>
      </c>
      <c r="BV297" s="79">
        <f>SUMIF($AX$2:$BU$2,$BV$2,$AX297:$BU297)</f>
        <v>-155888</v>
      </c>
      <c r="BW297" s="79">
        <f>SUMIF($AX$2:$BU$2,$BW$2,$AX297:$BU297)</f>
        <v>0</v>
      </c>
      <c r="BX297" s="79">
        <f t="shared" si="383"/>
        <v>125808</v>
      </c>
      <c r="BY297" s="79"/>
      <c r="CT297" s="79">
        <v>-11077</v>
      </c>
      <c r="CZ297" s="79">
        <v>-114731</v>
      </c>
      <c r="DB297" s="79">
        <f>SUMIF($CD$2:$DA$2,$DB$2,$CD297:$DA297)</f>
        <v>0</v>
      </c>
      <c r="DC297" s="79">
        <f>SUMIF($CD$2:$DA$2,$DC$2,$CD297:$DA297)</f>
        <v>-125808</v>
      </c>
      <c r="DD297" s="79">
        <f>SUMIF($CD$2:$DA$2,$DD$2,$CD297:$DA297)</f>
        <v>0</v>
      </c>
      <c r="DE297" s="79">
        <f t="shared" si="387"/>
        <v>0</v>
      </c>
      <c r="DF297" s="79"/>
      <c r="DP297" s="131"/>
      <c r="EJ297" s="79">
        <f>SUMIF($DK$2:$EI$2,$EJ$2,$DK297:$EI297)</f>
        <v>0</v>
      </c>
      <c r="EK297" s="79">
        <f>SUMIF($DK$2:$EI$2,$EK$2,$DK297:$EI297)</f>
        <v>0</v>
      </c>
      <c r="EL297" s="79">
        <f>SUMIF($DK$2:$EI$2,$EL$2,$DK297:$EI297)</f>
        <v>0</v>
      </c>
      <c r="EM297" s="79">
        <f t="shared" si="372"/>
        <v>0</v>
      </c>
      <c r="EW297" s="144"/>
      <c r="FI297" s="66">
        <f t="shared" si="391"/>
        <v>0</v>
      </c>
      <c r="FJ297" s="66">
        <f t="shared" si="392"/>
        <v>0</v>
      </c>
      <c r="FK297" s="66">
        <f t="shared" si="393"/>
        <v>0</v>
      </c>
      <c r="FL297" s="173">
        <f t="shared" si="394"/>
        <v>0</v>
      </c>
    </row>
    <row r="298" spans="1:170" hidden="1" outlineLevel="1" x14ac:dyDescent="0.2">
      <c r="A298" s="76" t="s">
        <v>19</v>
      </c>
      <c r="B298" s="76" t="s">
        <v>34</v>
      </c>
      <c r="C298" s="76" t="s">
        <v>98</v>
      </c>
      <c r="D298" s="76" t="s">
        <v>111</v>
      </c>
      <c r="E298" s="77" t="s">
        <v>213</v>
      </c>
      <c r="F298" s="77" t="s">
        <v>712</v>
      </c>
      <c r="G298" s="77" t="str">
        <f t="shared" si="373"/>
        <v>0</v>
      </c>
      <c r="H298" s="77" t="str">
        <f t="shared" si="374"/>
        <v>1</v>
      </c>
      <c r="I298" s="77" t="str">
        <f t="shared" si="375"/>
        <v>0</v>
      </c>
      <c r="J298" s="77" t="str">
        <f t="shared" si="376"/>
        <v>0</v>
      </c>
      <c r="K298" s="77" t="str">
        <f t="shared" si="377"/>
        <v>0100</v>
      </c>
      <c r="L298" s="77" t="str">
        <f>IFERROR(VLOOKUP(K298,Sheet2!$A$20:$B$23,2,FALSE),"X")</f>
        <v>02</v>
      </c>
      <c r="M298" s="77" t="str">
        <f t="shared" si="368"/>
        <v>2690N/ADistrict Design and Led 18-21</v>
      </c>
      <c r="O298" s="76" t="s">
        <v>160</v>
      </c>
      <c r="P298" s="69" t="s">
        <v>168</v>
      </c>
      <c r="Q298" s="78"/>
      <c r="R298" s="78"/>
      <c r="AR298" s="79">
        <f>SUMIF($T$2:$AQ$2,$AR$2,$T298:$AQ298)</f>
        <v>0</v>
      </c>
      <c r="AS298" s="79">
        <f>SUMIF($T$2:$AQ$2,$AS$2,$T298:$AQ298)</f>
        <v>0</v>
      </c>
      <c r="AT298" s="79">
        <f t="shared" si="380"/>
        <v>0</v>
      </c>
      <c r="AU298" s="158" t="s">
        <v>336</v>
      </c>
      <c r="AV298" s="79"/>
      <c r="AW298" s="79">
        <v>12846</v>
      </c>
      <c r="BV298" s="79">
        <f>SUMIF($AX$2:$BU$2,$BV$2,$AX298:$BU298)</f>
        <v>0</v>
      </c>
      <c r="BW298" s="79">
        <f>SUMIF($AX$2:$BU$2,$BW$2,$AX298:$BU298)</f>
        <v>0</v>
      </c>
      <c r="BX298" s="79">
        <f t="shared" si="383"/>
        <v>12846</v>
      </c>
      <c r="BY298" s="158" t="s">
        <v>341</v>
      </c>
      <c r="CA298" s="79">
        <f>328200-72000</f>
        <v>256200</v>
      </c>
      <c r="CR298" s="79">
        <v>-51339.61</v>
      </c>
      <c r="CT298" s="79">
        <f>-12846-7103.78-5742.22-14251.23</f>
        <v>-39943.229999999996</v>
      </c>
      <c r="CZ298" s="79">
        <v>-1161.68</v>
      </c>
      <c r="DB298" s="79">
        <f>SUMIF($CD$2:$DA$2,$DB$2,$CD298:$DA298)</f>
        <v>0</v>
      </c>
      <c r="DC298" s="79">
        <f>SUMIF($CD$2:$DA$2,$DC$2,$CD298:$DA298)</f>
        <v>-92444.51999999999</v>
      </c>
      <c r="DD298" s="79">
        <f>SUMIF($CD$2:$DA$2,$DD$2,$CD298:$DA298)</f>
        <v>0</v>
      </c>
      <c r="DE298" s="79">
        <f t="shared" si="387"/>
        <v>176601.48</v>
      </c>
      <c r="DP298" s="131"/>
      <c r="DQ298" s="79">
        <v>-100543.03999999999</v>
      </c>
      <c r="EI298" s="79">
        <v>-694</v>
      </c>
      <c r="EJ298" s="79">
        <f>SUMIF($DK$2:$EI$2,$EJ$2,$DK298:$EI298)</f>
        <v>0</v>
      </c>
      <c r="EK298" s="79">
        <f>SUMIF($DK$2:$EI$2,$EK$2,$DK298:$EI298)</f>
        <v>-100543.03999999999</v>
      </c>
      <c r="EL298" s="79">
        <f>SUMIF($DK$2:$EI$2,$EL$2,$DK298:$EI298)</f>
        <v>-694</v>
      </c>
      <c r="EM298" s="79">
        <f t="shared" si="372"/>
        <v>75364.440000000017</v>
      </c>
      <c r="EW298" s="144">
        <v>-39114</v>
      </c>
      <c r="FC298" s="224">
        <v>-32975.519999999997</v>
      </c>
      <c r="FI298" s="66">
        <f t="shared" si="391"/>
        <v>0</v>
      </c>
      <c r="FJ298" s="66">
        <f t="shared" si="392"/>
        <v>0</v>
      </c>
      <c r="FK298" s="66">
        <f t="shared" si="393"/>
        <v>-72089.51999999999</v>
      </c>
      <c r="FL298" s="173">
        <f t="shared" si="394"/>
        <v>3274.9200000000274</v>
      </c>
      <c r="FN298" s="93">
        <f>DE298-FM298</f>
        <v>176601.48</v>
      </c>
    </row>
    <row r="299" spans="1:170" hidden="1" outlineLevel="1" x14ac:dyDescent="0.2">
      <c r="A299" s="118" t="s">
        <v>19</v>
      </c>
      <c r="B299" s="119" t="s">
        <v>34</v>
      </c>
      <c r="C299" s="118" t="s">
        <v>98</v>
      </c>
      <c r="D299" s="118" t="s">
        <v>111</v>
      </c>
      <c r="E299" s="119" t="s">
        <v>456</v>
      </c>
      <c r="F299" s="119"/>
      <c r="G299" s="119"/>
      <c r="H299" s="119"/>
      <c r="I299" s="119"/>
      <c r="J299" s="119"/>
      <c r="K299" s="119"/>
      <c r="L299" s="119"/>
      <c r="M299" s="119" t="str">
        <f t="shared" si="368"/>
        <v>2690N/ADistrict Design and Led 20-23</v>
      </c>
      <c r="N299" s="118"/>
      <c r="O299" s="118" t="s">
        <v>160</v>
      </c>
      <c r="P299" s="120"/>
      <c r="Q299" s="121"/>
      <c r="R299" s="121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60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60"/>
      <c r="BZ299" s="122"/>
      <c r="CA299" s="122"/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2"/>
      <c r="CP299" s="122"/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2"/>
      <c r="DB299" s="122"/>
      <c r="DC299" s="122"/>
      <c r="DD299" s="122"/>
      <c r="DE299" s="122"/>
      <c r="DF299" s="160"/>
      <c r="DG299" s="122"/>
      <c r="DH299" s="122"/>
      <c r="DI299" s="122"/>
      <c r="DJ299" s="122">
        <v>74600</v>
      </c>
      <c r="DK299" s="122"/>
      <c r="DL299" s="122"/>
      <c r="DM299" s="122"/>
      <c r="DN299" s="122"/>
      <c r="DO299" s="122"/>
      <c r="DP299" s="122"/>
      <c r="DQ299" s="122"/>
      <c r="DR299" s="122"/>
      <c r="DS299" s="122"/>
      <c r="DT299" s="122"/>
      <c r="DU299" s="122"/>
      <c r="DV299" s="122"/>
      <c r="DW299" s="122"/>
      <c r="DX299" s="122"/>
      <c r="DY299" s="122"/>
      <c r="DZ299" s="122"/>
      <c r="EA299" s="122"/>
      <c r="EB299" s="122"/>
      <c r="EC299" s="122"/>
      <c r="ED299" s="122"/>
      <c r="EE299" s="122"/>
      <c r="EF299" s="122"/>
      <c r="EH299" s="122"/>
      <c r="EI299" s="122"/>
      <c r="EJ299" s="122"/>
      <c r="EK299" s="122"/>
      <c r="EL299" s="122"/>
      <c r="EM299" s="122">
        <f t="shared" si="372"/>
        <v>74600</v>
      </c>
      <c r="EN299" s="122"/>
      <c r="EO299" s="122"/>
      <c r="EP299" s="122"/>
      <c r="EQ299" s="103">
        <v>10400</v>
      </c>
      <c r="ER299" s="122"/>
      <c r="ES299" s="126"/>
      <c r="ET299" s="126"/>
      <c r="EU299" s="126"/>
      <c r="EW299" s="144"/>
      <c r="EX299" s="126"/>
      <c r="EY299" s="126"/>
      <c r="EZ299" s="126"/>
      <c r="FA299" s="126"/>
      <c r="FB299" s="126"/>
      <c r="FC299" s="126"/>
      <c r="FD299" s="126"/>
      <c r="FE299" s="126"/>
      <c r="FF299" s="126"/>
      <c r="FG299" s="126"/>
      <c r="FH299" s="126"/>
      <c r="FI299" s="66">
        <f t="shared" si="391"/>
        <v>0</v>
      </c>
      <c r="FJ299" s="66">
        <f t="shared" si="392"/>
        <v>0</v>
      </c>
      <c r="FK299" s="66">
        <f t="shared" si="393"/>
        <v>0</v>
      </c>
      <c r="FL299" s="173">
        <f t="shared" si="394"/>
        <v>85000</v>
      </c>
      <c r="FM299" s="123"/>
      <c r="FN299" s="118"/>
    </row>
    <row r="300" spans="1:170" s="118" customFormat="1" hidden="1" outlineLevel="1" x14ac:dyDescent="0.2">
      <c r="A300" s="118" t="s">
        <v>20</v>
      </c>
      <c r="B300" s="118" t="s">
        <v>45</v>
      </c>
      <c r="C300" s="118" t="s">
        <v>99</v>
      </c>
      <c r="D300" s="118" t="s">
        <v>121</v>
      </c>
      <c r="E300" s="119" t="s">
        <v>456</v>
      </c>
      <c r="F300" s="119"/>
      <c r="G300" s="119"/>
      <c r="H300" s="119"/>
      <c r="I300" s="119"/>
      <c r="J300" s="119"/>
      <c r="K300" s="119"/>
      <c r="L300" s="119"/>
      <c r="M300" s="119" t="str">
        <f t="shared" si="368"/>
        <v>27602522District Design and Led 20-23</v>
      </c>
      <c r="O300" s="119" t="s">
        <v>160</v>
      </c>
      <c r="P300" s="120"/>
      <c r="Q300" s="121"/>
      <c r="R300" s="121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60"/>
      <c r="AV300" s="122"/>
      <c r="AW300" s="122"/>
      <c r="AX300" s="122"/>
      <c r="AY300" s="122"/>
      <c r="AZ300" s="122"/>
      <c r="BA300" s="122"/>
      <c r="BB300" s="122"/>
      <c r="BC300" s="122"/>
      <c r="BD300" s="122"/>
      <c r="BE300" s="122"/>
      <c r="BF300" s="122"/>
      <c r="BG300" s="122"/>
      <c r="BH300" s="122"/>
      <c r="BI300" s="122"/>
      <c r="BJ300" s="122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22"/>
      <c r="BU300" s="122"/>
      <c r="BV300" s="122"/>
      <c r="BW300" s="122"/>
      <c r="BX300" s="122"/>
      <c r="BY300" s="160"/>
      <c r="BZ300" s="122"/>
      <c r="CA300" s="122"/>
      <c r="CB300" s="122"/>
      <c r="CC300" s="122"/>
      <c r="CD300" s="122"/>
      <c r="CE300" s="122"/>
      <c r="CF300" s="122"/>
      <c r="CG300" s="122"/>
      <c r="CH300" s="122"/>
      <c r="CI300" s="122"/>
      <c r="CJ300" s="122"/>
      <c r="CK300" s="122"/>
      <c r="CL300" s="122"/>
      <c r="CM300" s="122"/>
      <c r="CN300" s="122"/>
      <c r="CO300" s="122"/>
      <c r="CP300" s="122"/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2"/>
      <c r="DB300" s="122"/>
      <c r="DC300" s="122"/>
      <c r="DD300" s="122"/>
      <c r="DE300" s="122"/>
      <c r="DF300" s="160"/>
      <c r="DG300" s="122"/>
      <c r="DH300" s="122"/>
      <c r="DI300" s="122"/>
      <c r="DJ300" s="122">
        <v>22068</v>
      </c>
      <c r="DK300" s="122"/>
      <c r="DL300" s="122"/>
      <c r="DM300" s="122"/>
      <c r="DN300" s="122"/>
      <c r="DO300" s="122"/>
      <c r="DP300" s="122"/>
      <c r="DQ300" s="122"/>
      <c r="DR300" s="122"/>
      <c r="DS300" s="122"/>
      <c r="DT300" s="122"/>
      <c r="DU300" s="122"/>
      <c r="DV300" s="122"/>
      <c r="DW300" s="122"/>
      <c r="DX300" s="122"/>
      <c r="DY300" s="122"/>
      <c r="DZ300" s="122"/>
      <c r="EA300" s="122"/>
      <c r="EB300" s="122"/>
      <c r="EC300" s="122"/>
      <c r="ED300" s="122"/>
      <c r="EE300" s="122"/>
      <c r="EF300" s="122"/>
      <c r="EG300" s="131"/>
      <c r="EH300" s="122"/>
      <c r="EI300" s="122"/>
      <c r="EJ300" s="122"/>
      <c r="EK300" s="122"/>
      <c r="EL300" s="122"/>
      <c r="EM300" s="122">
        <f t="shared" si="372"/>
        <v>22068</v>
      </c>
      <c r="EN300" s="122"/>
      <c r="EO300" s="122"/>
      <c r="EP300" s="122"/>
      <c r="EQ300" s="103">
        <v>49941</v>
      </c>
      <c r="ER300" s="122"/>
      <c r="ES300" s="126"/>
      <c r="ET300" s="126"/>
      <c r="EU300" s="126"/>
      <c r="EV300" s="66"/>
      <c r="EW300" s="126"/>
      <c r="EX300" s="126"/>
      <c r="EY300" s="144">
        <v>-22068</v>
      </c>
      <c r="EZ300" s="126"/>
      <c r="FA300" s="126"/>
      <c r="FB300" s="126"/>
      <c r="FC300" s="126"/>
      <c r="FD300" s="126"/>
      <c r="FE300" s="126"/>
      <c r="FF300" s="126"/>
      <c r="FG300" s="126"/>
      <c r="FH300" s="126"/>
      <c r="FI300" s="66">
        <f t="shared" si="391"/>
        <v>0</v>
      </c>
      <c r="FJ300" s="66">
        <f t="shared" si="392"/>
        <v>0</v>
      </c>
      <c r="FK300" s="66">
        <f t="shared" si="393"/>
        <v>-22068</v>
      </c>
      <c r="FL300" s="173">
        <f t="shared" si="394"/>
        <v>49941</v>
      </c>
      <c r="FM300" s="123"/>
    </row>
    <row r="301" spans="1:170" hidden="1" outlineLevel="1" x14ac:dyDescent="0.2">
      <c r="A301" s="88" t="s">
        <v>383</v>
      </c>
      <c r="B301" s="88" t="s">
        <v>367</v>
      </c>
      <c r="C301" s="88" t="s">
        <v>607</v>
      </c>
      <c r="D301" s="88" t="s">
        <v>595</v>
      </c>
      <c r="E301" s="89" t="s">
        <v>214</v>
      </c>
      <c r="F301" s="89" t="s">
        <v>712</v>
      </c>
      <c r="G301" s="77" t="str">
        <f t="shared" si="373"/>
        <v>0</v>
      </c>
      <c r="H301" s="77" t="str">
        <f t="shared" si="374"/>
        <v>0</v>
      </c>
      <c r="I301" s="77" t="str">
        <f t="shared" si="375"/>
        <v>1</v>
      </c>
      <c r="J301" s="77" t="str">
        <f t="shared" si="376"/>
        <v>0</v>
      </c>
      <c r="K301" s="77" t="str">
        <f t="shared" si="377"/>
        <v>0010</v>
      </c>
      <c r="L301" s="77" t="str">
        <f>IFERROR(VLOOKUP(K301,Sheet2!$A$20:$B$23,2,FALSE),"X")</f>
        <v>03</v>
      </c>
      <c r="M301" s="77" t="str">
        <f t="shared" si="368"/>
        <v>30008376District Design and Led 19-22</v>
      </c>
      <c r="N301" s="88"/>
      <c r="O301" s="88" t="s">
        <v>160</v>
      </c>
      <c r="P301" s="90" t="s">
        <v>168</v>
      </c>
      <c r="Q301" s="91"/>
      <c r="R301" s="91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>
        <f>SUMIF($T$2:$AQ$2,$AR$2,$T301:$AQ301)</f>
        <v>0</v>
      </c>
      <c r="AS301" s="92">
        <f>SUMIF($T$2:$AQ$2,$AS$2,$T301:$AQ301)</f>
        <v>0</v>
      </c>
      <c r="AT301" s="92">
        <f t="shared" si="380"/>
        <v>0</v>
      </c>
      <c r="AU301" s="161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>
        <f>SUMIF($AX$2:$BU$2,$BV$2,$AX301:$BU301)</f>
        <v>0</v>
      </c>
      <c r="BW301" s="92">
        <f>SUMIF($AX$2:$BU$2,$BW$2,$AX301:$BU301)</f>
        <v>0</v>
      </c>
      <c r="BX301" s="92">
        <f t="shared" si="383"/>
        <v>0</v>
      </c>
      <c r="BY301" s="161"/>
      <c r="BZ301" s="92"/>
      <c r="CA301" s="92"/>
      <c r="CB301" s="92"/>
      <c r="CC301" s="92">
        <v>74250</v>
      </c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>
        <f>SUMIF($CD$2:$DA$2,$DB$2,$CD301:$DA301)</f>
        <v>0</v>
      </c>
      <c r="DC301" s="92">
        <f>SUMIF($CD$2:$DA$2,$DC$2,$CD301:$DA301)</f>
        <v>0</v>
      </c>
      <c r="DD301" s="92">
        <f>SUMIF($CD$2:$DA$2,$DD$2,$CD301:$DA301)</f>
        <v>0</v>
      </c>
      <c r="DE301" s="92">
        <f t="shared" si="387"/>
        <v>74250</v>
      </c>
      <c r="DH301" s="103">
        <v>74250</v>
      </c>
      <c r="DP301" s="131"/>
      <c r="DU301" s="79">
        <v>-26976.82</v>
      </c>
      <c r="DW301" s="79">
        <f>-(47273.18+400.87)</f>
        <v>-47674.05</v>
      </c>
      <c r="DY301" s="79">
        <v>-1464.81</v>
      </c>
      <c r="EC301" s="79">
        <v>-19969.349999999999</v>
      </c>
      <c r="EJ301" s="79">
        <f>SUMIF($DK$2:$EI$2,$EJ$2,$DK301:$EI301)</f>
        <v>0</v>
      </c>
      <c r="EK301" s="79">
        <f>SUMIF($DK$2:$EI$2,$EK$2,$DK301:$EI301)</f>
        <v>-96085.03</v>
      </c>
      <c r="EL301" s="79">
        <f>SUMIF($DK$2:$EI$2,$EL$2,$DK301:$EI301)</f>
        <v>0</v>
      </c>
      <c r="EM301" s="79">
        <f t="shared" si="372"/>
        <v>52414.97</v>
      </c>
      <c r="EP301" s="103">
        <v>77643.225000000006</v>
      </c>
      <c r="ES301" s="66">
        <v>-1362.33</v>
      </c>
      <c r="EW301" s="144">
        <v>-820.87</v>
      </c>
      <c r="EX301" s="144">
        <v>-17355.13</v>
      </c>
      <c r="FC301" s="224">
        <v>-18630</v>
      </c>
      <c r="FD301" s="66">
        <v>-17987.5</v>
      </c>
      <c r="FE301" s="312">
        <v>-372</v>
      </c>
      <c r="FI301" s="66">
        <f t="shared" si="391"/>
        <v>0</v>
      </c>
      <c r="FJ301" s="66">
        <f t="shared" si="392"/>
        <v>0</v>
      </c>
      <c r="FK301" s="66">
        <f t="shared" si="393"/>
        <v>-56527.83</v>
      </c>
      <c r="FL301" s="173">
        <f t="shared" si="394"/>
        <v>73530.365000000005</v>
      </c>
    </row>
    <row r="302" spans="1:170" hidden="1" outlineLevel="1" x14ac:dyDescent="0.2">
      <c r="A302" s="76" t="s">
        <v>32</v>
      </c>
      <c r="B302" s="76" t="s">
        <v>88</v>
      </c>
      <c r="C302" s="76" t="s">
        <v>109</v>
      </c>
      <c r="D302" s="76" t="s">
        <v>159</v>
      </c>
      <c r="E302" s="77" t="s">
        <v>211</v>
      </c>
      <c r="F302" s="77" t="s">
        <v>712</v>
      </c>
      <c r="G302" s="77" t="str">
        <f t="shared" si="373"/>
        <v>1</v>
      </c>
      <c r="H302" s="77" t="str">
        <f t="shared" si="374"/>
        <v>0</v>
      </c>
      <c r="I302" s="77" t="str">
        <f t="shared" si="375"/>
        <v>0</v>
      </c>
      <c r="J302" s="77" t="str">
        <f t="shared" si="376"/>
        <v>0</v>
      </c>
      <c r="K302" s="77" t="str">
        <f t="shared" si="377"/>
        <v>1000</v>
      </c>
      <c r="L302" s="77" t="str">
        <f>IFERROR(VLOOKUP(K302,Sheet2!$A$20:$B$23,2,FALSE),"X")</f>
        <v>01</v>
      </c>
      <c r="M302" s="77" t="str">
        <f t="shared" si="368"/>
        <v>30506582District Design and Led 17-20</v>
      </c>
      <c r="N302" s="76" t="s">
        <v>161</v>
      </c>
      <c r="O302" s="76" t="s">
        <v>160</v>
      </c>
      <c r="P302" s="69" t="s">
        <v>168</v>
      </c>
      <c r="Q302" s="78">
        <v>43173</v>
      </c>
      <c r="R302" s="78">
        <v>43173</v>
      </c>
      <c r="S302" s="79">
        <v>50000</v>
      </c>
      <c r="AL302" s="79">
        <v>-15210</v>
      </c>
      <c r="AN302" s="79">
        <v>-6376</v>
      </c>
      <c r="AP302" s="79">
        <v>-2700</v>
      </c>
      <c r="AR302" s="79">
        <f>SUMIF($T$2:$AQ$2,$AR$2,$T302:$AQ302)</f>
        <v>-24286</v>
      </c>
      <c r="AS302" s="79">
        <f>SUMIF($T$2:$AQ$2,$AS$2,$T302:$AQ302)</f>
        <v>0</v>
      </c>
      <c r="AT302" s="79">
        <f t="shared" si="380"/>
        <v>25714</v>
      </c>
      <c r="AU302" s="158" t="s">
        <v>161</v>
      </c>
      <c r="AV302" s="79">
        <v>52626</v>
      </c>
      <c r="BB302" s="79">
        <v>-25714</v>
      </c>
      <c r="BN302" s="79">
        <v>-35822</v>
      </c>
      <c r="BV302" s="79">
        <f>SUMIF($AX$2:$BU$2,$BV$2,$AX302:$BU302)</f>
        <v>-61536</v>
      </c>
      <c r="BW302" s="79">
        <f>SUMIF($AX$2:$BU$2,$BW$2,$AX302:$BU302)</f>
        <v>0</v>
      </c>
      <c r="BX302" s="79">
        <f t="shared" si="383"/>
        <v>16804</v>
      </c>
      <c r="CJ302" s="79">
        <v>-2310.13</v>
      </c>
      <c r="CL302" s="79">
        <v>-8626.18</v>
      </c>
      <c r="CN302" s="79">
        <v>-5867.69</v>
      </c>
      <c r="DB302" s="79">
        <f>SUMIF($CD$2:$DA$2,$DB$2,$CD302:$DA302)</f>
        <v>0</v>
      </c>
      <c r="DC302" s="79">
        <f>SUMIF($CD$2:$DA$2,$DC$2,$CD302:$DA302)</f>
        <v>-16804</v>
      </c>
      <c r="DD302" s="79">
        <f>SUMIF($CD$2:$DA$2,$DD$2,$CD302:$DA302)</f>
        <v>0</v>
      </c>
      <c r="DE302" s="79">
        <f t="shared" si="387"/>
        <v>0</v>
      </c>
      <c r="DP302" s="131"/>
      <c r="EJ302" s="79">
        <f>SUMIF($DK$2:$EI$2,$EJ$2,$DK302:$EI302)</f>
        <v>0</v>
      </c>
      <c r="EK302" s="79">
        <f>SUMIF($DK$2:$EI$2,$EK$2,$DK302:$EI302)</f>
        <v>0</v>
      </c>
      <c r="EL302" s="79">
        <f>SUMIF($DK$2:$EI$2,$EL$2,$DK302:$EI302)</f>
        <v>0</v>
      </c>
      <c r="EM302" s="79">
        <f t="shared" si="372"/>
        <v>0</v>
      </c>
      <c r="FI302" s="66">
        <f t="shared" si="391"/>
        <v>0</v>
      </c>
      <c r="FJ302" s="66">
        <f t="shared" si="392"/>
        <v>0</v>
      </c>
      <c r="FK302" s="66">
        <f t="shared" si="393"/>
        <v>0</v>
      </c>
      <c r="FL302" s="173">
        <f t="shared" si="394"/>
        <v>0</v>
      </c>
      <c r="FN302" s="93"/>
    </row>
    <row r="303" spans="1:170" hidden="1" outlineLevel="1" x14ac:dyDescent="0.2">
      <c r="A303" s="76" t="s">
        <v>32</v>
      </c>
      <c r="B303" s="76" t="s">
        <v>34</v>
      </c>
      <c r="C303" s="76" t="s">
        <v>109</v>
      </c>
      <c r="D303" s="76" t="s">
        <v>111</v>
      </c>
      <c r="E303" s="77" t="s">
        <v>213</v>
      </c>
      <c r="F303" s="77" t="s">
        <v>712</v>
      </c>
      <c r="G303" s="77" t="str">
        <f t="shared" si="373"/>
        <v>0</v>
      </c>
      <c r="H303" s="77" t="str">
        <f t="shared" si="374"/>
        <v>0</v>
      </c>
      <c r="I303" s="77" t="str">
        <f t="shared" si="375"/>
        <v>0</v>
      </c>
      <c r="J303" s="77" t="str">
        <f t="shared" si="376"/>
        <v>0</v>
      </c>
      <c r="K303" s="77" t="str">
        <f t="shared" si="377"/>
        <v>0000</v>
      </c>
      <c r="L303" s="77" t="str">
        <f>IFERROR(VLOOKUP(K303,Sheet2!$A$20:$B$23,2,FALSE),"X")</f>
        <v>X</v>
      </c>
      <c r="M303" s="77" t="str">
        <f t="shared" si="368"/>
        <v>3050N/ADistrict Design and Led 18-21</v>
      </c>
      <c r="O303" s="76" t="s">
        <v>160</v>
      </c>
      <c r="P303" s="69" t="s">
        <v>168</v>
      </c>
      <c r="Q303" s="78"/>
      <c r="R303" s="78"/>
      <c r="AR303" s="79">
        <f>SUMIF($T$2:$AQ$2,$AR$2,$T303:$AQ303)</f>
        <v>0</v>
      </c>
      <c r="AS303" s="79">
        <f>SUMIF($T$2:$AQ$2,$AS$2,$T303:$AQ303)</f>
        <v>0</v>
      </c>
      <c r="AT303" s="79">
        <f t="shared" si="380"/>
        <v>0</v>
      </c>
      <c r="AU303" s="158" t="s">
        <v>336</v>
      </c>
      <c r="AV303" s="79"/>
      <c r="BV303" s="79">
        <f>SUMIF($AX$2:$BU$2,$BV$2,$AX303:$BU303)</f>
        <v>0</v>
      </c>
      <c r="BW303" s="79">
        <f>SUMIF($AX$2:$BU$2,$BW$2,$AX303:$BU303)</f>
        <v>0</v>
      </c>
      <c r="BX303" s="79">
        <f t="shared" si="383"/>
        <v>0</v>
      </c>
      <c r="BY303" s="158" t="s">
        <v>341</v>
      </c>
      <c r="CA303" s="79">
        <v>57750</v>
      </c>
      <c r="CV303" s="79">
        <v>-17279.400000000001</v>
      </c>
      <c r="DB303" s="79">
        <f>SUMIF($CD$2:$DA$2,$DB$2,$CD303:$DA303)</f>
        <v>0</v>
      </c>
      <c r="DC303" s="79">
        <f>SUMIF($CD$2:$DA$2,$DC$2,$CD303:$DA303)</f>
        <v>-17279.400000000001</v>
      </c>
      <c r="DD303" s="79">
        <f>SUMIF($CD$2:$DA$2,$DD$2,$CD303:$DA303)</f>
        <v>0</v>
      </c>
      <c r="DE303" s="79">
        <f t="shared" si="387"/>
        <v>40470.6</v>
      </c>
      <c r="DP303" s="131"/>
      <c r="EJ303" s="79">
        <f>SUMIF($DK$2:$EI$2,$EJ$2,$DK303:$EI303)</f>
        <v>0</v>
      </c>
      <c r="EK303" s="79">
        <f>SUMIF($DK$2:$EI$2,$EK$2,$DK303:$EI303)</f>
        <v>0</v>
      </c>
      <c r="EL303" s="79">
        <f>SUMIF($DK$2:$EI$2,$EL$2,$DK303:$EI303)</f>
        <v>0</v>
      </c>
      <c r="EM303" s="79">
        <f t="shared" si="372"/>
        <v>40470.6</v>
      </c>
      <c r="FI303" s="66">
        <f t="shared" si="391"/>
        <v>0</v>
      </c>
      <c r="FJ303" s="66">
        <f t="shared" si="392"/>
        <v>0</v>
      </c>
      <c r="FK303" s="66">
        <f t="shared" si="393"/>
        <v>0</v>
      </c>
      <c r="FL303" s="173">
        <f t="shared" si="394"/>
        <v>40470.6</v>
      </c>
    </row>
    <row r="304" spans="1:170" hidden="1" outlineLevel="1" x14ac:dyDescent="0.2">
      <c r="A304" s="76" t="s">
        <v>21</v>
      </c>
      <c r="B304" s="76" t="s">
        <v>46</v>
      </c>
      <c r="C304" s="76" t="s">
        <v>100</v>
      </c>
      <c r="D304" s="76" t="s">
        <v>122</v>
      </c>
      <c r="E304" s="77" t="s">
        <v>213</v>
      </c>
      <c r="F304" s="77" t="s">
        <v>712</v>
      </c>
      <c r="G304" s="77" t="str">
        <f t="shared" si="373"/>
        <v>0</v>
      </c>
      <c r="H304" s="77" t="str">
        <f t="shared" si="374"/>
        <v>1</v>
      </c>
      <c r="I304" s="77" t="str">
        <f t="shared" si="375"/>
        <v>0</v>
      </c>
      <c r="J304" s="77" t="str">
        <f t="shared" si="376"/>
        <v>0</v>
      </c>
      <c r="K304" s="77" t="str">
        <f t="shared" si="377"/>
        <v>0100</v>
      </c>
      <c r="L304" s="77" t="str">
        <f>IFERROR(VLOOKUP(K304,Sheet2!$A$20:$B$23,2,FALSE),"X")</f>
        <v>02</v>
      </c>
      <c r="M304" s="77" t="str">
        <f t="shared" si="368"/>
        <v>31200052District Design and Led 18-21</v>
      </c>
      <c r="O304" s="76" t="s">
        <v>160</v>
      </c>
      <c r="P304" s="69" t="s">
        <v>168</v>
      </c>
      <c r="Q304" s="78"/>
      <c r="R304" s="78"/>
      <c r="AR304" s="79">
        <f>SUMIF($T$2:$AQ$2,$AR$2,$T304:$AQ304)</f>
        <v>0</v>
      </c>
      <c r="AS304" s="79">
        <f>SUMIF($T$2:$AQ$2,$AS$2,$T304:$AQ304)</f>
        <v>0</v>
      </c>
      <c r="AT304" s="79">
        <f t="shared" si="380"/>
        <v>0</v>
      </c>
      <c r="AU304" s="158" t="s">
        <v>336</v>
      </c>
      <c r="AV304" s="79"/>
      <c r="AW304" s="79">
        <v>25000</v>
      </c>
      <c r="BP304" s="79">
        <v>-13115</v>
      </c>
      <c r="BR304" s="79">
        <v>-6815.53</v>
      </c>
      <c r="BT304" s="79">
        <v>-441.86</v>
      </c>
      <c r="BV304" s="79">
        <f>SUMIF($AX$2:$BU$2,$BV$2,$AX304:$BU304)</f>
        <v>-20372.39</v>
      </c>
      <c r="BW304" s="79">
        <f>SUMIF($AX$2:$BU$2,$BW$2,$AX304:$BU304)</f>
        <v>0</v>
      </c>
      <c r="BX304" s="79">
        <f t="shared" si="383"/>
        <v>4627.6100000000006</v>
      </c>
      <c r="BY304" s="158" t="s">
        <v>341</v>
      </c>
      <c r="CA304" s="79">
        <v>50000</v>
      </c>
      <c r="CH304" s="79">
        <v>-4627.6099999999997</v>
      </c>
      <c r="CJ304" s="79">
        <v>-7954.63</v>
      </c>
      <c r="DB304" s="79">
        <f>SUMIF($CD$2:$DA$2,$DB$2,$CD304:$DA304)</f>
        <v>0</v>
      </c>
      <c r="DC304" s="79">
        <f>SUMIF($CD$2:$DA$2,$DC$2,$CD304:$DA304)</f>
        <v>-12582.24</v>
      </c>
      <c r="DD304" s="79">
        <f>SUMIF($CD$2:$DA$2,$DD$2,$CD304:$DA304)</f>
        <v>0</v>
      </c>
      <c r="DE304" s="79">
        <f t="shared" si="387"/>
        <v>42045.37</v>
      </c>
      <c r="DG304" s="79">
        <v>55160</v>
      </c>
      <c r="DP304" s="131"/>
      <c r="DS304" s="79">
        <v>-12312.06</v>
      </c>
      <c r="DU304" s="79">
        <v>-500</v>
      </c>
      <c r="DW304" s="79">
        <v>-51.6</v>
      </c>
      <c r="EC304" s="79">
        <v>-3782.61</v>
      </c>
      <c r="EI304" s="79">
        <v>-10299.67</v>
      </c>
      <c r="EJ304" s="79">
        <f>SUMIF($DK$2:$EI$2,$EJ$2,$DK304:$EI304)</f>
        <v>0</v>
      </c>
      <c r="EK304" s="79">
        <f>SUMIF($DK$2:$EI$2,$EK$2,$DK304:$EI304)</f>
        <v>-16646.27</v>
      </c>
      <c r="EL304" s="79">
        <f>SUMIF($DK$2:$EI$2,$EL$2,$DK304:$EI304)</f>
        <v>-10299.67</v>
      </c>
      <c r="EM304" s="79">
        <f t="shared" si="372"/>
        <v>70259.429999999993</v>
      </c>
      <c r="ES304" s="66">
        <v>-7626.37</v>
      </c>
      <c r="EX304" s="144">
        <v>-41984.67</v>
      </c>
      <c r="FI304" s="66">
        <f t="shared" si="391"/>
        <v>0</v>
      </c>
      <c r="FJ304" s="66">
        <f t="shared" si="392"/>
        <v>0</v>
      </c>
      <c r="FK304" s="66">
        <f t="shared" si="393"/>
        <v>-49611.040000000001</v>
      </c>
      <c r="FL304" s="173">
        <f t="shared" si="394"/>
        <v>20648.389999999992</v>
      </c>
    </row>
    <row r="305" spans="1:170" hidden="1" outlineLevel="1" x14ac:dyDescent="0.2">
      <c r="A305" s="76" t="s">
        <v>21</v>
      </c>
      <c r="B305" s="76" t="s">
        <v>48</v>
      </c>
      <c r="C305" s="76" t="s">
        <v>100</v>
      </c>
      <c r="D305" s="76" t="s">
        <v>124</v>
      </c>
      <c r="E305" s="77" t="s">
        <v>213</v>
      </c>
      <c r="F305" s="77" t="s">
        <v>712</v>
      </c>
      <c r="G305" s="77" t="str">
        <f t="shared" si="373"/>
        <v>0</v>
      </c>
      <c r="H305" s="77" t="str">
        <f t="shared" si="374"/>
        <v>1</v>
      </c>
      <c r="I305" s="77" t="str">
        <f t="shared" si="375"/>
        <v>0</v>
      </c>
      <c r="J305" s="77" t="str">
        <f t="shared" si="376"/>
        <v>0</v>
      </c>
      <c r="K305" s="77" t="str">
        <f t="shared" si="377"/>
        <v>0100</v>
      </c>
      <c r="L305" s="77" t="str">
        <f>IFERROR(VLOOKUP(K305,Sheet2!$A$20:$B$23,2,FALSE),"X")</f>
        <v>02</v>
      </c>
      <c r="M305" s="77" t="str">
        <f t="shared" si="368"/>
        <v>31201384District Design and Led 18-21</v>
      </c>
      <c r="O305" s="76" t="s">
        <v>160</v>
      </c>
      <c r="P305" s="69" t="s">
        <v>168</v>
      </c>
      <c r="Q305" s="78"/>
      <c r="R305" s="78"/>
      <c r="AR305" s="79">
        <f>SUMIF($T$2:$AQ$2,$AR$2,$T305:$AQ305)</f>
        <v>0</v>
      </c>
      <c r="AS305" s="79">
        <f>SUMIF($T$2:$AQ$2,$AS$2,$T305:$AQ305)</f>
        <v>0</v>
      </c>
      <c r="AT305" s="79">
        <f t="shared" si="380"/>
        <v>0</v>
      </c>
      <c r="AU305" s="158" t="s">
        <v>336</v>
      </c>
      <c r="AV305" s="79"/>
      <c r="AW305" s="79">
        <v>25000</v>
      </c>
      <c r="BP305" s="79">
        <v>-5005</v>
      </c>
      <c r="BR305" s="79">
        <v>-5416.12</v>
      </c>
      <c r="BT305" s="79">
        <v>-3637.09</v>
      </c>
      <c r="BV305" s="79">
        <f>SUMIF($AX$2:$BU$2,$BV$2,$AX305:$BU305)</f>
        <v>-14058.21</v>
      </c>
      <c r="BW305" s="79">
        <f>SUMIF($AX$2:$BU$2,$BW$2,$AX305:$BU305)</f>
        <v>0</v>
      </c>
      <c r="BX305" s="79">
        <f t="shared" si="383"/>
        <v>10941.79</v>
      </c>
      <c r="BY305" s="158" t="s">
        <v>341</v>
      </c>
      <c r="CA305" s="79">
        <v>50000</v>
      </c>
      <c r="CH305" s="79">
        <v>-10941.79</v>
      </c>
      <c r="CJ305" s="79">
        <v>-28355.64</v>
      </c>
      <c r="DB305" s="79">
        <f>SUMIF($CD$2:$DA$2,$DB$2,$CD305:$DA305)</f>
        <v>0</v>
      </c>
      <c r="DC305" s="79">
        <f>SUMIF($CD$2:$DA$2,$DC$2,$CD305:$DA305)</f>
        <v>-39297.43</v>
      </c>
      <c r="DD305" s="79">
        <f>SUMIF($CD$2:$DA$2,$DD$2,$CD305:$DA305)</f>
        <v>0</v>
      </c>
      <c r="DE305" s="79">
        <f t="shared" si="387"/>
        <v>21644.36</v>
      </c>
      <c r="DG305" s="79">
        <v>55160</v>
      </c>
      <c r="DP305" s="131"/>
      <c r="DS305" s="79">
        <f>-(19880.88+1763.48+14042.71)</f>
        <v>-35687.07</v>
      </c>
      <c r="DU305" s="79">
        <v>-555.79</v>
      </c>
      <c r="DW305" s="79">
        <v>-1839.4</v>
      </c>
      <c r="DY305" s="79">
        <v>-4353.47</v>
      </c>
      <c r="EC305" s="79">
        <v>-10808.66</v>
      </c>
      <c r="EI305" s="79">
        <v>-16139.84</v>
      </c>
      <c r="EJ305" s="79">
        <f>SUMIF($DK$2:$EI$2,$EJ$2,$DK305:$EI305)</f>
        <v>0</v>
      </c>
      <c r="EK305" s="79">
        <f>SUMIF($DK$2:$EI$2,$EK$2,$DK305:$EI305)</f>
        <v>-53244.39</v>
      </c>
      <c r="EL305" s="79">
        <f>SUMIF($DK$2:$EI$2,$EL$2,$DK305:$EI305)</f>
        <v>-16139.84</v>
      </c>
      <c r="EM305" s="79">
        <f t="shared" si="372"/>
        <v>7420.1300000000047</v>
      </c>
      <c r="ES305" s="66">
        <v>-1593.16</v>
      </c>
      <c r="EX305" s="144">
        <v>-666.49</v>
      </c>
      <c r="FI305" s="66">
        <f t="shared" si="391"/>
        <v>0</v>
      </c>
      <c r="FJ305" s="66">
        <f t="shared" si="392"/>
        <v>0</v>
      </c>
      <c r="FK305" s="66">
        <f t="shared" si="393"/>
        <v>-2259.65</v>
      </c>
      <c r="FL305" s="173">
        <f t="shared" si="394"/>
        <v>5160.480000000005</v>
      </c>
    </row>
    <row r="306" spans="1:170" s="118" customFormat="1" hidden="1" outlineLevel="1" x14ac:dyDescent="0.2">
      <c r="A306" s="118" t="s">
        <v>21</v>
      </c>
      <c r="B306" s="119" t="s">
        <v>764</v>
      </c>
      <c r="C306" s="118" t="s">
        <v>100</v>
      </c>
      <c r="D306" s="118" t="s">
        <v>765</v>
      </c>
      <c r="E306" s="119" t="s">
        <v>456</v>
      </c>
      <c r="F306" s="119"/>
      <c r="G306" s="119"/>
      <c r="H306" s="119"/>
      <c r="I306" s="119"/>
      <c r="J306" s="119"/>
      <c r="K306" s="119"/>
      <c r="L306" s="119"/>
      <c r="M306" s="119" t="str">
        <f t="shared" si="368"/>
        <v>31208647District Design and Led 20-23</v>
      </c>
      <c r="O306" s="119" t="s">
        <v>160</v>
      </c>
      <c r="P306" s="120"/>
      <c r="Q306" s="121"/>
      <c r="R306" s="121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60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60"/>
      <c r="BZ306" s="122"/>
      <c r="CA306" s="122"/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2"/>
      <c r="CM306" s="122"/>
      <c r="CN306" s="122"/>
      <c r="CO306" s="122"/>
      <c r="CP306" s="122"/>
      <c r="CQ306" s="122"/>
      <c r="CR306" s="122"/>
      <c r="CS306" s="122"/>
      <c r="CT306" s="122"/>
      <c r="CU306" s="122"/>
      <c r="CV306" s="122"/>
      <c r="CW306" s="122"/>
      <c r="CX306" s="122"/>
      <c r="CY306" s="122"/>
      <c r="CZ306" s="122"/>
      <c r="DA306" s="122"/>
      <c r="DB306" s="122"/>
      <c r="DC306" s="122"/>
      <c r="DD306" s="122"/>
      <c r="DE306" s="122"/>
      <c r="DF306" s="160"/>
      <c r="DG306" s="122"/>
      <c r="DH306" s="122"/>
      <c r="DI306" s="122"/>
      <c r="DJ306" s="122">
        <v>12450</v>
      </c>
      <c r="DK306" s="122"/>
      <c r="DL306" s="122"/>
      <c r="DM306" s="122"/>
      <c r="DN306" s="122"/>
      <c r="DO306" s="122"/>
      <c r="DP306" s="122"/>
      <c r="DQ306" s="122"/>
      <c r="DR306" s="122"/>
      <c r="DS306" s="122"/>
      <c r="DT306" s="122"/>
      <c r="DU306" s="122"/>
      <c r="DV306" s="122"/>
      <c r="DW306" s="122"/>
      <c r="DX306" s="122"/>
      <c r="DY306" s="122"/>
      <c r="DZ306" s="122"/>
      <c r="EA306" s="122"/>
      <c r="EB306" s="122"/>
      <c r="EC306" s="122"/>
      <c r="ED306" s="122"/>
      <c r="EE306" s="122"/>
      <c r="EF306" s="122"/>
      <c r="EG306" s="131"/>
      <c r="EH306" s="122"/>
      <c r="EI306" s="122"/>
      <c r="EJ306" s="122"/>
      <c r="EK306" s="122"/>
      <c r="EL306" s="122"/>
      <c r="EM306" s="122">
        <f t="shared" si="372"/>
        <v>12450</v>
      </c>
      <c r="EN306" s="122"/>
      <c r="EO306" s="122"/>
      <c r="EP306" s="122"/>
      <c r="EQ306" s="103">
        <v>24975</v>
      </c>
      <c r="ER306" s="122"/>
      <c r="ES306" s="126"/>
      <c r="ET306" s="126"/>
      <c r="EU306" s="126"/>
      <c r="EV306" s="66"/>
      <c r="EW306" s="126"/>
      <c r="EX306" s="126"/>
      <c r="EY306" s="126"/>
      <c r="EZ306" s="126"/>
      <c r="FA306" s="126"/>
      <c r="FB306" s="126"/>
      <c r="FC306" s="126"/>
      <c r="FD306" s="126"/>
      <c r="FE306" s="126"/>
      <c r="FF306" s="126"/>
      <c r="FG306" s="126"/>
      <c r="FH306" s="126"/>
      <c r="FI306" s="66">
        <f t="shared" si="391"/>
        <v>0</v>
      </c>
      <c r="FJ306" s="66">
        <f t="shared" si="392"/>
        <v>0</v>
      </c>
      <c r="FK306" s="66">
        <f t="shared" si="393"/>
        <v>0</v>
      </c>
      <c r="FL306" s="173">
        <f t="shared" si="394"/>
        <v>37425</v>
      </c>
      <c r="FM306" s="123"/>
    </row>
    <row r="307" spans="1:170" hidden="1" outlineLevel="1" x14ac:dyDescent="0.2">
      <c r="A307" s="76" t="s">
        <v>21</v>
      </c>
      <c r="B307" s="76" t="s">
        <v>34</v>
      </c>
      <c r="C307" s="76" t="s">
        <v>100</v>
      </c>
      <c r="D307" s="76" t="s">
        <v>111</v>
      </c>
      <c r="E307" s="77" t="s">
        <v>213</v>
      </c>
      <c r="F307" s="77" t="s">
        <v>712</v>
      </c>
      <c r="G307" s="77" t="str">
        <f t="shared" si="373"/>
        <v>0</v>
      </c>
      <c r="H307" s="77" t="str">
        <f t="shared" si="374"/>
        <v>1</v>
      </c>
      <c r="I307" s="77" t="str">
        <f t="shared" si="375"/>
        <v>0</v>
      </c>
      <c r="J307" s="77" t="str">
        <f t="shared" si="376"/>
        <v>0</v>
      </c>
      <c r="K307" s="77" t="str">
        <f t="shared" si="377"/>
        <v>0100</v>
      </c>
      <c r="L307" s="77" t="str">
        <f>IFERROR(VLOOKUP(K307,Sheet2!$A$20:$B$23,2,FALSE),"X")</f>
        <v>02</v>
      </c>
      <c r="M307" s="77" t="str">
        <f t="shared" si="368"/>
        <v>3120N/ADistrict Design and Led 18-21</v>
      </c>
      <c r="O307" s="76" t="s">
        <v>160</v>
      </c>
      <c r="P307" s="69" t="s">
        <v>168</v>
      </c>
      <c r="Q307" s="78"/>
      <c r="R307" s="78"/>
      <c r="AR307" s="79">
        <f>SUMIF($T$2:$AQ$2,$AR$2,$T307:$AQ307)</f>
        <v>0</v>
      </c>
      <c r="AS307" s="79">
        <f>SUMIF($T$2:$AQ$2,$AS$2,$T307:$AQ307)</f>
        <v>0</v>
      </c>
      <c r="AT307" s="79">
        <f t="shared" si="380"/>
        <v>0</v>
      </c>
      <c r="AU307" s="158" t="s">
        <v>336</v>
      </c>
      <c r="AV307" s="79"/>
      <c r="AW307" s="79">
        <v>184749</v>
      </c>
      <c r="BR307" s="79">
        <v>-485.42</v>
      </c>
      <c r="BT307" s="79">
        <v>-77000</v>
      </c>
      <c r="BV307" s="79">
        <f>SUMIF($AX$2:$BU$2,$BV$2,$AX307:$BU307)</f>
        <v>-77485.42</v>
      </c>
      <c r="BW307" s="79">
        <f>SUMIF($AX$2:$BU$2,$BW$2,$AX307:$BU307)</f>
        <v>0</v>
      </c>
      <c r="BX307" s="79">
        <f t="shared" si="383"/>
        <v>107263.58</v>
      </c>
      <c r="BY307" s="158" t="s">
        <v>341</v>
      </c>
      <c r="CA307" s="79">
        <v>1285203</v>
      </c>
      <c r="CH307" s="79">
        <v>-21293.39</v>
      </c>
      <c r="CJ307" s="79">
        <v>-140338.26</v>
      </c>
      <c r="CV307" s="79">
        <v>-503030.47</v>
      </c>
      <c r="DB307" s="79">
        <f>SUMIF($CD$2:$DA$2,$DB$2,$CD307:$DA307)</f>
        <v>0</v>
      </c>
      <c r="DC307" s="79">
        <f>SUMIF($CD$2:$DA$2,$DC$2,$CD307:$DA307)</f>
        <v>-664662.12</v>
      </c>
      <c r="DD307" s="79">
        <f>SUMIF($CD$2:$DA$2,$DD$2,$CD307:$DA307)</f>
        <v>0</v>
      </c>
      <c r="DE307" s="79">
        <f t="shared" si="387"/>
        <v>727804.46000000008</v>
      </c>
      <c r="DG307" s="79">
        <v>1371003</v>
      </c>
      <c r="DP307" s="131"/>
      <c r="DS307" s="79">
        <v>-508178.54</v>
      </c>
      <c r="EE307" s="79" t="s">
        <v>701</v>
      </c>
      <c r="EJ307" s="79">
        <f>SUMIF($DK$2:$EI$2,$EJ$2,$DK307:$EI307)</f>
        <v>0</v>
      </c>
      <c r="EK307" s="79">
        <f>SUMIF($DK$2:$EI$2,$EK$2,$DK307:$EI307)</f>
        <v>-508178.54</v>
      </c>
      <c r="EL307" s="79">
        <f>SUMIF($DK$2:$EI$2,$EL$2,$DK307:$EI307)</f>
        <v>0</v>
      </c>
      <c r="EM307" s="79">
        <f t="shared" ref="EM307:EM310" si="397">DE307+DH307+DG307+DJ307+(EJ307+EK307+EL307)</f>
        <v>1590628.92</v>
      </c>
      <c r="ES307" s="66">
        <v>-1057811.7</v>
      </c>
      <c r="EX307" s="144">
        <v>-431783.23</v>
      </c>
      <c r="FI307" s="66">
        <f t="shared" si="391"/>
        <v>0</v>
      </c>
      <c r="FJ307" s="66">
        <f t="shared" si="392"/>
        <v>0</v>
      </c>
      <c r="FK307" s="66">
        <f t="shared" si="393"/>
        <v>-1489594.93</v>
      </c>
      <c r="FL307" s="173">
        <f t="shared" si="394"/>
        <v>101033.98999999999</v>
      </c>
    </row>
    <row r="308" spans="1:170" hidden="1" outlineLevel="1" x14ac:dyDescent="0.2">
      <c r="A308" s="88" t="s">
        <v>33</v>
      </c>
      <c r="B308" s="88" t="s">
        <v>27</v>
      </c>
      <c r="C308" s="88" t="s">
        <v>813</v>
      </c>
      <c r="D308" s="88" t="s">
        <v>672</v>
      </c>
      <c r="E308" s="89" t="s">
        <v>214</v>
      </c>
      <c r="F308" s="89" t="s">
        <v>712</v>
      </c>
      <c r="G308" s="77" t="str">
        <f t="shared" si="373"/>
        <v>0</v>
      </c>
      <c r="H308" s="77" t="str">
        <f t="shared" si="374"/>
        <v>0</v>
      </c>
      <c r="I308" s="77" t="str">
        <f t="shared" si="375"/>
        <v>1</v>
      </c>
      <c r="J308" s="77" t="str">
        <f t="shared" si="376"/>
        <v>0</v>
      </c>
      <c r="K308" s="77" t="str">
        <f t="shared" si="377"/>
        <v>0010</v>
      </c>
      <c r="L308" s="77" t="str">
        <f>IFERROR(VLOOKUP(K308,Sheet2!$A$20:$B$23,2,FALSE),"X")</f>
        <v>03</v>
      </c>
      <c r="M308" s="77" t="str">
        <f t="shared" si="368"/>
        <v>91701550District Design and Led 19-22</v>
      </c>
      <c r="N308" s="88"/>
      <c r="O308" s="88" t="s">
        <v>160</v>
      </c>
      <c r="P308" s="90" t="s">
        <v>168</v>
      </c>
      <c r="Q308" s="91"/>
      <c r="R308" s="91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>
        <f>SUMIF($T$2:$AQ$2,$AR$2,$T308:$AQ308)</f>
        <v>0</v>
      </c>
      <c r="AS308" s="92">
        <f>SUMIF($T$2:$AQ$2,$AS$2,$T308:$AQ308)</f>
        <v>0</v>
      </c>
      <c r="AT308" s="92">
        <f t="shared" si="380"/>
        <v>0</v>
      </c>
      <c r="AU308" s="161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>
        <f>SUMIF($AX$2:$BU$2,$BV$2,$AX308:$BU308)</f>
        <v>0</v>
      </c>
      <c r="BW308" s="92">
        <f>SUMIF($AX$2:$BU$2,$BW$2,$AX308:$BU308)</f>
        <v>0</v>
      </c>
      <c r="BX308" s="92">
        <f t="shared" si="383"/>
        <v>0</v>
      </c>
      <c r="BY308" s="161"/>
      <c r="BZ308" s="92"/>
      <c r="CA308" s="92"/>
      <c r="CB308" s="92"/>
      <c r="CC308" s="92">
        <v>28333.33</v>
      </c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>
        <f>SUMIF($CD$2:$DA$2,$DB$2,$CD308:$DA308)</f>
        <v>0</v>
      </c>
      <c r="DC308" s="92">
        <f>SUMIF($CD$2:$DA$2,$DC$2,$CD308:$DA308)</f>
        <v>0</v>
      </c>
      <c r="DD308" s="92">
        <f>SUMIF($CD$2:$DA$2,$DD$2,$CD308:$DA308)</f>
        <v>0</v>
      </c>
      <c r="DE308" s="92">
        <f t="shared" si="387"/>
        <v>28333.33</v>
      </c>
      <c r="DH308" s="103">
        <v>20500</v>
      </c>
      <c r="DM308" s="79">
        <v>-3250</v>
      </c>
      <c r="DP308" s="131"/>
      <c r="EJ308" s="79">
        <f>SUMIF($DK$2:$EI$2,$EJ$2,$DK308:$EI308)</f>
        <v>0</v>
      </c>
      <c r="EK308" s="79">
        <f>SUMIF($DK$2:$EI$2,$EK$2,$DK308:$EI308)</f>
        <v>-3250</v>
      </c>
      <c r="EL308" s="79">
        <f>SUMIF($DK$2:$EI$2,$EL$2,$DK308:$EI308)</f>
        <v>0</v>
      </c>
      <c r="EM308" s="79">
        <f t="shared" si="397"/>
        <v>45583.33</v>
      </c>
      <c r="EP308" s="103">
        <v>19273.426693999998</v>
      </c>
      <c r="ES308" s="144">
        <v>-8000</v>
      </c>
      <c r="FI308" s="66">
        <f t="shared" si="391"/>
        <v>0</v>
      </c>
      <c r="FJ308" s="66">
        <f t="shared" si="392"/>
        <v>0</v>
      </c>
      <c r="FK308" s="66">
        <f t="shared" si="393"/>
        <v>-8000</v>
      </c>
      <c r="FL308" s="173">
        <f t="shared" si="394"/>
        <v>56856.756693999996</v>
      </c>
    </row>
    <row r="309" spans="1:170" hidden="1" outlineLevel="1" x14ac:dyDescent="0.2">
      <c r="A309" s="88" t="s">
        <v>33</v>
      </c>
      <c r="B309" s="88" t="s">
        <v>473</v>
      </c>
      <c r="C309" s="88" t="s">
        <v>813</v>
      </c>
      <c r="D309" s="88" t="s">
        <v>673</v>
      </c>
      <c r="E309" s="89" t="s">
        <v>214</v>
      </c>
      <c r="F309" s="89" t="s">
        <v>712</v>
      </c>
      <c r="G309" s="77" t="str">
        <f t="shared" si="373"/>
        <v>0</v>
      </c>
      <c r="H309" s="77" t="str">
        <f t="shared" si="374"/>
        <v>0</v>
      </c>
      <c r="I309" s="77" t="str">
        <f t="shared" si="375"/>
        <v>1</v>
      </c>
      <c r="J309" s="77" t="str">
        <f t="shared" si="376"/>
        <v>0</v>
      </c>
      <c r="K309" s="77" t="str">
        <f t="shared" si="377"/>
        <v>0010</v>
      </c>
      <c r="L309" s="77" t="str">
        <f>IFERROR(VLOOKUP(K309,Sheet2!$A$20:$B$23,2,FALSE),"X")</f>
        <v>03</v>
      </c>
      <c r="M309" s="77" t="str">
        <f t="shared" si="368"/>
        <v>91706971District Design and Led 19-22</v>
      </c>
      <c r="N309" s="88"/>
      <c r="O309" s="88" t="s">
        <v>160</v>
      </c>
      <c r="P309" s="90" t="s">
        <v>168</v>
      </c>
      <c r="Q309" s="91"/>
      <c r="R309" s="91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>
        <f>SUMIF($T$2:$AQ$2,$AR$2,$T309:$AQ309)</f>
        <v>0</v>
      </c>
      <c r="AS309" s="92">
        <f>SUMIF($T$2:$AQ$2,$AS$2,$T309:$AQ309)</f>
        <v>0</v>
      </c>
      <c r="AT309" s="92">
        <f t="shared" si="380"/>
        <v>0</v>
      </c>
      <c r="AU309" s="161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>
        <f>SUMIF($AX$2:$BU$2,$BV$2,$AX309:$BU309)</f>
        <v>0</v>
      </c>
      <c r="BW309" s="92">
        <f>SUMIF($AX$2:$BU$2,$BW$2,$AX309:$BU309)</f>
        <v>0</v>
      </c>
      <c r="BX309" s="92">
        <f t="shared" si="383"/>
        <v>0</v>
      </c>
      <c r="BY309" s="161"/>
      <c r="BZ309" s="92"/>
      <c r="CA309" s="92"/>
      <c r="CB309" s="92"/>
      <c r="CC309" s="92">
        <v>28333.34</v>
      </c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>
        <f>SUMIF($CD$2:$DA$2,$DB$2,$CD309:$DA309)</f>
        <v>0</v>
      </c>
      <c r="DC309" s="92">
        <f>SUMIF($CD$2:$DA$2,$DC$2,$CD309:$DA309)</f>
        <v>0</v>
      </c>
      <c r="DD309" s="92">
        <f>SUMIF($CD$2:$DA$2,$DD$2,$CD309:$DA309)</f>
        <v>0</v>
      </c>
      <c r="DE309" s="92">
        <f t="shared" si="387"/>
        <v>28333.34</v>
      </c>
      <c r="DH309" s="103">
        <v>20500</v>
      </c>
      <c r="DM309" s="79">
        <v>-250</v>
      </c>
      <c r="DP309" s="131"/>
      <c r="EJ309" s="79">
        <f>SUMIF($DK$2:$EI$2,$EJ$2,$DK309:$EI309)</f>
        <v>0</v>
      </c>
      <c r="EK309" s="79">
        <f>SUMIF($DK$2:$EI$2,$EK$2,$DK309:$EI309)</f>
        <v>-250</v>
      </c>
      <c r="EL309" s="79">
        <f>SUMIF($DK$2:$EI$2,$EL$2,$DK309:$EI309)</f>
        <v>0</v>
      </c>
      <c r="EM309" s="79">
        <f t="shared" si="397"/>
        <v>48583.34</v>
      </c>
      <c r="EP309" s="103">
        <v>19273.426693999998</v>
      </c>
      <c r="ES309" s="144">
        <v>-11000</v>
      </c>
      <c r="FI309" s="66">
        <f t="shared" si="391"/>
        <v>0</v>
      </c>
      <c r="FJ309" s="66">
        <f t="shared" si="392"/>
        <v>0</v>
      </c>
      <c r="FK309" s="66">
        <f t="shared" si="393"/>
        <v>-11000</v>
      </c>
      <c r="FL309" s="173">
        <f t="shared" si="394"/>
        <v>56856.766693999991</v>
      </c>
    </row>
    <row r="310" spans="1:170" hidden="1" outlineLevel="1" x14ac:dyDescent="0.2">
      <c r="A310" s="76" t="s">
        <v>33</v>
      </c>
      <c r="B310" s="76" t="s">
        <v>34</v>
      </c>
      <c r="C310" s="76" t="s">
        <v>813</v>
      </c>
      <c r="D310" s="76" t="s">
        <v>111</v>
      </c>
      <c r="E310" s="77" t="s">
        <v>211</v>
      </c>
      <c r="F310" s="77" t="s">
        <v>712</v>
      </c>
      <c r="G310" s="77" t="str">
        <f t="shared" si="373"/>
        <v>1</v>
      </c>
      <c r="H310" s="77" t="str">
        <f t="shared" si="374"/>
        <v>0</v>
      </c>
      <c r="I310" s="77" t="str">
        <f t="shared" si="375"/>
        <v>0</v>
      </c>
      <c r="J310" s="77" t="str">
        <f t="shared" si="376"/>
        <v>0</v>
      </c>
      <c r="K310" s="77" t="str">
        <f t="shared" si="377"/>
        <v>1000</v>
      </c>
      <c r="L310" s="77" t="str">
        <f>IFERROR(VLOOKUP(K310,Sheet2!$A$20:$B$23,2,FALSE),"X")</f>
        <v>01</v>
      </c>
      <c r="M310" s="77" t="str">
        <f t="shared" si="368"/>
        <v>9170N/ADistrict Design and Led 17-20</v>
      </c>
      <c r="N310" s="76" t="s">
        <v>161</v>
      </c>
      <c r="O310" s="76" t="s">
        <v>160</v>
      </c>
      <c r="P310" s="69" t="s">
        <v>168</v>
      </c>
      <c r="Q310" s="78">
        <v>43173</v>
      </c>
      <c r="R310" s="78">
        <v>43173</v>
      </c>
      <c r="S310" s="79">
        <v>41517</v>
      </c>
      <c r="AP310" s="79">
        <v>-25686</v>
      </c>
      <c r="AR310" s="79">
        <f>SUMIF($T$2:$AQ$2,$AR$2,$T310:$AQ310)</f>
        <v>-25686</v>
      </c>
      <c r="AS310" s="79">
        <f>SUMIF($T$2:$AQ$2,$AS$2,$T310:$AQ310)</f>
        <v>0</v>
      </c>
      <c r="AT310" s="79">
        <f t="shared" si="380"/>
        <v>15831</v>
      </c>
      <c r="AU310" s="79"/>
      <c r="AV310" s="79"/>
      <c r="BV310" s="79">
        <f>SUMIF($AX$2:$BU$2,$BV$2,$AX310:$BU310)</f>
        <v>0</v>
      </c>
      <c r="BW310" s="79">
        <f>SUMIF($AX$2:$BU$2,$BW$2,$AX310:$BU310)</f>
        <v>0</v>
      </c>
      <c r="BX310" s="79">
        <f t="shared" si="383"/>
        <v>15831</v>
      </c>
      <c r="BY310" s="79"/>
      <c r="DB310" s="79">
        <f>SUMIF($CD$2:$DA$2,$DB$2,$CD310:$DA310)</f>
        <v>0</v>
      </c>
      <c r="DC310" s="79">
        <f>SUMIF($CD$2:$DA$2,$DC$2,$CD310:$DA310)</f>
        <v>0</v>
      </c>
      <c r="DD310" s="79">
        <f>SUMIF($CD$2:$DA$2,$DD$2,$CD310:$DA310)</f>
        <v>0</v>
      </c>
      <c r="DE310" s="79">
        <f t="shared" si="387"/>
        <v>15831</v>
      </c>
      <c r="DF310" s="79"/>
      <c r="DP310" s="131"/>
      <c r="EJ310" s="79">
        <f>SUMIF($DK$2:$EI$2,$EJ$2,$DK310:$EI310)</f>
        <v>0</v>
      </c>
      <c r="EK310" s="79">
        <f>SUMIF($DK$2:$EI$2,$EK$2,$DK310:$EI310)</f>
        <v>0</v>
      </c>
      <c r="EL310" s="79">
        <f>SUMIF($DK$2:$EI$2,$EL$2,$DK310:$EI310)</f>
        <v>0</v>
      </c>
      <c r="EM310" s="79">
        <f t="shared" si="397"/>
        <v>15831</v>
      </c>
      <c r="FI310" s="66">
        <f t="shared" si="391"/>
        <v>0</v>
      </c>
      <c r="FJ310" s="66">
        <f t="shared" si="392"/>
        <v>0</v>
      </c>
      <c r="FK310" s="66">
        <f t="shared" si="393"/>
        <v>0</v>
      </c>
      <c r="FL310" s="173">
        <f t="shared" si="394"/>
        <v>15831</v>
      </c>
      <c r="FN310" s="41">
        <f>FM310-BX310</f>
        <v>-15831</v>
      </c>
    </row>
    <row r="311" spans="1:170" hidden="1" collapsed="1" x14ac:dyDescent="0.2">
      <c r="G311" s="77"/>
      <c r="H311" s="77"/>
      <c r="I311" s="77"/>
      <c r="J311" s="77"/>
      <c r="K311" s="77"/>
      <c r="L311" s="77" t="s">
        <v>701</v>
      </c>
      <c r="M311" s="77" t="str">
        <f t="shared" ref="M311:M379" si="398">A311&amp;B311&amp;E311</f>
        <v/>
      </c>
      <c r="P311" s="18" t="s">
        <v>272</v>
      </c>
      <c r="Q311" s="78"/>
      <c r="R311" s="78"/>
      <c r="S311" s="14">
        <f t="shared" ref="S311:AT311" si="399">SUM(S162:S310)</f>
        <v>2506539</v>
      </c>
      <c r="T311" s="14">
        <f t="shared" si="399"/>
        <v>0</v>
      </c>
      <c r="U311" s="14">
        <f t="shared" si="399"/>
        <v>0</v>
      </c>
      <c r="V311" s="14">
        <f t="shared" si="399"/>
        <v>0</v>
      </c>
      <c r="W311" s="14">
        <f t="shared" si="399"/>
        <v>0</v>
      </c>
      <c r="X311" s="14">
        <f t="shared" si="399"/>
        <v>0</v>
      </c>
      <c r="Y311" s="14">
        <f t="shared" si="399"/>
        <v>0</v>
      </c>
      <c r="Z311" s="14">
        <f t="shared" si="399"/>
        <v>0</v>
      </c>
      <c r="AA311" s="14">
        <f t="shared" si="399"/>
        <v>0</v>
      </c>
      <c r="AB311" s="14">
        <f t="shared" si="399"/>
        <v>0</v>
      </c>
      <c r="AC311" s="14">
        <f t="shared" si="399"/>
        <v>0</v>
      </c>
      <c r="AD311" s="14">
        <f t="shared" si="399"/>
        <v>0</v>
      </c>
      <c r="AE311" s="14">
        <f t="shared" si="399"/>
        <v>0</v>
      </c>
      <c r="AF311" s="14">
        <f t="shared" si="399"/>
        <v>0</v>
      </c>
      <c r="AG311" s="14">
        <f t="shared" si="399"/>
        <v>0</v>
      </c>
      <c r="AH311" s="14">
        <f t="shared" si="399"/>
        <v>0</v>
      </c>
      <c r="AI311" s="14">
        <f t="shared" si="399"/>
        <v>0</v>
      </c>
      <c r="AJ311" s="14">
        <f t="shared" si="399"/>
        <v>0</v>
      </c>
      <c r="AK311" s="14">
        <f t="shared" si="399"/>
        <v>0</v>
      </c>
      <c r="AL311" s="14">
        <f t="shared" si="399"/>
        <v>-15210</v>
      </c>
      <c r="AM311" s="14">
        <f t="shared" si="399"/>
        <v>0</v>
      </c>
      <c r="AN311" s="14">
        <f t="shared" si="399"/>
        <v>-56248</v>
      </c>
      <c r="AO311" s="14">
        <f t="shared" si="399"/>
        <v>0</v>
      </c>
      <c r="AP311" s="14">
        <f t="shared" si="399"/>
        <v>-53643</v>
      </c>
      <c r="AQ311" s="14">
        <f t="shared" si="399"/>
        <v>0</v>
      </c>
      <c r="AR311" s="14">
        <f t="shared" si="399"/>
        <v>-125101</v>
      </c>
      <c r="AS311" s="14">
        <f t="shared" si="399"/>
        <v>0</v>
      </c>
      <c r="AT311" s="14">
        <f t="shared" si="399"/>
        <v>2381438</v>
      </c>
      <c r="AU311" s="159"/>
      <c r="AV311" s="14">
        <f t="shared" ref="AV311:BX311" si="400">SUM(AV162:AV310)</f>
        <v>2667151</v>
      </c>
      <c r="AW311" s="14">
        <f t="shared" si="400"/>
        <v>2470812.6269999999</v>
      </c>
      <c r="AX311" s="14">
        <f t="shared" si="400"/>
        <v>-65109</v>
      </c>
      <c r="AY311" s="14">
        <f t="shared" si="400"/>
        <v>0</v>
      </c>
      <c r="AZ311" s="14">
        <f t="shared" si="400"/>
        <v>-41067</v>
      </c>
      <c r="BA311" s="14">
        <f t="shared" si="400"/>
        <v>0</v>
      </c>
      <c r="BB311" s="14">
        <f t="shared" si="400"/>
        <v>-33234</v>
      </c>
      <c r="BC311" s="14">
        <f t="shared" si="400"/>
        <v>0</v>
      </c>
      <c r="BD311" s="14">
        <f t="shared" si="400"/>
        <v>-193389</v>
      </c>
      <c r="BE311" s="14">
        <f t="shared" si="400"/>
        <v>0</v>
      </c>
      <c r="BF311" s="14">
        <f t="shared" si="400"/>
        <v>-190968</v>
      </c>
      <c r="BG311" s="14">
        <f t="shared" si="400"/>
        <v>0</v>
      </c>
      <c r="BH311" s="14">
        <f t="shared" si="400"/>
        <v>-95601</v>
      </c>
      <c r="BI311" s="14">
        <f t="shared" si="400"/>
        <v>0</v>
      </c>
      <c r="BJ311" s="14">
        <f t="shared" si="400"/>
        <v>-217608</v>
      </c>
      <c r="BK311" s="14">
        <f t="shared" si="400"/>
        <v>0</v>
      </c>
      <c r="BL311" s="14">
        <f t="shared" si="400"/>
        <v>-227844</v>
      </c>
      <c r="BM311" s="14">
        <f t="shared" si="400"/>
        <v>0</v>
      </c>
      <c r="BN311" s="14">
        <f t="shared" si="400"/>
        <v>-172570</v>
      </c>
      <c r="BO311" s="14">
        <f t="shared" si="400"/>
        <v>0</v>
      </c>
      <c r="BP311" s="14">
        <f t="shared" si="400"/>
        <v>-440153</v>
      </c>
      <c r="BQ311" s="14">
        <f t="shared" si="400"/>
        <v>0</v>
      </c>
      <c r="BR311" s="14">
        <f t="shared" si="400"/>
        <v>-321472.07</v>
      </c>
      <c r="BS311" s="14">
        <f t="shared" si="400"/>
        <v>0</v>
      </c>
      <c r="BT311" s="14">
        <f t="shared" si="400"/>
        <v>-386185.95</v>
      </c>
      <c r="BU311" s="14">
        <f t="shared" si="400"/>
        <v>0</v>
      </c>
      <c r="BV311" s="14">
        <f t="shared" si="400"/>
        <v>-2385201.02</v>
      </c>
      <c r="BW311" s="14">
        <f t="shared" si="400"/>
        <v>0</v>
      </c>
      <c r="BX311" s="14">
        <f t="shared" si="400"/>
        <v>5134200.6070000008</v>
      </c>
      <c r="BY311" s="159"/>
      <c r="BZ311" s="14">
        <f>SUM(BZ162:BZ310)</f>
        <v>1893870</v>
      </c>
      <c r="CA311" s="14">
        <f>SUM(CA162:CA310)</f>
        <v>4628613</v>
      </c>
      <c r="CB311" s="14"/>
      <c r="CC311" s="14">
        <f t="shared" ref="CC311:DE311" si="401">SUM(CC162:CC310)</f>
        <v>412409.75883243012</v>
      </c>
      <c r="CD311" s="14">
        <f t="shared" si="401"/>
        <v>-382729.17</v>
      </c>
      <c r="CE311" s="14">
        <f t="shared" si="401"/>
        <v>0</v>
      </c>
      <c r="CF311" s="14">
        <f t="shared" si="401"/>
        <v>-43060.28</v>
      </c>
      <c r="CG311" s="14">
        <f t="shared" si="401"/>
        <v>-52199</v>
      </c>
      <c r="CH311" s="14">
        <f t="shared" si="401"/>
        <v>-97351.64</v>
      </c>
      <c r="CI311" s="14">
        <f t="shared" si="401"/>
        <v>0</v>
      </c>
      <c r="CJ311" s="14">
        <f t="shared" si="401"/>
        <v>-432018.08</v>
      </c>
      <c r="CK311" s="14">
        <f t="shared" si="401"/>
        <v>0</v>
      </c>
      <c r="CL311" s="14">
        <f t="shared" si="401"/>
        <v>-424455.62999999995</v>
      </c>
      <c r="CM311" s="14">
        <f t="shared" si="401"/>
        <v>0</v>
      </c>
      <c r="CN311" s="14">
        <f t="shared" si="401"/>
        <v>-221830.78999999998</v>
      </c>
      <c r="CO311" s="14">
        <f t="shared" si="401"/>
        <v>0</v>
      </c>
      <c r="CP311" s="14">
        <f t="shared" si="401"/>
        <v>-496404.85</v>
      </c>
      <c r="CQ311" s="14">
        <f t="shared" si="401"/>
        <v>0</v>
      </c>
      <c r="CR311" s="14">
        <f t="shared" si="401"/>
        <v>-132219.12</v>
      </c>
      <c r="CS311" s="14">
        <f t="shared" si="401"/>
        <v>0</v>
      </c>
      <c r="CT311" s="14">
        <f t="shared" si="401"/>
        <v>-608730.80000000005</v>
      </c>
      <c r="CU311" s="14">
        <f t="shared" si="401"/>
        <v>0</v>
      </c>
      <c r="CV311" s="14">
        <f t="shared" si="401"/>
        <v>-1155768.3900000001</v>
      </c>
      <c r="CW311" s="14">
        <f t="shared" si="401"/>
        <v>0</v>
      </c>
      <c r="CX311" s="14">
        <f t="shared" si="401"/>
        <v>-184815.61000000002</v>
      </c>
      <c r="CY311" s="14">
        <f t="shared" si="401"/>
        <v>0</v>
      </c>
      <c r="CZ311" s="14">
        <f t="shared" si="401"/>
        <v>-409892.31000000006</v>
      </c>
      <c r="DA311" s="14">
        <f t="shared" si="401"/>
        <v>0</v>
      </c>
      <c r="DB311" s="14">
        <f t="shared" si="401"/>
        <v>-425789.45</v>
      </c>
      <c r="DC311" s="14">
        <f t="shared" si="401"/>
        <v>-4215686.2200000007</v>
      </c>
      <c r="DD311" s="14">
        <f t="shared" si="401"/>
        <v>0</v>
      </c>
      <c r="DE311" s="14">
        <f t="shared" si="401"/>
        <v>7427617.6958324313</v>
      </c>
      <c r="DF311" s="159"/>
      <c r="DG311" s="14">
        <f>SUM(DG162:DG310)</f>
        <v>3734409.5674999999</v>
      </c>
      <c r="DH311" s="14">
        <f>SUM(DH162:DH310)</f>
        <v>1924990.3556000001</v>
      </c>
      <c r="DI311" s="14"/>
      <c r="DJ311" s="14">
        <f t="shared" ref="DJ311:FK311" si="402">SUM(DJ162:DJ310)</f>
        <v>582873</v>
      </c>
      <c r="DK311" s="14">
        <f t="shared" si="402"/>
        <v>-142527.69</v>
      </c>
      <c r="DL311" s="14">
        <f t="shared" si="402"/>
        <v>0</v>
      </c>
      <c r="DM311" s="14">
        <f t="shared" si="402"/>
        <v>-115385.02</v>
      </c>
      <c r="DN311" s="14">
        <f t="shared" si="402"/>
        <v>0</v>
      </c>
      <c r="DO311" s="14">
        <f t="shared" si="402"/>
        <v>0</v>
      </c>
      <c r="DP311" s="132">
        <f t="shared" si="402"/>
        <v>-511378.07</v>
      </c>
      <c r="DQ311" s="14">
        <f t="shared" si="402"/>
        <v>-304415.59999999998</v>
      </c>
      <c r="DR311" s="14">
        <f t="shared" si="402"/>
        <v>-545565.16</v>
      </c>
      <c r="DS311" s="14">
        <f t="shared" si="402"/>
        <v>-764532.66999999993</v>
      </c>
      <c r="DT311" s="14">
        <f t="shared" si="402"/>
        <v>0</v>
      </c>
      <c r="DU311" s="14">
        <f t="shared" si="402"/>
        <v>-950858.42</v>
      </c>
      <c r="DV311" s="14">
        <f t="shared" si="402"/>
        <v>0</v>
      </c>
      <c r="DW311" s="14">
        <f t="shared" si="402"/>
        <v>-194570.83000000002</v>
      </c>
      <c r="DX311" s="14">
        <f t="shared" si="402"/>
        <v>0</v>
      </c>
      <c r="DY311" s="14">
        <f t="shared" si="402"/>
        <v>-1170363.5899999999</v>
      </c>
      <c r="DZ311" s="14">
        <f t="shared" si="402"/>
        <v>0</v>
      </c>
      <c r="EA311" s="14">
        <f t="shared" si="402"/>
        <v>-289130.19</v>
      </c>
      <c r="EB311" s="14">
        <f t="shared" si="402"/>
        <v>0</v>
      </c>
      <c r="EC311" s="14">
        <f t="shared" si="402"/>
        <v>-292434.67999999993</v>
      </c>
      <c r="ED311" s="14">
        <f t="shared" si="402"/>
        <v>0</v>
      </c>
      <c r="EE311" s="14">
        <f t="shared" si="402"/>
        <v>-164727.72000000003</v>
      </c>
      <c r="EF311" s="14">
        <f t="shared" si="402"/>
        <v>545565.16</v>
      </c>
      <c r="EG311" s="132">
        <f t="shared" si="402"/>
        <v>-691229.86</v>
      </c>
      <c r="EH311" s="14">
        <f t="shared" si="402"/>
        <v>-326928.63</v>
      </c>
      <c r="EI311" s="14">
        <f t="shared" si="402"/>
        <v>-443530.41999999969</v>
      </c>
      <c r="EJ311" s="14">
        <f t="shared" si="402"/>
        <v>-1202607.93</v>
      </c>
      <c r="EK311" s="14">
        <f t="shared" si="402"/>
        <v>-4715875.04</v>
      </c>
      <c r="EL311" s="14">
        <f t="shared" si="402"/>
        <v>-443530.41999999969</v>
      </c>
      <c r="EM311" s="14">
        <f t="shared" si="402"/>
        <v>7307877.2289324291</v>
      </c>
      <c r="EN311" s="14">
        <f t="shared" si="402"/>
        <v>0</v>
      </c>
      <c r="EO311" s="14">
        <f t="shared" si="402"/>
        <v>0</v>
      </c>
      <c r="EP311" s="14">
        <f t="shared" si="402"/>
        <v>1006356.0597606498</v>
      </c>
      <c r="EQ311" s="14">
        <f t="shared" si="402"/>
        <v>1005725</v>
      </c>
      <c r="ER311" s="14">
        <f t="shared" si="402"/>
        <v>0</v>
      </c>
      <c r="ES311" s="68">
        <f t="shared" si="402"/>
        <v>-1429401.3699999999</v>
      </c>
      <c r="ET311" s="68">
        <f t="shared" si="402"/>
        <v>-27035.29</v>
      </c>
      <c r="EU311" s="68">
        <f t="shared" si="402"/>
        <v>-314172.55</v>
      </c>
      <c r="EV311" s="68">
        <f t="shared" ref="EV311" si="403">SUM(EV162:EV310)</f>
        <v>0</v>
      </c>
      <c r="EW311" s="68">
        <f t="shared" si="402"/>
        <v>-151137.88</v>
      </c>
      <c r="EX311" s="68">
        <f t="shared" si="402"/>
        <v>-1287197.92</v>
      </c>
      <c r="EY311" s="68">
        <f t="shared" si="402"/>
        <v>-157991.83000000002</v>
      </c>
      <c r="EZ311" s="68">
        <f t="shared" ref="EZ311:FB311" si="404">SUM(EZ162:EZ310)</f>
        <v>0</v>
      </c>
      <c r="FA311" s="68">
        <f t="shared" si="404"/>
        <v>0</v>
      </c>
      <c r="FB311" s="68">
        <f t="shared" si="404"/>
        <v>0</v>
      </c>
      <c r="FC311" s="68">
        <f t="shared" si="402"/>
        <v>-114715.18</v>
      </c>
      <c r="FD311" s="68">
        <f t="shared" si="402"/>
        <v>-122213.44</v>
      </c>
      <c r="FE311" s="68">
        <f t="shared" si="402"/>
        <v>-154685.87</v>
      </c>
      <c r="FF311" s="68">
        <f t="shared" si="402"/>
        <v>0</v>
      </c>
      <c r="FG311" s="68">
        <f t="shared" si="402"/>
        <v>0</v>
      </c>
      <c r="FH311" s="68">
        <f t="shared" si="402"/>
        <v>0</v>
      </c>
      <c r="FI311" s="68">
        <f t="shared" ref="FI311:FJ311" si="405">SUM(FI162:FI310)</f>
        <v>0</v>
      </c>
      <c r="FJ311" s="68">
        <f t="shared" si="405"/>
        <v>0</v>
      </c>
      <c r="FK311" s="68">
        <f t="shared" si="402"/>
        <v>-3758551.3299999991</v>
      </c>
      <c r="FL311" s="14">
        <f>EM311+EO311+EP311+EQ311+FK311</f>
        <v>5561406.9586930787</v>
      </c>
    </row>
    <row r="312" spans="1:170" hidden="1" x14ac:dyDescent="0.2">
      <c r="E312" s="77"/>
      <c r="F312" s="77"/>
      <c r="G312" s="77"/>
      <c r="H312" s="77"/>
      <c r="I312" s="77"/>
      <c r="J312" s="77"/>
      <c r="K312" s="77"/>
      <c r="L312" s="77" t="s">
        <v>701</v>
      </c>
      <c r="M312" s="77" t="str">
        <f t="shared" si="398"/>
        <v/>
      </c>
      <c r="Q312" s="78"/>
      <c r="R312" s="78"/>
      <c r="AV312" s="79"/>
      <c r="DP312" s="131"/>
    </row>
    <row r="313" spans="1:170" hidden="1" outlineLevel="1" x14ac:dyDescent="0.2">
      <c r="A313" s="119" t="s">
        <v>23</v>
      </c>
      <c r="B313" s="119" t="s">
        <v>60</v>
      </c>
      <c r="C313" s="118" t="s">
        <v>507</v>
      </c>
      <c r="D313" s="118" t="s">
        <v>512</v>
      </c>
      <c r="E313" s="119" t="s">
        <v>167</v>
      </c>
      <c r="F313" s="119"/>
      <c r="G313" s="119"/>
      <c r="H313" s="119"/>
      <c r="I313" s="119"/>
      <c r="J313" s="119"/>
      <c r="K313" s="119"/>
      <c r="L313" s="119"/>
      <c r="M313" s="119" t="str">
        <f>A313&amp;B313&amp;E313</f>
        <v>08802209Engagement Planning</v>
      </c>
      <c r="N313" s="118"/>
      <c r="O313" s="118" t="s">
        <v>160</v>
      </c>
      <c r="P313" s="120"/>
      <c r="Q313" s="121"/>
      <c r="R313" s="121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60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  <c r="BH313" s="122"/>
      <c r="BI313" s="122"/>
      <c r="BJ313" s="122"/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60"/>
      <c r="BZ313" s="122"/>
      <c r="CA313" s="122"/>
      <c r="CB313" s="122"/>
      <c r="CC313" s="122"/>
      <c r="CD313" s="122"/>
      <c r="CE313" s="122"/>
      <c r="CF313" s="122"/>
      <c r="CG313" s="122"/>
      <c r="CH313" s="122"/>
      <c r="CI313" s="122"/>
      <c r="CJ313" s="122"/>
      <c r="CK313" s="122"/>
      <c r="CL313" s="122"/>
      <c r="CM313" s="122"/>
      <c r="CN313" s="122"/>
      <c r="CO313" s="122"/>
      <c r="CP313" s="122"/>
      <c r="CQ313" s="122"/>
      <c r="CR313" s="122"/>
      <c r="CS313" s="122"/>
      <c r="CT313" s="122"/>
      <c r="CU313" s="122"/>
      <c r="CV313" s="122"/>
      <c r="CW313" s="122"/>
      <c r="CX313" s="122"/>
      <c r="CY313" s="122"/>
      <c r="CZ313" s="122"/>
      <c r="DA313" s="122"/>
      <c r="DB313" s="122"/>
      <c r="DC313" s="122"/>
      <c r="DD313" s="122"/>
      <c r="DE313" s="122"/>
      <c r="DF313" s="160"/>
      <c r="DG313" s="122"/>
      <c r="DH313" s="122"/>
      <c r="DI313" s="122"/>
      <c r="DJ313" s="122">
        <v>20000</v>
      </c>
      <c r="DK313" s="122"/>
      <c r="DL313" s="122"/>
      <c r="DM313" s="122"/>
      <c r="DN313" s="122"/>
      <c r="DO313" s="122"/>
      <c r="DP313" s="122"/>
      <c r="DQ313" s="122"/>
      <c r="DR313" s="122"/>
      <c r="DS313" s="122"/>
      <c r="DT313" s="122"/>
      <c r="DU313" s="122"/>
      <c r="DV313" s="122"/>
      <c r="DW313" s="122"/>
      <c r="DX313" s="122"/>
      <c r="DY313" s="122"/>
      <c r="DZ313" s="122"/>
      <c r="EA313" s="122"/>
      <c r="EB313" s="122"/>
      <c r="EC313" s="122"/>
      <c r="ED313" s="122"/>
      <c r="EE313" s="122"/>
      <c r="EF313" s="122"/>
      <c r="EH313" s="122"/>
      <c r="EI313" s="122"/>
      <c r="EJ313" s="122"/>
      <c r="EK313" s="122"/>
      <c r="EL313" s="122"/>
      <c r="EM313" s="122">
        <f>DE313+DH313+DG313+DJ313+(EJ313+EK313+EL313)</f>
        <v>20000</v>
      </c>
      <c r="EN313" s="122"/>
      <c r="EO313" s="122"/>
      <c r="EP313" s="122"/>
      <c r="EQ313" s="122">
        <v>20000</v>
      </c>
      <c r="ER313" s="122"/>
      <c r="ES313" s="126"/>
      <c r="ET313" s="126"/>
      <c r="EU313" s="126"/>
      <c r="EV313" s="126"/>
      <c r="EW313" s="126"/>
      <c r="EX313" s="126"/>
      <c r="EY313" s="126"/>
      <c r="EZ313" s="126"/>
      <c r="FA313" s="126"/>
      <c r="FB313" s="126"/>
      <c r="FC313" s="126"/>
      <c r="FD313" s="126"/>
      <c r="FE313" s="126"/>
      <c r="FF313" s="126"/>
      <c r="FG313" s="126"/>
      <c r="FH313" s="126"/>
      <c r="FI313" s="66">
        <f>SUMIF($ES$2:$FH$2,$FI$2,$ES313:$FH313)</f>
        <v>0</v>
      </c>
      <c r="FJ313" s="66">
        <f>SUMIF($ES$2:$FH$2,$FJ$2,$ES313:$FH313)</f>
        <v>0</v>
      </c>
      <c r="FK313" s="66">
        <f>SUMIF($ES$2:$FH$2,$FK$2,$ES313:$FH313)</f>
        <v>0</v>
      </c>
      <c r="FL313" s="173">
        <f>EM313+EO313+EP313+EQ313+(FK313+FI313+FJ313)</f>
        <v>40000</v>
      </c>
      <c r="FM313" s="123"/>
      <c r="FN313" s="118"/>
    </row>
    <row r="314" spans="1:170" s="118" customFormat="1" hidden="1" outlineLevel="1" x14ac:dyDescent="0.2">
      <c r="A314" s="119" t="s">
        <v>23</v>
      </c>
      <c r="B314" s="119" t="s">
        <v>436</v>
      </c>
      <c r="C314" s="118" t="s">
        <v>507</v>
      </c>
      <c r="D314" s="118" t="s">
        <v>519</v>
      </c>
      <c r="E314" s="119" t="s">
        <v>167</v>
      </c>
      <c r="F314" s="119"/>
      <c r="G314" s="119"/>
      <c r="H314" s="119"/>
      <c r="I314" s="119"/>
      <c r="J314" s="119"/>
      <c r="K314" s="119"/>
      <c r="L314" s="119"/>
      <c r="M314" s="119" t="str">
        <f>A314&amp;B314&amp;E314</f>
        <v>08806239Engagement Planning</v>
      </c>
      <c r="O314" s="118" t="s">
        <v>160</v>
      </c>
      <c r="P314" s="120"/>
      <c r="Q314" s="121"/>
      <c r="R314" s="121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60"/>
      <c r="AV314" s="122"/>
      <c r="AW314" s="122"/>
      <c r="AX314" s="122"/>
      <c r="AY314" s="122"/>
      <c r="AZ314" s="122"/>
      <c r="BA314" s="122"/>
      <c r="BB314" s="122"/>
      <c r="BC314" s="122"/>
      <c r="BD314" s="122"/>
      <c r="BE314" s="122"/>
      <c r="BF314" s="122"/>
      <c r="BG314" s="122"/>
      <c r="BH314" s="122"/>
      <c r="BI314" s="122"/>
      <c r="BJ314" s="122"/>
      <c r="BK314" s="122"/>
      <c r="BL314" s="122"/>
      <c r="BM314" s="122"/>
      <c r="BN314" s="122"/>
      <c r="BO314" s="122"/>
      <c r="BP314" s="122"/>
      <c r="BQ314" s="122"/>
      <c r="BR314" s="122"/>
      <c r="BS314" s="122"/>
      <c r="BT314" s="122"/>
      <c r="BU314" s="122"/>
      <c r="BV314" s="122"/>
      <c r="BW314" s="122"/>
      <c r="BX314" s="122"/>
      <c r="BY314" s="160"/>
      <c r="BZ314" s="122"/>
      <c r="CA314" s="122"/>
      <c r="CB314" s="122"/>
      <c r="CC314" s="122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2"/>
      <c r="CP314" s="122"/>
      <c r="CQ314" s="122"/>
      <c r="CR314" s="122"/>
      <c r="CS314" s="122"/>
      <c r="CT314" s="122"/>
      <c r="CU314" s="122"/>
      <c r="CV314" s="122"/>
      <c r="CW314" s="122"/>
      <c r="CX314" s="122"/>
      <c r="CY314" s="122"/>
      <c r="CZ314" s="122"/>
      <c r="DA314" s="122"/>
      <c r="DB314" s="122"/>
      <c r="DC314" s="122"/>
      <c r="DD314" s="122"/>
      <c r="DE314" s="122"/>
      <c r="DF314" s="160"/>
      <c r="DG314" s="122"/>
      <c r="DH314" s="122"/>
      <c r="DI314" s="122"/>
      <c r="DJ314" s="122">
        <v>20000</v>
      </c>
      <c r="DK314" s="122"/>
      <c r="DL314" s="122"/>
      <c r="DM314" s="122"/>
      <c r="DN314" s="122"/>
      <c r="DO314" s="122"/>
      <c r="DP314" s="122"/>
      <c r="DQ314" s="122"/>
      <c r="DR314" s="122"/>
      <c r="DS314" s="122"/>
      <c r="DT314" s="122"/>
      <c r="DU314" s="122"/>
      <c r="DV314" s="122"/>
      <c r="DW314" s="122"/>
      <c r="DX314" s="122"/>
      <c r="DY314" s="122"/>
      <c r="DZ314" s="122"/>
      <c r="EA314" s="122"/>
      <c r="EB314" s="122"/>
      <c r="EC314" s="122"/>
      <c r="ED314" s="122"/>
      <c r="EE314" s="122"/>
      <c r="EF314" s="122"/>
      <c r="EG314" s="131"/>
      <c r="EH314" s="122"/>
      <c r="EI314" s="122"/>
      <c r="EJ314" s="122"/>
      <c r="EK314" s="122"/>
      <c r="EL314" s="122"/>
      <c r="EM314" s="122">
        <f>DE314+DH314+DG314+DJ314+(EJ314+EK314+EL314)</f>
        <v>20000</v>
      </c>
      <c r="EN314" s="122"/>
      <c r="EO314" s="122"/>
      <c r="EP314" s="122"/>
      <c r="EQ314" s="122">
        <v>20000</v>
      </c>
      <c r="ER314" s="122"/>
      <c r="ES314" s="126"/>
      <c r="ET314" s="126"/>
      <c r="EU314" s="126"/>
      <c r="EV314" s="126"/>
      <c r="EW314" s="126"/>
      <c r="EX314" s="126"/>
      <c r="EY314" s="126"/>
      <c r="EZ314" s="126"/>
      <c r="FA314" s="126"/>
      <c r="FB314" s="126"/>
      <c r="FC314" s="126"/>
      <c r="FD314" s="126"/>
      <c r="FE314" s="126"/>
      <c r="FF314" s="126"/>
      <c r="FG314" s="126"/>
      <c r="FH314" s="126"/>
      <c r="FI314" s="66">
        <f>SUMIF($ES$2:$FH$2,$FI$2,$ES314:$FH314)</f>
        <v>0</v>
      </c>
      <c r="FJ314" s="66">
        <f>SUMIF($ES$2:$FH$2,$FJ$2,$ES314:$FH314)</f>
        <v>0</v>
      </c>
      <c r="FK314" s="66">
        <f>SUMIF($ES$2:$FH$2,$FK$2,$ES314:$FH314)</f>
        <v>0</v>
      </c>
      <c r="FL314" s="173">
        <f>EM314+EO314+EP314+EQ314+(FK314+FI314+FJ314)</f>
        <v>40000</v>
      </c>
      <c r="FM314" s="123"/>
    </row>
    <row r="315" spans="1:170" s="118" customFormat="1" hidden="1" outlineLevel="1" x14ac:dyDescent="0.2">
      <c r="A315" s="77" t="s">
        <v>224</v>
      </c>
      <c r="B315" s="77" t="s">
        <v>226</v>
      </c>
      <c r="C315" s="76" t="s">
        <v>225</v>
      </c>
      <c r="D315" s="76" t="s">
        <v>227</v>
      </c>
      <c r="E315" s="77" t="s">
        <v>167</v>
      </c>
      <c r="F315" s="77" t="s">
        <v>728</v>
      </c>
      <c r="G315" s="77" t="str">
        <f>IF(S315&gt;0, "1", "0")</f>
        <v>1</v>
      </c>
      <c r="H315" s="77" t="str">
        <f>IF(AW315&gt;0, "1", "0")</f>
        <v>0</v>
      </c>
      <c r="I315" s="77" t="str">
        <f>IF(CC315&gt;0, "1", "0")</f>
        <v>0</v>
      </c>
      <c r="J315" s="77" t="str">
        <f>IF(DJ315&gt;0, "1", "0")</f>
        <v>0</v>
      </c>
      <c r="K315" s="77" t="str">
        <f>CONCATENATE(G315,H315,I315,J315)</f>
        <v>1000</v>
      </c>
      <c r="L315" s="77" t="str">
        <f>IFERROR(VLOOKUP(K315,Sheet2!$A$20:$B$23,2,FALSE),"X")</f>
        <v>01</v>
      </c>
      <c r="M315" s="77" t="str">
        <f>A315&amp;B315&amp;E315</f>
        <v>21809149Engagement Planning</v>
      </c>
      <c r="N315" s="76" t="s">
        <v>161</v>
      </c>
      <c r="O315" s="76" t="s">
        <v>160</v>
      </c>
      <c r="P315" s="69" t="s">
        <v>168</v>
      </c>
      <c r="Q315" s="78">
        <v>43168</v>
      </c>
      <c r="R315" s="78">
        <v>43168</v>
      </c>
      <c r="S315" s="79">
        <v>10478</v>
      </c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>
        <f>SUMIF($T$2:$AQ$2,$AR$2,$T315:$AQ315)</f>
        <v>0</v>
      </c>
      <c r="AS315" s="79">
        <f>SUMIF($T$2:$AQ$2,$AS$2,$T315:$AQ315)</f>
        <v>0</v>
      </c>
      <c r="AT315" s="79">
        <f>S315+(AR315+AS315)</f>
        <v>10478</v>
      </c>
      <c r="AU315" s="158"/>
      <c r="AV315" s="79"/>
      <c r="AW315" s="79"/>
      <c r="AX315" s="79"/>
      <c r="AY315" s="79"/>
      <c r="AZ315" s="79"/>
      <c r="BA315" s="79"/>
      <c r="BB315" s="79"/>
      <c r="BC315" s="79"/>
      <c r="BD315" s="79">
        <v>-10478</v>
      </c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>
        <f>SUMIF($AX$2:$BU$2,$BV$2,$AX315:$BU315)</f>
        <v>-10478</v>
      </c>
      <c r="BW315" s="79">
        <f>SUMIF($AX$2:$BU$2,$BW$2,$AX315:$BU315)</f>
        <v>0</v>
      </c>
      <c r="BX315" s="79">
        <f>AT315+AV315+AW315+(BV315+BW315)</f>
        <v>0</v>
      </c>
      <c r="BY315" s="158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>
        <f>SUMIF($CD$2:$DA$2,$DB$2,$CD315:$DA315)</f>
        <v>0</v>
      </c>
      <c r="DC315" s="79">
        <f>SUMIF($CD$2:$DA$2,$DC$2,$CD315:$DA315)</f>
        <v>0</v>
      </c>
      <c r="DD315" s="79">
        <f>SUMIF($CD$2:$DA$2,$DD$2,$CD315:$DA315)</f>
        <v>0</v>
      </c>
      <c r="DE315" s="79">
        <f>BX315+CA315+BZ315+CC315+(DB315+DC315+DD315)</f>
        <v>0</v>
      </c>
      <c r="DF315" s="158"/>
      <c r="DG315" s="79"/>
      <c r="DH315" s="79"/>
      <c r="DI315" s="79"/>
      <c r="DJ315" s="79"/>
      <c r="DK315" s="79"/>
      <c r="DL315" s="79"/>
      <c r="DM315" s="79"/>
      <c r="DN315" s="79"/>
      <c r="DO315" s="79"/>
      <c r="DP315" s="131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131"/>
      <c r="EH315" s="79"/>
      <c r="EI315" s="79"/>
      <c r="EJ315" s="79">
        <f>SUMIF($DK$2:$EI$2,$EJ$2,$DK315:$EI315)</f>
        <v>0</v>
      </c>
      <c r="EK315" s="79">
        <f>SUMIF($DK$2:$EI$2,$EK$2,$DK315:$EI315)</f>
        <v>0</v>
      </c>
      <c r="EL315" s="79">
        <f>SUMIF($DK$2:$EI$2,$EL$2,$DK315:$EI315)</f>
        <v>0</v>
      </c>
      <c r="EM315" s="79">
        <f>DE315+DH315+DG315+DJ315+(EJ315+EK315+EL315)</f>
        <v>0</v>
      </c>
      <c r="EN315" s="79"/>
      <c r="EO315" s="79"/>
      <c r="EP315" s="79"/>
      <c r="EQ315" s="79"/>
      <c r="ER315" s="79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>
        <f>SUMIF($ES$2:$FH$2,$FI$2,$ES315:$FH315)</f>
        <v>0</v>
      </c>
      <c r="FJ315" s="66">
        <f>SUMIF($ES$2:$FH$2,$FJ$2,$ES315:$FH315)</f>
        <v>0</v>
      </c>
      <c r="FK315" s="66">
        <f>SUMIF($ES$2:$FH$2,$FK$2,$ES315:$FH315)</f>
        <v>0</v>
      </c>
      <c r="FL315" s="173">
        <f>EM315+EO315+EP315+EQ315+(FK315+FI315+FJ315)</f>
        <v>0</v>
      </c>
      <c r="FM315" s="93"/>
      <c r="FN315" s="76"/>
    </row>
    <row r="316" spans="1:170" hidden="1" outlineLevel="1" x14ac:dyDescent="0.2">
      <c r="A316" s="76" t="s">
        <v>21</v>
      </c>
      <c r="B316" s="76" t="s">
        <v>49</v>
      </c>
      <c r="C316" s="76" t="s">
        <v>100</v>
      </c>
      <c r="D316" s="76" t="s">
        <v>125</v>
      </c>
      <c r="E316" s="77" t="s">
        <v>167</v>
      </c>
      <c r="F316" s="77" t="s">
        <v>728</v>
      </c>
      <c r="G316" s="77" t="str">
        <f>IF(S316&gt;0, "1", "0")</f>
        <v>1</v>
      </c>
      <c r="H316" s="77" t="str">
        <f>IF(AW316&gt;0, "1", "0")</f>
        <v>1</v>
      </c>
      <c r="I316" s="77" t="str">
        <f>IF(CC316&gt;0, "1", "0")</f>
        <v>0</v>
      </c>
      <c r="J316" s="77" t="str">
        <f>IF(DJ316&gt;0, "1", "0")</f>
        <v>0</v>
      </c>
      <c r="K316" s="77" t="str">
        <f>CONCATENATE(G316,H316,I316,J316)</f>
        <v>1100</v>
      </c>
      <c r="L316" s="77" t="str">
        <f>IFERROR(VLOOKUP(K316,Sheet2!$A$20:$B$23,2,FALSE),"X")</f>
        <v>X</v>
      </c>
      <c r="M316" s="77" t="str">
        <f>A316&amp;B316&amp;E316</f>
        <v>31203880Engagement Planning</v>
      </c>
      <c r="N316" s="76" t="s">
        <v>161</v>
      </c>
      <c r="O316" s="76" t="s">
        <v>160</v>
      </c>
      <c r="P316" s="69" t="s">
        <v>168</v>
      </c>
      <c r="Q316" s="78"/>
      <c r="R316" s="78"/>
      <c r="S316" s="79">
        <v>11906</v>
      </c>
      <c r="AN316" s="79">
        <v>-1245</v>
      </c>
      <c r="AR316" s="79">
        <f>SUMIF($T$2:$AQ$2,$AR$2,$T316:$AQ316)</f>
        <v>-1245</v>
      </c>
      <c r="AS316" s="79">
        <f>SUMIF($T$2:$AQ$2,$AS$2,$T316:$AQ316)</f>
        <v>0</v>
      </c>
      <c r="AT316" s="79">
        <f>S316+(AR316+AS316)</f>
        <v>10661</v>
      </c>
      <c r="AU316" s="158" t="s">
        <v>336</v>
      </c>
      <c r="AV316" s="79"/>
      <c r="AW316" s="79">
        <v>10000</v>
      </c>
      <c r="BB316" s="79">
        <v>-2363</v>
      </c>
      <c r="BF316" s="79">
        <v>-2414</v>
      </c>
      <c r="BH316" s="79">
        <v>-4751</v>
      </c>
      <c r="BJ316" s="79">
        <v>-1133</v>
      </c>
      <c r="BT316" s="79">
        <v>-4879.8999999999996</v>
      </c>
      <c r="BV316" s="79">
        <f>SUMIF($AX$2:$BU$2,$BV$2,$AX316:$BU316)</f>
        <v>-15540.9</v>
      </c>
      <c r="BW316" s="79">
        <f>SUMIF($AX$2:$BU$2,$BW$2,$AX316:$BU316)</f>
        <v>0</v>
      </c>
      <c r="BX316" s="79">
        <f>AT316+AV316+AW316+(BV316+BW316)</f>
        <v>5120.1000000000004</v>
      </c>
      <c r="CH316" s="79">
        <v>-340.62</v>
      </c>
      <c r="CV316" s="79">
        <v>-4779.4799999999996</v>
      </c>
      <c r="DB316" s="79">
        <f>SUMIF($CD$2:$DA$2,$DB$2,$CD316:$DA316)</f>
        <v>0</v>
      </c>
      <c r="DC316" s="79">
        <f>SUMIF($CD$2:$DA$2,$DC$2,$CD316:$DA316)</f>
        <v>-5120.0999999999995</v>
      </c>
      <c r="DD316" s="79">
        <f>SUMIF($CD$2:$DA$2,$DD$2,$CD316:$DA316)</f>
        <v>0</v>
      </c>
      <c r="DE316" s="79">
        <f>BX316+CA316+BZ316+CC316+(DB316+DC316+DD316)</f>
        <v>0</v>
      </c>
      <c r="DP316" s="131"/>
      <c r="EJ316" s="79">
        <f>SUMIF($DK$2:$EI$2,$EJ$2,$DK316:$EI316)</f>
        <v>0</v>
      </c>
      <c r="EK316" s="79">
        <f>SUMIF($DK$2:$EI$2,$EK$2,$DK316:$EI316)</f>
        <v>0</v>
      </c>
      <c r="EL316" s="79">
        <f>SUMIF($DK$2:$EI$2,$EL$2,$DK316:$EI316)</f>
        <v>0</v>
      </c>
      <c r="EM316" s="79">
        <f>DE316+DH316+DG316+DJ316+(EJ316+EK316+EL316)</f>
        <v>0</v>
      </c>
      <c r="FI316" s="66">
        <f>SUMIF($ES$2:$FH$2,$FI$2,$ES316:$FH316)</f>
        <v>0</v>
      </c>
      <c r="FJ316" s="66">
        <f>SUMIF($ES$2:$FH$2,$FJ$2,$ES316:$FH316)</f>
        <v>0</v>
      </c>
      <c r="FK316" s="66">
        <f>SUMIF($ES$2:$FH$2,$FK$2,$ES316:$FH316)</f>
        <v>0</v>
      </c>
      <c r="FL316" s="173">
        <f>EM316+EO316+EP316+EQ316+(FK316+FI316+FJ316)</f>
        <v>0</v>
      </c>
    </row>
    <row r="317" spans="1:170" hidden="1" collapsed="1" x14ac:dyDescent="0.2">
      <c r="G317" s="77"/>
      <c r="H317" s="77"/>
      <c r="I317" s="77"/>
      <c r="J317" s="77"/>
      <c r="K317" s="77"/>
      <c r="L317" s="77" t="s">
        <v>701</v>
      </c>
      <c r="M317" s="77" t="str">
        <f t="shared" si="398"/>
        <v/>
      </c>
      <c r="P317" s="18" t="s">
        <v>273</v>
      </c>
      <c r="Q317" s="78"/>
      <c r="R317" s="78"/>
      <c r="S317" s="14">
        <f t="shared" ref="S317:AT317" si="406">SUM(S313:S316)</f>
        <v>22384</v>
      </c>
      <c r="T317" s="14">
        <f t="shared" si="406"/>
        <v>0</v>
      </c>
      <c r="U317" s="14">
        <f t="shared" si="406"/>
        <v>0</v>
      </c>
      <c r="V317" s="14">
        <f t="shared" si="406"/>
        <v>0</v>
      </c>
      <c r="W317" s="14">
        <f t="shared" si="406"/>
        <v>0</v>
      </c>
      <c r="X317" s="14">
        <f t="shared" si="406"/>
        <v>0</v>
      </c>
      <c r="Y317" s="14">
        <f t="shared" si="406"/>
        <v>0</v>
      </c>
      <c r="Z317" s="14">
        <f t="shared" si="406"/>
        <v>0</v>
      </c>
      <c r="AA317" s="14">
        <f t="shared" si="406"/>
        <v>0</v>
      </c>
      <c r="AB317" s="14">
        <f t="shared" si="406"/>
        <v>0</v>
      </c>
      <c r="AC317" s="14">
        <f t="shared" si="406"/>
        <v>0</v>
      </c>
      <c r="AD317" s="14">
        <f t="shared" si="406"/>
        <v>0</v>
      </c>
      <c r="AE317" s="14">
        <f t="shared" si="406"/>
        <v>0</v>
      </c>
      <c r="AF317" s="14">
        <f t="shared" si="406"/>
        <v>0</v>
      </c>
      <c r="AG317" s="14">
        <f t="shared" si="406"/>
        <v>0</v>
      </c>
      <c r="AH317" s="14">
        <f t="shared" si="406"/>
        <v>0</v>
      </c>
      <c r="AI317" s="14">
        <f t="shared" si="406"/>
        <v>0</v>
      </c>
      <c r="AJ317" s="14">
        <f t="shared" si="406"/>
        <v>0</v>
      </c>
      <c r="AK317" s="14">
        <f t="shared" si="406"/>
        <v>0</v>
      </c>
      <c r="AL317" s="14">
        <f t="shared" si="406"/>
        <v>0</v>
      </c>
      <c r="AM317" s="14">
        <f t="shared" si="406"/>
        <v>0</v>
      </c>
      <c r="AN317" s="14">
        <f t="shared" si="406"/>
        <v>-1245</v>
      </c>
      <c r="AO317" s="14">
        <f t="shared" si="406"/>
        <v>0</v>
      </c>
      <c r="AP317" s="14">
        <f t="shared" si="406"/>
        <v>0</v>
      </c>
      <c r="AQ317" s="14">
        <f t="shared" si="406"/>
        <v>0</v>
      </c>
      <c r="AR317" s="14">
        <f t="shared" si="406"/>
        <v>-1245</v>
      </c>
      <c r="AS317" s="14">
        <f t="shared" si="406"/>
        <v>0</v>
      </c>
      <c r="AT317" s="14">
        <f t="shared" si="406"/>
        <v>21139</v>
      </c>
      <c r="AU317" s="159"/>
      <c r="AV317" s="14">
        <f t="shared" ref="AV317:BX317" si="407">SUM(AV313:AV316)</f>
        <v>0</v>
      </c>
      <c r="AW317" s="14">
        <f t="shared" si="407"/>
        <v>10000</v>
      </c>
      <c r="AX317" s="14">
        <f t="shared" si="407"/>
        <v>0</v>
      </c>
      <c r="AY317" s="14">
        <f t="shared" si="407"/>
        <v>0</v>
      </c>
      <c r="AZ317" s="14">
        <f t="shared" si="407"/>
        <v>0</v>
      </c>
      <c r="BA317" s="14">
        <f t="shared" si="407"/>
        <v>0</v>
      </c>
      <c r="BB317" s="14">
        <f t="shared" si="407"/>
        <v>-2363</v>
      </c>
      <c r="BC317" s="14">
        <f t="shared" si="407"/>
        <v>0</v>
      </c>
      <c r="BD317" s="14">
        <f t="shared" si="407"/>
        <v>-10478</v>
      </c>
      <c r="BE317" s="14">
        <f t="shared" si="407"/>
        <v>0</v>
      </c>
      <c r="BF317" s="14">
        <f t="shared" si="407"/>
        <v>-2414</v>
      </c>
      <c r="BG317" s="14">
        <f t="shared" si="407"/>
        <v>0</v>
      </c>
      <c r="BH317" s="14">
        <f t="shared" si="407"/>
        <v>-4751</v>
      </c>
      <c r="BI317" s="14">
        <f t="shared" si="407"/>
        <v>0</v>
      </c>
      <c r="BJ317" s="14">
        <f t="shared" si="407"/>
        <v>-1133</v>
      </c>
      <c r="BK317" s="14">
        <f t="shared" si="407"/>
        <v>0</v>
      </c>
      <c r="BL317" s="14">
        <f t="shared" si="407"/>
        <v>0</v>
      </c>
      <c r="BM317" s="14">
        <f t="shared" si="407"/>
        <v>0</v>
      </c>
      <c r="BN317" s="14">
        <f t="shared" si="407"/>
        <v>0</v>
      </c>
      <c r="BO317" s="14">
        <f t="shared" si="407"/>
        <v>0</v>
      </c>
      <c r="BP317" s="14">
        <f t="shared" si="407"/>
        <v>0</v>
      </c>
      <c r="BQ317" s="14">
        <f t="shared" si="407"/>
        <v>0</v>
      </c>
      <c r="BR317" s="14">
        <f t="shared" si="407"/>
        <v>0</v>
      </c>
      <c r="BS317" s="14">
        <f t="shared" si="407"/>
        <v>0</v>
      </c>
      <c r="BT317" s="14">
        <f t="shared" si="407"/>
        <v>-4879.8999999999996</v>
      </c>
      <c r="BU317" s="14">
        <f t="shared" si="407"/>
        <v>0</v>
      </c>
      <c r="BV317" s="14">
        <f t="shared" si="407"/>
        <v>-26018.9</v>
      </c>
      <c r="BW317" s="14">
        <f t="shared" si="407"/>
        <v>0</v>
      </c>
      <c r="BX317" s="14">
        <f t="shared" si="407"/>
        <v>5120.1000000000004</v>
      </c>
      <c r="BY317" s="159"/>
      <c r="BZ317" s="14">
        <f t="shared" ref="BZ317:DE317" si="408">SUM(BZ313:BZ316)</f>
        <v>0</v>
      </c>
      <c r="CA317" s="14">
        <f t="shared" si="408"/>
        <v>0</v>
      </c>
      <c r="CB317" s="14"/>
      <c r="CC317" s="14">
        <f t="shared" si="408"/>
        <v>0</v>
      </c>
      <c r="CD317" s="14">
        <f t="shared" si="408"/>
        <v>0</v>
      </c>
      <c r="CE317" s="14">
        <f t="shared" si="408"/>
        <v>0</v>
      </c>
      <c r="CF317" s="14">
        <f t="shared" si="408"/>
        <v>0</v>
      </c>
      <c r="CG317" s="14">
        <f t="shared" si="408"/>
        <v>0</v>
      </c>
      <c r="CH317" s="14">
        <f t="shared" si="408"/>
        <v>-340.62</v>
      </c>
      <c r="CI317" s="14">
        <f t="shared" si="408"/>
        <v>0</v>
      </c>
      <c r="CJ317" s="14">
        <f t="shared" si="408"/>
        <v>0</v>
      </c>
      <c r="CK317" s="14">
        <f t="shared" si="408"/>
        <v>0</v>
      </c>
      <c r="CL317" s="14">
        <f t="shared" si="408"/>
        <v>0</v>
      </c>
      <c r="CM317" s="14">
        <f t="shared" si="408"/>
        <v>0</v>
      </c>
      <c r="CN317" s="14">
        <f t="shared" si="408"/>
        <v>0</v>
      </c>
      <c r="CO317" s="14">
        <f t="shared" si="408"/>
        <v>0</v>
      </c>
      <c r="CP317" s="14">
        <f t="shared" si="408"/>
        <v>0</v>
      </c>
      <c r="CQ317" s="14">
        <f t="shared" si="408"/>
        <v>0</v>
      </c>
      <c r="CR317" s="14">
        <f t="shared" si="408"/>
        <v>0</v>
      </c>
      <c r="CS317" s="14">
        <f t="shared" si="408"/>
        <v>0</v>
      </c>
      <c r="CT317" s="14">
        <f t="shared" si="408"/>
        <v>0</v>
      </c>
      <c r="CU317" s="14">
        <f t="shared" si="408"/>
        <v>0</v>
      </c>
      <c r="CV317" s="14">
        <f t="shared" si="408"/>
        <v>-4779.4799999999996</v>
      </c>
      <c r="CW317" s="14">
        <f t="shared" si="408"/>
        <v>0</v>
      </c>
      <c r="CX317" s="14">
        <f t="shared" si="408"/>
        <v>0</v>
      </c>
      <c r="CY317" s="14">
        <f t="shared" si="408"/>
        <v>0</v>
      </c>
      <c r="CZ317" s="14">
        <f t="shared" si="408"/>
        <v>0</v>
      </c>
      <c r="DA317" s="14">
        <f t="shared" si="408"/>
        <v>0</v>
      </c>
      <c r="DB317" s="14">
        <f t="shared" si="408"/>
        <v>0</v>
      </c>
      <c r="DC317" s="14">
        <f t="shared" si="408"/>
        <v>-5120.0999999999995</v>
      </c>
      <c r="DD317" s="14">
        <f t="shared" si="408"/>
        <v>0</v>
      </c>
      <c r="DE317" s="14">
        <f t="shared" si="408"/>
        <v>0</v>
      </c>
      <c r="DF317" s="159"/>
      <c r="DG317" s="14">
        <f t="shared" ref="DG317:DH317" si="409">SUM(DG313:DG316)</f>
        <v>0</v>
      </c>
      <c r="DH317" s="14">
        <f t="shared" si="409"/>
        <v>0</v>
      </c>
      <c r="DI317" s="14"/>
      <c r="DJ317" s="14">
        <f t="shared" ref="DJ317:FH317" si="410">SUM(DJ313:DJ316)</f>
        <v>40000</v>
      </c>
      <c r="DK317" s="14">
        <f t="shared" si="410"/>
        <v>0</v>
      </c>
      <c r="DL317" s="14">
        <f t="shared" si="410"/>
        <v>0</v>
      </c>
      <c r="DM317" s="14">
        <f t="shared" si="410"/>
        <v>0</v>
      </c>
      <c r="DN317" s="14">
        <f t="shared" si="410"/>
        <v>0</v>
      </c>
      <c r="DO317" s="14">
        <f t="shared" si="410"/>
        <v>0</v>
      </c>
      <c r="DP317" s="132">
        <f t="shared" si="410"/>
        <v>0</v>
      </c>
      <c r="DQ317" s="14">
        <f t="shared" si="410"/>
        <v>0</v>
      </c>
      <c r="DR317" s="14">
        <f t="shared" si="410"/>
        <v>0</v>
      </c>
      <c r="DS317" s="14">
        <f t="shared" si="410"/>
        <v>0</v>
      </c>
      <c r="DT317" s="14">
        <f t="shared" si="410"/>
        <v>0</v>
      </c>
      <c r="DU317" s="14">
        <f t="shared" si="410"/>
        <v>0</v>
      </c>
      <c r="DV317" s="14">
        <f t="shared" si="410"/>
        <v>0</v>
      </c>
      <c r="DW317" s="14">
        <f t="shared" si="410"/>
        <v>0</v>
      </c>
      <c r="DX317" s="14">
        <f t="shared" si="410"/>
        <v>0</v>
      </c>
      <c r="DY317" s="14">
        <f t="shared" si="410"/>
        <v>0</v>
      </c>
      <c r="DZ317" s="14">
        <f t="shared" si="410"/>
        <v>0</v>
      </c>
      <c r="EA317" s="14">
        <f t="shared" si="410"/>
        <v>0</v>
      </c>
      <c r="EB317" s="14">
        <f t="shared" si="410"/>
        <v>0</v>
      </c>
      <c r="EC317" s="14">
        <f t="shared" si="410"/>
        <v>0</v>
      </c>
      <c r="ED317" s="14">
        <f t="shared" si="410"/>
        <v>0</v>
      </c>
      <c r="EE317" s="14">
        <f t="shared" si="410"/>
        <v>0</v>
      </c>
      <c r="EF317" s="14">
        <v>0</v>
      </c>
      <c r="EG317" s="132">
        <f t="shared" si="410"/>
        <v>0</v>
      </c>
      <c r="EH317" s="14">
        <f t="shared" si="410"/>
        <v>0</v>
      </c>
      <c r="EI317" s="14">
        <f t="shared" si="410"/>
        <v>0</v>
      </c>
      <c r="EJ317" s="14">
        <f t="shared" si="410"/>
        <v>0</v>
      </c>
      <c r="EK317" s="14">
        <f t="shared" ref="EK317" si="411">SUM(EK313:EK316)</f>
        <v>0</v>
      </c>
      <c r="EL317" s="14">
        <f t="shared" si="410"/>
        <v>0</v>
      </c>
      <c r="EM317" s="14">
        <f t="shared" si="410"/>
        <v>40000</v>
      </c>
      <c r="EN317" s="14">
        <f t="shared" si="410"/>
        <v>0</v>
      </c>
      <c r="EO317" s="14">
        <f t="shared" si="410"/>
        <v>0</v>
      </c>
      <c r="EP317" s="14">
        <f t="shared" si="410"/>
        <v>0</v>
      </c>
      <c r="EQ317" s="14">
        <f t="shared" si="410"/>
        <v>40000</v>
      </c>
      <c r="ER317" s="14">
        <f t="shared" si="410"/>
        <v>0</v>
      </c>
      <c r="ES317" s="68">
        <f t="shared" si="410"/>
        <v>0</v>
      </c>
      <c r="ET317" s="68">
        <f t="shared" si="410"/>
        <v>0</v>
      </c>
      <c r="EU317" s="68">
        <f t="shared" si="410"/>
        <v>0</v>
      </c>
      <c r="EV317" s="68">
        <f t="shared" ref="EV317" si="412">SUM(EV313:EV316)</f>
        <v>0</v>
      </c>
      <c r="EW317" s="68">
        <f t="shared" si="410"/>
        <v>0</v>
      </c>
      <c r="EX317" s="68">
        <f t="shared" si="410"/>
        <v>0</v>
      </c>
      <c r="EY317" s="68">
        <f t="shared" si="410"/>
        <v>0</v>
      </c>
      <c r="EZ317" s="68">
        <f t="shared" ref="EZ317:FB317" si="413">SUM(EZ313:EZ316)</f>
        <v>0</v>
      </c>
      <c r="FA317" s="68">
        <f t="shared" si="413"/>
        <v>0</v>
      </c>
      <c r="FB317" s="68">
        <f t="shared" si="413"/>
        <v>0</v>
      </c>
      <c r="FC317" s="68">
        <f t="shared" si="410"/>
        <v>0</v>
      </c>
      <c r="FD317" s="68">
        <f t="shared" si="410"/>
        <v>0</v>
      </c>
      <c r="FE317" s="68">
        <f t="shared" si="410"/>
        <v>0</v>
      </c>
      <c r="FF317" s="68">
        <f t="shared" si="410"/>
        <v>0</v>
      </c>
      <c r="FG317" s="68">
        <f t="shared" si="410"/>
        <v>0</v>
      </c>
      <c r="FH317" s="68">
        <f t="shared" si="410"/>
        <v>0</v>
      </c>
      <c r="FI317" s="68">
        <f t="shared" ref="FI317:FK317" si="414">SUM(FI313:FI316)</f>
        <v>0</v>
      </c>
      <c r="FJ317" s="68">
        <f t="shared" ref="FJ317" si="415">SUM(FJ313:FJ316)</f>
        <v>0</v>
      </c>
      <c r="FK317" s="68">
        <f t="shared" si="414"/>
        <v>0</v>
      </c>
      <c r="FL317" s="14">
        <f>EM317+EO317+EP317+EQ317+FK317</f>
        <v>80000</v>
      </c>
    </row>
    <row r="318" spans="1:170" hidden="1" x14ac:dyDescent="0.2">
      <c r="G318" s="77"/>
      <c r="H318" s="77"/>
      <c r="I318" s="77"/>
      <c r="J318" s="77"/>
      <c r="K318" s="77"/>
      <c r="L318" s="77" t="s">
        <v>701</v>
      </c>
      <c r="M318" s="77" t="str">
        <f t="shared" si="398"/>
        <v/>
      </c>
      <c r="P318" s="43"/>
      <c r="Q318" s="78"/>
      <c r="R318" s="78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15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15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159"/>
      <c r="DG318" s="29"/>
      <c r="DH318" s="29"/>
      <c r="DI318" s="29"/>
      <c r="DJ318" s="29"/>
      <c r="DK318" s="29"/>
      <c r="DL318" s="29"/>
      <c r="DM318" s="29"/>
      <c r="DN318" s="29"/>
      <c r="DO318" s="29"/>
      <c r="DP318" s="133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133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117"/>
      <c r="ET318" s="117"/>
      <c r="EU318" s="117"/>
      <c r="EV318" s="117"/>
      <c r="EW318" s="117"/>
      <c r="EX318" s="117"/>
      <c r="EY318" s="117"/>
      <c r="EZ318" s="117"/>
      <c r="FA318" s="117"/>
      <c r="FB318" s="117"/>
      <c r="FC318" s="117"/>
      <c r="FD318" s="117"/>
      <c r="FE318" s="117"/>
      <c r="FF318" s="117"/>
      <c r="FG318" s="117"/>
      <c r="FH318" s="117"/>
      <c r="FI318" s="117"/>
      <c r="FJ318" s="117"/>
      <c r="FK318" s="117"/>
    </row>
    <row r="319" spans="1:170" hidden="1" outlineLevel="1" x14ac:dyDescent="0.2">
      <c r="A319" s="76" t="s">
        <v>15</v>
      </c>
      <c r="B319" s="76" t="s">
        <v>34</v>
      </c>
      <c r="C319" s="76" t="s">
        <v>296</v>
      </c>
      <c r="D319" s="76" t="s">
        <v>111</v>
      </c>
      <c r="E319" s="76" t="s">
        <v>524</v>
      </c>
      <c r="F319" s="76" t="s">
        <v>713</v>
      </c>
      <c r="G319" s="77" t="str">
        <f>IF(S319&gt;0, "1", "0")</f>
        <v>0</v>
      </c>
      <c r="H319" s="77" t="str">
        <f>IF(AW319&gt;0, "1", "0")</f>
        <v>1</v>
      </c>
      <c r="I319" s="77" t="str">
        <f>IF(CC319&gt;0, "1", "0")</f>
        <v>0</v>
      </c>
      <c r="J319" s="77" t="str">
        <f>IF(DJ319&gt;0, "1", "0")</f>
        <v>0</v>
      </c>
      <c r="K319" s="77" t="str">
        <f>CONCATENATE(G319,H319,I319,J319)</f>
        <v>0100</v>
      </c>
      <c r="L319" s="77" t="str">
        <f>IFERROR(VLOOKUP(K319,Sheet2!$A$20:$B$23,2,FALSE),"X")</f>
        <v>02</v>
      </c>
      <c r="M319" s="77" t="str">
        <f t="shared" ref="M319:M327" si="416">A319&amp;B319&amp;E319</f>
        <v>0180N/AEASI MTSS</v>
      </c>
      <c r="O319" s="77" t="s">
        <v>160</v>
      </c>
      <c r="P319" s="45" t="s">
        <v>168</v>
      </c>
      <c r="Q319" s="78"/>
      <c r="R319" s="78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158" t="s">
        <v>336</v>
      </c>
      <c r="AV319" s="44"/>
      <c r="AW319" s="44">
        <v>59854</v>
      </c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>
        <f>SUMIF($AX$2:$BU$2,$BV$2,$AX319:$BU319)</f>
        <v>0</v>
      </c>
      <c r="BW319" s="44">
        <f>SUMIF($AX$2:$BU$2,$BW$2,$AX319:$BU319)</f>
        <v>0</v>
      </c>
      <c r="BX319" s="44">
        <f>AT319+AV319+AW319+(BV319+BW319)</f>
        <v>59854</v>
      </c>
      <c r="BY319" s="158" t="s">
        <v>336</v>
      </c>
      <c r="BZ319" s="44"/>
      <c r="CA319" s="44">
        <v>65000</v>
      </c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79">
        <f>SUMIF($CD$2:$DA$2,$DB$2,$CD319:$DA319)</f>
        <v>0</v>
      </c>
      <c r="DC319" s="79">
        <f>SUMIF($CD$2:$DA$2,$DC$2,$CD319:$DA319)</f>
        <v>0</v>
      </c>
      <c r="DD319" s="79">
        <f>SUMIF($CD$2:$DA$2,$DD$2,$CD319:$DA319)</f>
        <v>0</v>
      </c>
      <c r="DE319" s="79">
        <f>BX319+CA319+BZ319+CC319+(DB319+DC319+DD319)</f>
        <v>124854</v>
      </c>
      <c r="DG319" s="44">
        <v>68790</v>
      </c>
      <c r="DH319" s="44"/>
      <c r="DI319" s="44"/>
      <c r="DJ319" s="44"/>
      <c r="DK319" s="44"/>
      <c r="DL319" s="44"/>
      <c r="DM319" s="44"/>
      <c r="DN319" s="44"/>
      <c r="DO319" s="44"/>
      <c r="DP319" s="134">
        <v>-26163.94</v>
      </c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134"/>
      <c r="EH319" s="44">
        <v>-41706.43</v>
      </c>
      <c r="EI319" s="44"/>
      <c r="EJ319" s="79">
        <f>SUMIF($DK$2:$EI$2,$EJ$2,$DK319:$EI319)</f>
        <v>-26163.94</v>
      </c>
      <c r="EK319" s="79">
        <f>SUMIF($DK$2:$EI$2,$EK$2,$DK319:$EI319)</f>
        <v>-41706.43</v>
      </c>
      <c r="EL319" s="79">
        <f>SUMIF($DK$2:$EI$2,$EL$2,$DK319:$EI319)</f>
        <v>0</v>
      </c>
      <c r="EM319" s="79">
        <f t="shared" ref="EM319:EM327" si="417">DE319+DH319+DG319+DJ319+(EJ319+EK319+EL319)</f>
        <v>125773.63</v>
      </c>
      <c r="EX319" s="144">
        <v>-3850</v>
      </c>
      <c r="FI319" s="66">
        <f t="shared" ref="FI319:FI327" si="418">SUMIF($ES$2:$FH$2,$FI$2,$ES319:$FH319)</f>
        <v>0</v>
      </c>
      <c r="FJ319" s="66">
        <f t="shared" ref="FJ319:FJ327" si="419">SUMIF($ES$2:$FH$2,$FJ$2,$ES319:$FH319)</f>
        <v>0</v>
      </c>
      <c r="FK319" s="66">
        <f t="shared" ref="FK319:FK327" si="420">SUMIF($ES$2:$FH$2,$FK$2,$ES319:$FH319)</f>
        <v>-3850</v>
      </c>
      <c r="FL319" s="173">
        <f t="shared" ref="FL319:FL327" si="421">EM319+EO319+EP319+EQ319+(FK319+FI319+FJ319)</f>
        <v>121923.63</v>
      </c>
    </row>
    <row r="320" spans="1:170" hidden="1" outlineLevel="1" x14ac:dyDescent="0.2">
      <c r="A320" s="76" t="s">
        <v>431</v>
      </c>
      <c r="B320" s="76" t="s">
        <v>34</v>
      </c>
      <c r="C320" s="76" t="s">
        <v>508</v>
      </c>
      <c r="D320" s="76" t="s">
        <v>111</v>
      </c>
      <c r="E320" s="76" t="s">
        <v>524</v>
      </c>
      <c r="F320" s="76" t="s">
        <v>713</v>
      </c>
      <c r="G320" s="77" t="str">
        <f>IF(S320&gt;0, "1", "0")</f>
        <v>0</v>
      </c>
      <c r="H320" s="77" t="str">
        <f>IF(AW320&gt;0, "1", "0")</f>
        <v>1</v>
      </c>
      <c r="I320" s="77" t="str">
        <f>IF(CC320&gt;0, "1", "0")</f>
        <v>0</v>
      </c>
      <c r="J320" s="77" t="str">
        <f>IF(DJ320&gt;0, "1", "0")</f>
        <v>0</v>
      </c>
      <c r="K320" s="77" t="str">
        <f>CONCATENATE(G320,H320,I320,J320)</f>
        <v>0100</v>
      </c>
      <c r="L320" s="77" t="str">
        <f>IFERROR(VLOOKUP(K320,Sheet2!$A$20:$B$23,2,FALSE),"X")</f>
        <v>02</v>
      </c>
      <c r="M320" s="77" t="str">
        <f t="shared" si="416"/>
        <v>0900N/AEASI MTSS</v>
      </c>
      <c r="O320" s="76" t="s">
        <v>160</v>
      </c>
      <c r="P320" s="45" t="s">
        <v>168</v>
      </c>
      <c r="Q320" s="78"/>
      <c r="R320" s="78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158" t="s">
        <v>336</v>
      </c>
      <c r="AV320" s="44"/>
      <c r="AW320" s="44">
        <v>26073</v>
      </c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>
        <v>-4490</v>
      </c>
      <c r="BQ320" s="44"/>
      <c r="BR320" s="44"/>
      <c r="BS320" s="44"/>
      <c r="BT320" s="44"/>
      <c r="BU320" s="44"/>
      <c r="BV320" s="44">
        <f>SUMIF($AX$2:$BU$2,$BV$2,$AX320:$BU320)</f>
        <v>-4490</v>
      </c>
      <c r="BW320" s="44">
        <f>SUMIF($AX$2:$BU$2,$BW$2,$AX320:$BU320)</f>
        <v>0</v>
      </c>
      <c r="BX320" s="44">
        <f>AT320+AV320+AW320+(BV320+BW320)</f>
        <v>21583</v>
      </c>
      <c r="BY320" s="158" t="s">
        <v>341</v>
      </c>
      <c r="BZ320" s="44"/>
      <c r="CA320" s="44">
        <v>44508</v>
      </c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>
        <v>-2107.34</v>
      </c>
      <c r="CM320" s="44"/>
      <c r="CN320" s="44">
        <v>-616.13</v>
      </c>
      <c r="CO320" s="44"/>
      <c r="CP320" s="44">
        <f>-4592.55-624.72</f>
        <v>-5217.2700000000004</v>
      </c>
      <c r="CQ320" s="44"/>
      <c r="CR320" s="44"/>
      <c r="CS320" s="44"/>
      <c r="CT320" s="44">
        <f>-9068.86-1328.01</f>
        <v>-10396.870000000001</v>
      </c>
      <c r="CU320" s="44"/>
      <c r="CV320" s="44">
        <f>-3870.11-2825.65</f>
        <v>-6695.76</v>
      </c>
      <c r="CW320" s="44"/>
      <c r="CX320" s="44">
        <v>-7593.26</v>
      </c>
      <c r="CY320" s="44"/>
      <c r="CZ320" s="44">
        <v>-21155.09</v>
      </c>
      <c r="DA320" s="44"/>
      <c r="DB320" s="79">
        <f>SUMIF($CD$2:$DA$2,$DB$2,$CD320:$DA320)</f>
        <v>0</v>
      </c>
      <c r="DC320" s="79">
        <f>SUMIF($CD$2:$DA$2,$DC$2,$CD320:$DA320)</f>
        <v>-53781.72</v>
      </c>
      <c r="DD320" s="79">
        <f>SUMIF($CD$2:$DA$2,$DD$2,$CD320:$DA320)</f>
        <v>0</v>
      </c>
      <c r="DE320" s="79">
        <f>BX320+CA320+BZ320+CC320+(DB320+DC320+DD320)</f>
        <v>12309.279999999999</v>
      </c>
      <c r="DG320" s="44">
        <v>43971</v>
      </c>
      <c r="DH320" s="44"/>
      <c r="DI320" s="44"/>
      <c r="DJ320" s="44"/>
      <c r="DK320" s="44"/>
      <c r="DL320" s="44"/>
      <c r="DM320" s="44"/>
      <c r="DN320" s="44"/>
      <c r="DO320" s="44"/>
      <c r="DP320" s="134"/>
      <c r="DQ320" s="44">
        <f>-3865.14-496.27</f>
        <v>-4361.41</v>
      </c>
      <c r="DR320" s="44"/>
      <c r="DS320" s="44">
        <v>-1654.37</v>
      </c>
      <c r="DT320" s="44"/>
      <c r="DU320" s="44">
        <v>-1565.1</v>
      </c>
      <c r="DV320" s="44"/>
      <c r="DW320" s="44">
        <v>-22399.39</v>
      </c>
      <c r="DX320" s="44"/>
      <c r="DY320" s="44">
        <v>-1321.18</v>
      </c>
      <c r="DZ320" s="44"/>
      <c r="EA320" s="44">
        <v>-136.79</v>
      </c>
      <c r="EB320" s="44"/>
      <c r="EC320" s="44">
        <v>-6585.94</v>
      </c>
      <c r="ED320" s="44"/>
      <c r="EE320" s="44"/>
      <c r="EF320" s="44"/>
      <c r="EG320" s="134"/>
      <c r="EH320" s="44">
        <v>-6585.95</v>
      </c>
      <c r="EI320" s="44">
        <v>-11557.29</v>
      </c>
      <c r="EJ320" s="79">
        <f>SUMIF($DK$2:$EI$2,$EJ$2,$DK320:$EI320)</f>
        <v>0</v>
      </c>
      <c r="EK320" s="79">
        <f>SUMIF($DK$2:$EI$2,$EK$2,$DK320:$EI320)</f>
        <v>-44610.13</v>
      </c>
      <c r="EL320" s="79">
        <f>SUMIF($DK$2:$EI$2,$EL$2,$DK320:$EI320)</f>
        <v>-11557.29</v>
      </c>
      <c r="EM320" s="79">
        <f t="shared" si="417"/>
        <v>112.86000000000058</v>
      </c>
      <c r="ES320" s="144">
        <v>-112.86</v>
      </c>
      <c r="FI320" s="66">
        <f t="shared" si="418"/>
        <v>0</v>
      </c>
      <c r="FJ320" s="66">
        <f t="shared" si="419"/>
        <v>0</v>
      </c>
      <c r="FK320" s="66">
        <f t="shared" si="420"/>
        <v>-112.86</v>
      </c>
      <c r="FL320" s="173">
        <f t="shared" si="421"/>
        <v>5.8264504332328215E-13</v>
      </c>
    </row>
    <row r="321" spans="1:170" hidden="1" outlineLevel="1" x14ac:dyDescent="0.2">
      <c r="A321" s="76" t="s">
        <v>401</v>
      </c>
      <c r="B321" s="76" t="s">
        <v>34</v>
      </c>
      <c r="C321" s="76" t="s">
        <v>462</v>
      </c>
      <c r="D321" s="76" t="s">
        <v>111</v>
      </c>
      <c r="E321" s="76" t="s">
        <v>524</v>
      </c>
      <c r="F321" s="76" t="s">
        <v>713</v>
      </c>
      <c r="G321" s="77" t="str">
        <f>IF(S321&gt;0, "1", "0")</f>
        <v>0</v>
      </c>
      <c r="H321" s="77" t="str">
        <f>IF(AW321&gt;0, "1", "0")</f>
        <v>1</v>
      </c>
      <c r="I321" s="77" t="str">
        <f>IF(CC321&gt;0, "1", "0")</f>
        <v>0</v>
      </c>
      <c r="J321" s="77" t="str">
        <f>IF(DJ321&gt;0, "1", "0")</f>
        <v>0</v>
      </c>
      <c r="K321" s="77" t="str">
        <f>CONCATENATE(G321,H321,I321,J321)</f>
        <v>0100</v>
      </c>
      <c r="L321" s="77" t="str">
        <f>IFERROR(VLOOKUP(K321,Sheet2!$A$20:$B$23,2,FALSE),"X")</f>
        <v>02</v>
      </c>
      <c r="M321" s="77" t="str">
        <f t="shared" si="416"/>
        <v>0910N/AEASI MTSS</v>
      </c>
      <c r="O321" s="76" t="s">
        <v>160</v>
      </c>
      <c r="P321" s="69" t="s">
        <v>168</v>
      </c>
      <c r="Q321" s="78"/>
      <c r="R321" s="78"/>
      <c r="AU321" s="158" t="s">
        <v>336</v>
      </c>
      <c r="AV321" s="79"/>
      <c r="AW321" s="79">
        <v>5000</v>
      </c>
      <c r="BV321" s="79">
        <f>SUMIF($AX$2:$BU$2,$BV$2,$AX321:$BU321)</f>
        <v>0</v>
      </c>
      <c r="BW321" s="79">
        <f>SUMIF($AX$2:$BU$2,$BW$2,$AX321:$BU321)</f>
        <v>0</v>
      </c>
      <c r="BX321" s="79">
        <f>AT321+AV321+AW321+(BV321+BW321)</f>
        <v>5000</v>
      </c>
      <c r="BY321" s="158" t="s">
        <v>341</v>
      </c>
      <c r="CA321" s="79">
        <v>67156</v>
      </c>
      <c r="CV321" s="79">
        <v>-5000</v>
      </c>
      <c r="DB321" s="79">
        <f>SUMIF($CD$2:$DA$2,$DB$2,$CD321:$DA321)</f>
        <v>0</v>
      </c>
      <c r="DC321" s="79">
        <f>SUMIF($CD$2:$DA$2,$DC$2,$CD321:$DA321)</f>
        <v>-5000</v>
      </c>
      <c r="DD321" s="79">
        <f>SUMIF($CD$2:$DA$2,$DD$2,$CD321:$DA321)</f>
        <v>0</v>
      </c>
      <c r="DE321" s="79">
        <f>BX321+CA321+BZ321+CC321+(DB321+DC321+DD321)</f>
        <v>67156</v>
      </c>
      <c r="DG321" s="79">
        <v>65206</v>
      </c>
      <c r="DM321" s="79">
        <v>-66970.429999999993</v>
      </c>
      <c r="DP321" s="131"/>
      <c r="DY321" s="79">
        <f>-(185.57+4343.13)</f>
        <v>-4528.7</v>
      </c>
      <c r="EH321" s="79">
        <v>-41969.72</v>
      </c>
      <c r="EI321" s="79">
        <v>-18707.599999999999</v>
      </c>
      <c r="EJ321" s="79">
        <f>SUMIF($DK$2:$EI$2,$EJ$2,$DK321:$EI321)</f>
        <v>0</v>
      </c>
      <c r="EK321" s="79">
        <f>SUMIF($DK$2:$EI$2,$EK$2,$DK321:$EI321)</f>
        <v>-113468.84999999999</v>
      </c>
      <c r="EL321" s="79">
        <f>SUMIF($DK$2:$EI$2,$EL$2,$DK321:$EI321)</f>
        <v>-18707.599999999999</v>
      </c>
      <c r="EM321" s="79">
        <f t="shared" si="417"/>
        <v>185.55000000001746</v>
      </c>
      <c r="FI321" s="66">
        <f t="shared" si="418"/>
        <v>0</v>
      </c>
      <c r="FJ321" s="66">
        <f t="shared" si="419"/>
        <v>0</v>
      </c>
      <c r="FK321" s="66">
        <f t="shared" si="420"/>
        <v>0</v>
      </c>
      <c r="FL321" s="173">
        <f t="shared" si="421"/>
        <v>185.55000000001746</v>
      </c>
    </row>
    <row r="322" spans="1:170" s="118" customFormat="1" hidden="1" outlineLevel="1" x14ac:dyDescent="0.2">
      <c r="A322" s="119" t="s">
        <v>802</v>
      </c>
      <c r="B322" s="118" t="s">
        <v>34</v>
      </c>
      <c r="C322" s="118" t="s">
        <v>803</v>
      </c>
      <c r="D322" s="118" t="s">
        <v>111</v>
      </c>
      <c r="E322" s="118" t="s">
        <v>524</v>
      </c>
      <c r="G322" s="119"/>
      <c r="H322" s="119"/>
      <c r="I322" s="119"/>
      <c r="J322" s="119"/>
      <c r="K322" s="119"/>
      <c r="L322" s="119"/>
      <c r="M322" s="119" t="str">
        <f t="shared" si="416"/>
        <v>1050N/AEASI MTSS</v>
      </c>
      <c r="O322" s="119" t="s">
        <v>160</v>
      </c>
      <c r="P322" s="120"/>
      <c r="Q322" s="121"/>
      <c r="R322" s="121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60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2"/>
      <c r="BR322" s="122"/>
      <c r="BS322" s="122"/>
      <c r="BT322" s="122"/>
      <c r="BU322" s="122"/>
      <c r="BV322" s="122"/>
      <c r="BW322" s="122"/>
      <c r="BX322" s="122"/>
      <c r="BY322" s="160"/>
      <c r="BZ322" s="122"/>
      <c r="CA322" s="122"/>
      <c r="CB322" s="122"/>
      <c r="CC322" s="122"/>
      <c r="CD322" s="122"/>
      <c r="CE322" s="122"/>
      <c r="CF322" s="122"/>
      <c r="CG322" s="122"/>
      <c r="CH322" s="122"/>
      <c r="CI322" s="122"/>
      <c r="CJ322" s="122"/>
      <c r="CK322" s="122"/>
      <c r="CL322" s="122"/>
      <c r="CM322" s="122"/>
      <c r="CN322" s="122"/>
      <c r="CO322" s="122"/>
      <c r="CP322" s="122"/>
      <c r="CQ322" s="122"/>
      <c r="CR322" s="122"/>
      <c r="CS322" s="122"/>
      <c r="CT322" s="122"/>
      <c r="CU322" s="122"/>
      <c r="CV322" s="122"/>
      <c r="CW322" s="122"/>
      <c r="CX322" s="122"/>
      <c r="CY322" s="122"/>
      <c r="CZ322" s="122"/>
      <c r="DA322" s="122"/>
      <c r="DB322" s="122"/>
      <c r="DC322" s="122"/>
      <c r="DD322" s="122"/>
      <c r="DE322" s="122"/>
      <c r="DF322" s="160"/>
      <c r="DG322" s="122"/>
      <c r="DH322" s="122"/>
      <c r="DI322" s="122"/>
      <c r="DJ322" s="122">
        <v>5000</v>
      </c>
      <c r="DK322" s="122"/>
      <c r="DL322" s="122"/>
      <c r="DM322" s="122"/>
      <c r="DN322" s="122"/>
      <c r="DO322" s="122"/>
      <c r="DP322" s="122"/>
      <c r="DQ322" s="122"/>
      <c r="DR322" s="122"/>
      <c r="DS322" s="122"/>
      <c r="DT322" s="122"/>
      <c r="DU322" s="122"/>
      <c r="DV322" s="122"/>
      <c r="DW322" s="122"/>
      <c r="DX322" s="122"/>
      <c r="DY322" s="122"/>
      <c r="DZ322" s="122"/>
      <c r="EA322" s="122"/>
      <c r="EB322" s="122"/>
      <c r="EC322" s="122"/>
      <c r="ED322" s="122"/>
      <c r="EE322" s="122"/>
      <c r="EF322" s="122"/>
      <c r="EG322" s="131"/>
      <c r="EH322" s="122"/>
      <c r="EI322" s="122"/>
      <c r="EJ322" s="122"/>
      <c r="EK322" s="122"/>
      <c r="EL322" s="122"/>
      <c r="EM322" s="122">
        <f t="shared" si="417"/>
        <v>5000</v>
      </c>
      <c r="EN322" s="122"/>
      <c r="EO322" s="122"/>
      <c r="EP322" s="122"/>
      <c r="EQ322" s="122">
        <v>65000</v>
      </c>
      <c r="ER322" s="122"/>
      <c r="ES322" s="126"/>
      <c r="ET322" s="126"/>
      <c r="EU322" s="126"/>
      <c r="EV322" s="126"/>
      <c r="EW322" s="126"/>
      <c r="EX322" s="126"/>
      <c r="EY322" s="126"/>
      <c r="EZ322" s="126"/>
      <c r="FA322" s="126"/>
      <c r="FB322" s="126"/>
      <c r="FC322" s="126"/>
      <c r="FD322" s="126"/>
      <c r="FE322" s="126"/>
      <c r="FF322" s="126"/>
      <c r="FG322" s="126"/>
      <c r="FH322" s="126"/>
      <c r="FI322" s="66">
        <f t="shared" si="418"/>
        <v>0</v>
      </c>
      <c r="FJ322" s="66">
        <f t="shared" si="419"/>
        <v>0</v>
      </c>
      <c r="FK322" s="66">
        <f t="shared" si="420"/>
        <v>0</v>
      </c>
      <c r="FL322" s="173">
        <f t="shared" si="421"/>
        <v>70000</v>
      </c>
      <c r="FM322" s="123"/>
    </row>
    <row r="323" spans="1:170" hidden="1" outlineLevel="1" x14ac:dyDescent="0.2">
      <c r="A323" s="76" t="s">
        <v>222</v>
      </c>
      <c r="B323" s="77" t="s">
        <v>34</v>
      </c>
      <c r="C323" s="76" t="s">
        <v>223</v>
      </c>
      <c r="D323" s="76" t="s">
        <v>111</v>
      </c>
      <c r="E323" s="76" t="s">
        <v>524</v>
      </c>
      <c r="F323" s="76" t="s">
        <v>713</v>
      </c>
      <c r="G323" s="77" t="str">
        <f>IF(S323&gt;0, "1", "0")</f>
        <v>0</v>
      </c>
      <c r="H323" s="77" t="str">
        <f>IF(AW323&gt;0, "1", "0")</f>
        <v>1</v>
      </c>
      <c r="I323" s="77" t="str">
        <f>IF(CC323&gt;0, "1", "0")</f>
        <v>0</v>
      </c>
      <c r="J323" s="77" t="str">
        <f>IF(DJ323&gt;0, "1", "0")</f>
        <v>0</v>
      </c>
      <c r="K323" s="77" t="str">
        <f>CONCATENATE(G323,H323,I323,J323)</f>
        <v>0100</v>
      </c>
      <c r="L323" s="77" t="str">
        <f>IFERROR(VLOOKUP(K323,Sheet2!$A$20:$B$23,2,FALSE),"X")</f>
        <v>02</v>
      </c>
      <c r="M323" s="77" t="str">
        <f t="shared" si="416"/>
        <v>1560N/AEASI MTSS</v>
      </c>
      <c r="O323" s="76" t="s">
        <v>160</v>
      </c>
      <c r="P323" s="69" t="s">
        <v>168</v>
      </c>
      <c r="Q323" s="78"/>
      <c r="R323" s="78"/>
      <c r="AR323" s="79">
        <f>SUMIF($T$2:$AQ$2,$AR$2,$T323:$AQ323)</f>
        <v>0</v>
      </c>
      <c r="AS323" s="79">
        <f>SUMIF($T$2:$AQ$2,$AS$2,$T323:$AQ323)</f>
        <v>0</v>
      </c>
      <c r="AT323" s="79">
        <f>S323+(AR323+AS323)</f>
        <v>0</v>
      </c>
      <c r="AU323" s="79" t="s">
        <v>336</v>
      </c>
      <c r="AV323" s="79"/>
      <c r="AW323" s="79">
        <v>34142</v>
      </c>
      <c r="BV323" s="79">
        <f>SUMIF($AX$2:$BU$2,$BV$2,$AX323:$BU323)</f>
        <v>0</v>
      </c>
      <c r="BW323" s="79">
        <f>SUMIF($AX$2:$BU$2,$BW$2,$AX323:$BU323)</f>
        <v>0</v>
      </c>
      <c r="BX323" s="79">
        <f>AT323+AV323+AW323+(BV323+BW323)</f>
        <v>34142</v>
      </c>
      <c r="BY323" s="158" t="s">
        <v>341</v>
      </c>
      <c r="CA323" s="79">
        <v>65000</v>
      </c>
      <c r="CZ323" s="92">
        <v>-47063.49</v>
      </c>
      <c r="DB323" s="79">
        <f>SUMIF($CD$2:$DA$2,$DB$2,$CD323:$DA323)</f>
        <v>0</v>
      </c>
      <c r="DC323" s="79">
        <f>SUMIF($CD$2:$DA$2,$DC$2,$CD323:$DA323)</f>
        <v>-47063.49</v>
      </c>
      <c r="DD323" s="79">
        <f>SUMIF($CD$2:$DA$2,$DD$2,$CD323:$DA323)</f>
        <v>0</v>
      </c>
      <c r="DE323" s="79">
        <f>BX323+CA323+BZ323+CC323+(DB323+DC323+DD323)</f>
        <v>52078.51</v>
      </c>
      <c r="DG323" s="79">
        <v>66515</v>
      </c>
      <c r="DK323" s="79">
        <f>-21791.53-4187.12</f>
        <v>-25978.649999999998</v>
      </c>
      <c r="DM323" s="79">
        <v>-32766.57</v>
      </c>
      <c r="DP323" s="131"/>
      <c r="DU323" s="79">
        <v>-10297.32</v>
      </c>
      <c r="EA323" s="79">
        <v>-15253.4</v>
      </c>
      <c r="EE323" s="79">
        <v>-11818.7</v>
      </c>
      <c r="EJ323" s="79">
        <f>SUMIF($DK$2:$EI$2,$EJ$2,$DK323:$EI323)</f>
        <v>0</v>
      </c>
      <c r="EK323" s="79">
        <f>SUMIF($DK$2:$EI$2,$EK$2,$DK323:$EI323)</f>
        <v>-96114.64</v>
      </c>
      <c r="EL323" s="79">
        <f>SUMIF($DK$2:$EI$2,$EL$2,$DK323:$EI323)</f>
        <v>0</v>
      </c>
      <c r="EM323" s="79">
        <f t="shared" si="417"/>
        <v>22478.87000000001</v>
      </c>
      <c r="FI323" s="66">
        <f t="shared" si="418"/>
        <v>0</v>
      </c>
      <c r="FJ323" s="66">
        <f t="shared" si="419"/>
        <v>0</v>
      </c>
      <c r="FK323" s="66">
        <f t="shared" si="420"/>
        <v>0</v>
      </c>
      <c r="FL323" s="173">
        <f t="shared" si="421"/>
        <v>22478.87000000001</v>
      </c>
    </row>
    <row r="324" spans="1:170" s="118" customFormat="1" hidden="1" outlineLevel="1" x14ac:dyDescent="0.2">
      <c r="A324" s="119" t="s">
        <v>382</v>
      </c>
      <c r="B324" s="119" t="s">
        <v>34</v>
      </c>
      <c r="C324" s="118" t="s">
        <v>606</v>
      </c>
      <c r="D324" s="118" t="s">
        <v>111</v>
      </c>
      <c r="E324" s="118" t="s">
        <v>524</v>
      </c>
      <c r="G324" s="119"/>
      <c r="H324" s="119"/>
      <c r="I324" s="119"/>
      <c r="J324" s="119"/>
      <c r="K324" s="119"/>
      <c r="L324" s="119"/>
      <c r="M324" s="119" t="str">
        <f t="shared" si="416"/>
        <v>2640N/AEASI MTSS</v>
      </c>
      <c r="O324" s="119" t="s">
        <v>160</v>
      </c>
      <c r="P324" s="120"/>
      <c r="Q324" s="121"/>
      <c r="R324" s="121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22"/>
      <c r="AZ324" s="122"/>
      <c r="BA324" s="122"/>
      <c r="BB324" s="122"/>
      <c r="BC324" s="122"/>
      <c r="BD324" s="122"/>
      <c r="BE324" s="122"/>
      <c r="BF324" s="122"/>
      <c r="BG324" s="122"/>
      <c r="BH324" s="122"/>
      <c r="BI324" s="122"/>
      <c r="BJ324" s="122"/>
      <c r="BK324" s="122"/>
      <c r="BL324" s="122"/>
      <c r="BM324" s="122"/>
      <c r="BN324" s="122"/>
      <c r="BO324" s="122"/>
      <c r="BP324" s="122"/>
      <c r="BQ324" s="122"/>
      <c r="BR324" s="122"/>
      <c r="BS324" s="122"/>
      <c r="BT324" s="122"/>
      <c r="BU324" s="122"/>
      <c r="BV324" s="122"/>
      <c r="BW324" s="122"/>
      <c r="BX324" s="122"/>
      <c r="BY324" s="160"/>
      <c r="BZ324" s="122"/>
      <c r="CA324" s="122"/>
      <c r="CB324" s="122"/>
      <c r="CC324" s="122"/>
      <c r="CD324" s="122"/>
      <c r="CE324" s="122"/>
      <c r="CF324" s="122"/>
      <c r="CG324" s="122"/>
      <c r="CH324" s="122"/>
      <c r="CI324" s="122"/>
      <c r="CJ324" s="122"/>
      <c r="CK324" s="122"/>
      <c r="CL324" s="122"/>
      <c r="CM324" s="122"/>
      <c r="CN324" s="122"/>
      <c r="CO324" s="122"/>
      <c r="CP324" s="122"/>
      <c r="CQ324" s="122"/>
      <c r="CR324" s="122"/>
      <c r="CS324" s="122"/>
      <c r="CT324" s="122"/>
      <c r="CU324" s="122"/>
      <c r="CV324" s="122"/>
      <c r="CW324" s="122"/>
      <c r="CX324" s="122"/>
      <c r="CY324" s="122"/>
      <c r="CZ324" s="122"/>
      <c r="DA324" s="122"/>
      <c r="DB324" s="122"/>
      <c r="DC324" s="122"/>
      <c r="DD324" s="122"/>
      <c r="DE324" s="122"/>
      <c r="DF324" s="160"/>
      <c r="DG324" s="122"/>
      <c r="DH324" s="122"/>
      <c r="DI324" s="122"/>
      <c r="DJ324" s="122">
        <v>5000</v>
      </c>
      <c r="DK324" s="122"/>
      <c r="DL324" s="122"/>
      <c r="DM324" s="122"/>
      <c r="DN324" s="122"/>
      <c r="DO324" s="122"/>
      <c r="DP324" s="122"/>
      <c r="DQ324" s="122"/>
      <c r="DR324" s="122"/>
      <c r="DS324" s="122"/>
      <c r="DT324" s="122"/>
      <c r="DU324" s="122"/>
      <c r="DV324" s="122"/>
      <c r="DW324" s="122"/>
      <c r="DX324" s="122"/>
      <c r="DY324" s="122"/>
      <c r="DZ324" s="122"/>
      <c r="EA324" s="122"/>
      <c r="EB324" s="122"/>
      <c r="EC324" s="122"/>
      <c r="ED324" s="122"/>
      <c r="EE324" s="122"/>
      <c r="EF324" s="122"/>
      <c r="EG324" s="131"/>
      <c r="EH324" s="122"/>
      <c r="EI324" s="122"/>
      <c r="EJ324" s="122"/>
      <c r="EK324" s="122"/>
      <c r="EL324" s="122"/>
      <c r="EM324" s="122">
        <f t="shared" si="417"/>
        <v>5000</v>
      </c>
      <c r="EN324" s="122"/>
      <c r="EO324" s="122"/>
      <c r="EP324" s="122"/>
      <c r="EQ324" s="122">
        <v>65000</v>
      </c>
      <c r="ER324" s="122"/>
      <c r="ES324" s="126"/>
      <c r="ET324" s="126"/>
      <c r="EU324" s="126"/>
      <c r="EV324" s="126"/>
      <c r="EW324" s="126"/>
      <c r="EX324" s="126"/>
      <c r="EY324" s="126"/>
      <c r="EZ324" s="126"/>
      <c r="FA324" s="126"/>
      <c r="FB324" s="126"/>
      <c r="FC324" s="126"/>
      <c r="FD324" s="126"/>
      <c r="FE324" s="126"/>
      <c r="FF324" s="126"/>
      <c r="FG324" s="126"/>
      <c r="FH324" s="126"/>
      <c r="FI324" s="66">
        <f t="shared" si="418"/>
        <v>0</v>
      </c>
      <c r="FJ324" s="66">
        <f t="shared" si="419"/>
        <v>0</v>
      </c>
      <c r="FK324" s="66">
        <f t="shared" si="420"/>
        <v>0</v>
      </c>
      <c r="FL324" s="173">
        <f t="shared" si="421"/>
        <v>70000</v>
      </c>
      <c r="FM324" s="123"/>
    </row>
    <row r="325" spans="1:170" s="118" customFormat="1" hidden="1" outlineLevel="1" x14ac:dyDescent="0.2">
      <c r="A325" s="119" t="s">
        <v>385</v>
      </c>
      <c r="B325" s="119" t="s">
        <v>34</v>
      </c>
      <c r="C325" s="118" t="s">
        <v>526</v>
      </c>
      <c r="D325" s="118" t="s">
        <v>111</v>
      </c>
      <c r="E325" s="118" t="s">
        <v>524</v>
      </c>
      <c r="G325" s="119"/>
      <c r="H325" s="119"/>
      <c r="I325" s="119"/>
      <c r="J325" s="119"/>
      <c r="K325" s="119"/>
      <c r="L325" s="119"/>
      <c r="M325" s="119" t="str">
        <f t="shared" si="416"/>
        <v>3140N/AEASI MTSS</v>
      </c>
      <c r="O325" s="119"/>
      <c r="P325" s="120"/>
      <c r="Q325" s="121"/>
      <c r="R325" s="121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22"/>
      <c r="AZ325" s="122"/>
      <c r="BA325" s="122"/>
      <c r="BB325" s="122"/>
      <c r="BC325" s="122"/>
      <c r="BD325" s="122"/>
      <c r="BE325" s="122"/>
      <c r="BF325" s="122"/>
      <c r="BG325" s="122"/>
      <c r="BH325" s="122"/>
      <c r="BI325" s="122"/>
      <c r="BJ325" s="122"/>
      <c r="BK325" s="122"/>
      <c r="BL325" s="122"/>
      <c r="BM325" s="122"/>
      <c r="BN325" s="122"/>
      <c r="BO325" s="122"/>
      <c r="BP325" s="122"/>
      <c r="BQ325" s="122"/>
      <c r="BR325" s="122"/>
      <c r="BS325" s="122"/>
      <c r="BT325" s="122"/>
      <c r="BU325" s="122"/>
      <c r="BV325" s="122"/>
      <c r="BW325" s="122"/>
      <c r="BX325" s="122"/>
      <c r="BY325" s="160"/>
      <c r="BZ325" s="122"/>
      <c r="CA325" s="122"/>
      <c r="CB325" s="122"/>
      <c r="CC325" s="122"/>
      <c r="CD325" s="122"/>
      <c r="CE325" s="122"/>
      <c r="CF325" s="122"/>
      <c r="CG325" s="122"/>
      <c r="CH325" s="122"/>
      <c r="CI325" s="122"/>
      <c r="CJ325" s="122"/>
      <c r="CK325" s="122"/>
      <c r="CL325" s="122"/>
      <c r="CM325" s="122"/>
      <c r="CN325" s="122"/>
      <c r="CO325" s="122"/>
      <c r="CP325" s="122"/>
      <c r="CQ325" s="122"/>
      <c r="CR325" s="122"/>
      <c r="CS325" s="122"/>
      <c r="CT325" s="122"/>
      <c r="CU325" s="122"/>
      <c r="CV325" s="122"/>
      <c r="CW325" s="122"/>
      <c r="CX325" s="122"/>
      <c r="CY325" s="122"/>
      <c r="CZ325" s="122"/>
      <c r="DA325" s="122"/>
      <c r="DB325" s="122"/>
      <c r="DC325" s="122"/>
      <c r="DD325" s="122"/>
      <c r="DE325" s="122"/>
      <c r="DF325" s="160"/>
      <c r="DG325" s="122"/>
      <c r="DH325" s="122"/>
      <c r="DI325" s="122"/>
      <c r="DJ325" s="122"/>
      <c r="DK325" s="122"/>
      <c r="DL325" s="122"/>
      <c r="DM325" s="122"/>
      <c r="DN325" s="122"/>
      <c r="DO325" s="122"/>
      <c r="DP325" s="122"/>
      <c r="DQ325" s="122"/>
      <c r="DR325" s="122"/>
      <c r="DS325" s="122"/>
      <c r="DT325" s="122"/>
      <c r="DU325" s="122"/>
      <c r="DV325" s="122"/>
      <c r="DW325" s="122"/>
      <c r="DX325" s="122"/>
      <c r="DY325" s="122"/>
      <c r="DZ325" s="122"/>
      <c r="EA325" s="122"/>
      <c r="EB325" s="122"/>
      <c r="EC325" s="122"/>
      <c r="ED325" s="122"/>
      <c r="EE325" s="122"/>
      <c r="EF325" s="122"/>
      <c r="EG325" s="131"/>
      <c r="EH325" s="122"/>
      <c r="EI325" s="122"/>
      <c r="EJ325" s="122"/>
      <c r="EK325" s="122"/>
      <c r="EL325" s="122"/>
      <c r="EM325" s="122"/>
      <c r="EN325" s="122"/>
      <c r="EO325" s="122"/>
      <c r="EP325" s="122"/>
      <c r="EQ325" s="122">
        <v>65000</v>
      </c>
      <c r="ER325" s="122"/>
      <c r="ES325" s="126"/>
      <c r="ET325" s="126"/>
      <c r="EU325" s="126"/>
      <c r="EV325" s="126"/>
      <c r="EW325" s="126"/>
      <c r="EX325" s="144">
        <v>-16157.83</v>
      </c>
      <c r="EY325" s="144">
        <v>-5381.77</v>
      </c>
      <c r="EZ325" s="126"/>
      <c r="FA325" s="126"/>
      <c r="FB325" s="126"/>
      <c r="FC325" s="126"/>
      <c r="FD325" s="66">
        <f>-5381.77-5381.77</f>
        <v>-10763.54</v>
      </c>
      <c r="FE325" s="126"/>
      <c r="FF325" s="126"/>
      <c r="FG325" s="126"/>
      <c r="FH325" s="126"/>
      <c r="FI325" s="66">
        <f t="shared" si="418"/>
        <v>0</v>
      </c>
      <c r="FJ325" s="66">
        <f t="shared" si="419"/>
        <v>0</v>
      </c>
      <c r="FK325" s="66">
        <f t="shared" si="420"/>
        <v>-32303.14</v>
      </c>
      <c r="FL325" s="173">
        <f t="shared" si="421"/>
        <v>32696.86</v>
      </c>
      <c r="FM325" s="123"/>
    </row>
    <row r="326" spans="1:170" hidden="1" outlineLevel="1" x14ac:dyDescent="0.2">
      <c r="A326" s="76" t="s">
        <v>385</v>
      </c>
      <c r="B326" s="76" t="s">
        <v>34</v>
      </c>
      <c r="C326" s="76" t="s">
        <v>526</v>
      </c>
      <c r="D326" s="76" t="s">
        <v>111</v>
      </c>
      <c r="E326" s="76" t="s">
        <v>524</v>
      </c>
      <c r="F326" s="76" t="s">
        <v>713</v>
      </c>
      <c r="G326" s="77" t="str">
        <f>IF(S326&gt;0, "1", "0")</f>
        <v>0</v>
      </c>
      <c r="H326" s="77" t="str">
        <f>IF(AW326&gt;0, "1", "0")</f>
        <v>1</v>
      </c>
      <c r="I326" s="77" t="str">
        <f>IF(CC326&gt;0, "1", "0")</f>
        <v>0</v>
      </c>
      <c r="J326" s="77" t="str">
        <f>IF(DJ326&gt;0, "1", "0")</f>
        <v>0</v>
      </c>
      <c r="K326" s="77" t="str">
        <f>CONCATENATE(G326,H326,I326,J326)</f>
        <v>0100</v>
      </c>
      <c r="L326" s="77" t="str">
        <f>IFERROR(VLOOKUP(K326,Sheet2!$A$20:$B$23,2,FALSE),"X")</f>
        <v>02</v>
      </c>
      <c r="M326" s="77" t="str">
        <f t="shared" si="416"/>
        <v>3140N/AEASI MTSS</v>
      </c>
      <c r="O326" s="77" t="s">
        <v>160</v>
      </c>
      <c r="P326" s="45" t="s">
        <v>168</v>
      </c>
      <c r="Q326" s="78"/>
      <c r="R326" s="78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158" t="s">
        <v>336</v>
      </c>
      <c r="AV326" s="44"/>
      <c r="AW326" s="44">
        <v>5480</v>
      </c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>
        <f>SUMIF($AX$2:$BU$2,$BV$2,$AX326:$BU326)</f>
        <v>0</v>
      </c>
      <c r="BW326" s="44">
        <f>SUMIF($AX$2:$BU$2,$BW$2,$AX326:$BU326)</f>
        <v>0</v>
      </c>
      <c r="BX326" s="44">
        <f>AT326+AV326+AW326+(BV326+BW326)</f>
        <v>5480</v>
      </c>
      <c r="BY326" s="158" t="s">
        <v>341</v>
      </c>
      <c r="BZ326" s="44"/>
      <c r="CA326" s="44">
        <v>70930</v>
      </c>
      <c r="CB326" s="44"/>
      <c r="CC326" s="44"/>
      <c r="CD326" s="44"/>
      <c r="CE326" s="44"/>
      <c r="CF326" s="44"/>
      <c r="CG326" s="44"/>
      <c r="CH326" s="44"/>
      <c r="CI326" s="44"/>
      <c r="CJ326" s="44">
        <v>-145.08000000000001</v>
      </c>
      <c r="CK326" s="44"/>
      <c r="CL326" s="44"/>
      <c r="CM326" s="44"/>
      <c r="CN326" s="44"/>
      <c r="CO326" s="44"/>
      <c r="CP326" s="44"/>
      <c r="CQ326" s="44"/>
      <c r="CR326" s="44"/>
      <c r="CS326" s="44"/>
      <c r="CT326" s="44">
        <f>-5334.92-23036.44</f>
        <v>-28371.360000000001</v>
      </c>
      <c r="CU326" s="44"/>
      <c r="CV326" s="44">
        <v>-923.67</v>
      </c>
      <c r="CW326" s="44"/>
      <c r="CX326" s="44"/>
      <c r="CY326" s="44"/>
      <c r="CZ326" s="44">
        <v>-22552.04</v>
      </c>
      <c r="DA326" s="44"/>
      <c r="DB326" s="79">
        <f>SUMIF($CD$2:$DA$2,$DB$2,$CD326:$DA326)</f>
        <v>0</v>
      </c>
      <c r="DC326" s="79">
        <f>SUMIF($CD$2:$DA$2,$DC$2,$CD326:$DA326)</f>
        <v>-51992.15</v>
      </c>
      <c r="DD326" s="79">
        <f>SUMIF($CD$2:$DA$2,$DD$2,$CD326:$DA326)</f>
        <v>0</v>
      </c>
      <c r="DE326" s="79">
        <f>BX326+CA326+BZ326+CC326+(DB326+DC326+DD326)</f>
        <v>24417.85</v>
      </c>
      <c r="DG326" s="44">
        <v>59590</v>
      </c>
      <c r="DH326" s="44"/>
      <c r="DI326" s="44"/>
      <c r="DJ326" s="44"/>
      <c r="DK326" s="44"/>
      <c r="DL326" s="44"/>
      <c r="DM326" s="44"/>
      <c r="DN326" s="44"/>
      <c r="DO326" s="44"/>
      <c r="DP326" s="134">
        <v>-17127.28</v>
      </c>
      <c r="DQ326" s="44">
        <v>-2158.94</v>
      </c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>
        <f>-(12882+44721.24+618)</f>
        <v>-58221.24</v>
      </c>
      <c r="EF326" s="44"/>
      <c r="EG326" s="134"/>
      <c r="EH326" s="44"/>
      <c r="EI326" s="44">
        <v>-5590.76</v>
      </c>
      <c r="EJ326" s="79">
        <f>SUMIF($DK$2:$EI$2,$EJ$2,$DK326:$EI326)</f>
        <v>-17127.28</v>
      </c>
      <c r="EK326" s="79">
        <f>SUMIF($DK$2:$EI$2,$EK$2,$DK326:$EI326)</f>
        <v>-60380.18</v>
      </c>
      <c r="EL326" s="79">
        <f>SUMIF($DK$2:$EI$2,$EL$2,$DK326:$EI326)</f>
        <v>-5590.76</v>
      </c>
      <c r="EM326" s="79">
        <f t="shared" si="417"/>
        <v>909.63000000001921</v>
      </c>
      <c r="ES326" s="66">
        <v>-909.63</v>
      </c>
      <c r="FI326" s="66">
        <f t="shared" si="418"/>
        <v>0</v>
      </c>
      <c r="FJ326" s="66">
        <f t="shared" si="419"/>
        <v>0</v>
      </c>
      <c r="FK326" s="66">
        <f t="shared" si="420"/>
        <v>-909.63</v>
      </c>
      <c r="FL326" s="173">
        <f t="shared" si="421"/>
        <v>1.9213075574953109E-11</v>
      </c>
    </row>
    <row r="327" spans="1:170" hidden="1" outlineLevel="1" x14ac:dyDescent="0.2">
      <c r="A327" s="76" t="s">
        <v>386</v>
      </c>
      <c r="B327" s="76" t="s">
        <v>34</v>
      </c>
      <c r="C327" s="76" t="s">
        <v>527</v>
      </c>
      <c r="D327" s="76" t="s">
        <v>111</v>
      </c>
      <c r="E327" s="76" t="s">
        <v>524</v>
      </c>
      <c r="F327" s="76" t="s">
        <v>713</v>
      </c>
      <c r="G327" s="77" t="str">
        <f>IF(S327&gt;0, "1", "0")</f>
        <v>0</v>
      </c>
      <c r="H327" s="77" t="str">
        <f>IF(AW327&gt;0, "1", "0")</f>
        <v>1</v>
      </c>
      <c r="I327" s="77" t="str">
        <f>IF(CC327&gt;0, "1", "0")</f>
        <v>0</v>
      </c>
      <c r="J327" s="77" t="str">
        <f>IF(DJ327&gt;0, "1", "0")</f>
        <v>0</v>
      </c>
      <c r="K327" s="77" t="str">
        <f>CONCATENATE(G327,H327,I327,J327)</f>
        <v>0100</v>
      </c>
      <c r="L327" s="77" t="str">
        <f>IFERROR(VLOOKUP(K327,Sheet2!$A$20:$B$23,2,FALSE),"X")</f>
        <v>02</v>
      </c>
      <c r="M327" s="77" t="str">
        <f t="shared" si="416"/>
        <v>8001N/AEASI MTSS</v>
      </c>
      <c r="O327" s="76" t="s">
        <v>160</v>
      </c>
      <c r="P327" s="69" t="s">
        <v>168</v>
      </c>
      <c r="Q327" s="78"/>
      <c r="R327" s="78"/>
      <c r="AU327" s="158" t="s">
        <v>336</v>
      </c>
      <c r="AV327" s="79"/>
      <c r="AW327" s="79">
        <v>21000</v>
      </c>
      <c r="BV327" s="79">
        <f>SUMIF($AX$2:$BU$2,$BV$2,$AX327:$BU327)</f>
        <v>0</v>
      </c>
      <c r="BW327" s="79">
        <f>SUMIF($AX$2:$BU$2,$BW$2,$AX327:$BU327)</f>
        <v>0</v>
      </c>
      <c r="BX327" s="79">
        <f>AT327+AV327+AW327+(BV327+BW327)</f>
        <v>21000</v>
      </c>
      <c r="BY327" s="158" t="s">
        <v>336</v>
      </c>
      <c r="CA327" s="79">
        <v>49125</v>
      </c>
      <c r="CF327" s="79">
        <v>-9413</v>
      </c>
      <c r="CX327" s="79">
        <f>-11587-4459</f>
        <v>-16046</v>
      </c>
      <c r="DB327" s="79">
        <f>SUMIF($CD$2:$DA$2,$DB$2,$CD327:$DA327)</f>
        <v>-9413</v>
      </c>
      <c r="DC327" s="79">
        <f>SUMIF($CD$2:$DA$2,$DC$2,$CD327:$DA327)</f>
        <v>-16046</v>
      </c>
      <c r="DD327" s="79">
        <f>SUMIF($CD$2:$DA$2,$DD$2,$CD327:$DA327)</f>
        <v>0</v>
      </c>
      <c r="DE327" s="79">
        <f>BX327+CA327+BZ327+CC327+(DB327+DC327+DD327)</f>
        <v>44666</v>
      </c>
      <c r="DG327" s="79">
        <v>51625</v>
      </c>
      <c r="DO327" s="79">
        <v>-15867</v>
      </c>
      <c r="DP327" s="131"/>
      <c r="EH327" s="79">
        <v>-34593.919999999998</v>
      </c>
      <c r="EJ327" s="79">
        <f>SUMIF($DK$2:$EI$2,$EJ$2,$DK327:$EI327)</f>
        <v>0</v>
      </c>
      <c r="EK327" s="79">
        <f>SUMIF($DK$2:$EI$2,$EK$2,$DK327:$EI327)</f>
        <v>-50460.92</v>
      </c>
      <c r="EL327" s="79">
        <f>SUMIF($DK$2:$EI$2,$EL$2,$DK327:$EI327)</f>
        <v>0</v>
      </c>
      <c r="EM327" s="79">
        <f t="shared" si="417"/>
        <v>45830.080000000002</v>
      </c>
      <c r="ES327" s="144">
        <v>-4352.87</v>
      </c>
      <c r="ET327" s="144">
        <v>-14184.43</v>
      </c>
      <c r="FI327" s="66">
        <f t="shared" si="418"/>
        <v>0</v>
      </c>
      <c r="FJ327" s="66">
        <f t="shared" si="419"/>
        <v>0</v>
      </c>
      <c r="FK327" s="66">
        <f t="shared" si="420"/>
        <v>-18537.3</v>
      </c>
      <c r="FL327" s="173">
        <f t="shared" si="421"/>
        <v>27292.780000000002</v>
      </c>
    </row>
    <row r="328" spans="1:170" hidden="1" collapsed="1" x14ac:dyDescent="0.2">
      <c r="G328" s="77"/>
      <c r="H328" s="77"/>
      <c r="I328" s="77"/>
      <c r="J328" s="77"/>
      <c r="K328" s="77"/>
      <c r="L328" s="77" t="s">
        <v>701</v>
      </c>
      <c r="M328" s="77" t="str">
        <f t="shared" si="398"/>
        <v/>
      </c>
      <c r="P328" s="18" t="s">
        <v>392</v>
      </c>
      <c r="Q328" s="78"/>
      <c r="R328" s="78"/>
      <c r="S328" s="14">
        <f t="shared" ref="S328:AT328" si="422">SUM(S319:S326)</f>
        <v>0</v>
      </c>
      <c r="T328" s="14">
        <f t="shared" si="422"/>
        <v>0</v>
      </c>
      <c r="U328" s="14">
        <f t="shared" si="422"/>
        <v>0</v>
      </c>
      <c r="V328" s="14">
        <f t="shared" si="422"/>
        <v>0</v>
      </c>
      <c r="W328" s="14">
        <f t="shared" si="422"/>
        <v>0</v>
      </c>
      <c r="X328" s="14">
        <f t="shared" si="422"/>
        <v>0</v>
      </c>
      <c r="Y328" s="14">
        <f t="shared" si="422"/>
        <v>0</v>
      </c>
      <c r="Z328" s="14">
        <f t="shared" si="422"/>
        <v>0</v>
      </c>
      <c r="AA328" s="14">
        <f t="shared" si="422"/>
        <v>0</v>
      </c>
      <c r="AB328" s="14">
        <f t="shared" si="422"/>
        <v>0</v>
      </c>
      <c r="AC328" s="14">
        <f t="shared" si="422"/>
        <v>0</v>
      </c>
      <c r="AD328" s="14">
        <f t="shared" si="422"/>
        <v>0</v>
      </c>
      <c r="AE328" s="14">
        <f t="shared" si="422"/>
        <v>0</v>
      </c>
      <c r="AF328" s="14">
        <f t="shared" si="422"/>
        <v>0</v>
      </c>
      <c r="AG328" s="14">
        <f t="shared" si="422"/>
        <v>0</v>
      </c>
      <c r="AH328" s="14">
        <f t="shared" si="422"/>
        <v>0</v>
      </c>
      <c r="AI328" s="14">
        <f t="shared" si="422"/>
        <v>0</v>
      </c>
      <c r="AJ328" s="14">
        <f t="shared" si="422"/>
        <v>0</v>
      </c>
      <c r="AK328" s="14">
        <f t="shared" si="422"/>
        <v>0</v>
      </c>
      <c r="AL328" s="14">
        <f t="shared" si="422"/>
        <v>0</v>
      </c>
      <c r="AM328" s="14">
        <f t="shared" si="422"/>
        <v>0</v>
      </c>
      <c r="AN328" s="14">
        <f t="shared" si="422"/>
        <v>0</v>
      </c>
      <c r="AO328" s="14">
        <f t="shared" si="422"/>
        <v>0</v>
      </c>
      <c r="AP328" s="14">
        <f t="shared" si="422"/>
        <v>0</v>
      </c>
      <c r="AQ328" s="14">
        <f t="shared" si="422"/>
        <v>0</v>
      </c>
      <c r="AR328" s="14">
        <f t="shared" si="422"/>
        <v>0</v>
      </c>
      <c r="AS328" s="14">
        <f t="shared" si="422"/>
        <v>0</v>
      </c>
      <c r="AT328" s="14">
        <f t="shared" si="422"/>
        <v>0</v>
      </c>
      <c r="AU328" s="29"/>
      <c r="AV328" s="14">
        <f t="shared" ref="AV328:BX328" si="423">SUM(AV319:AV327)</f>
        <v>0</v>
      </c>
      <c r="AW328" s="14">
        <f t="shared" si="423"/>
        <v>151549</v>
      </c>
      <c r="AX328" s="14">
        <f t="shared" si="423"/>
        <v>0</v>
      </c>
      <c r="AY328" s="14">
        <f t="shared" si="423"/>
        <v>0</v>
      </c>
      <c r="AZ328" s="14">
        <f t="shared" si="423"/>
        <v>0</v>
      </c>
      <c r="BA328" s="14">
        <f t="shared" si="423"/>
        <v>0</v>
      </c>
      <c r="BB328" s="14">
        <f t="shared" si="423"/>
        <v>0</v>
      </c>
      <c r="BC328" s="14">
        <f t="shared" si="423"/>
        <v>0</v>
      </c>
      <c r="BD328" s="14">
        <f t="shared" si="423"/>
        <v>0</v>
      </c>
      <c r="BE328" s="14">
        <f t="shared" si="423"/>
        <v>0</v>
      </c>
      <c r="BF328" s="14">
        <f t="shared" si="423"/>
        <v>0</v>
      </c>
      <c r="BG328" s="14">
        <f t="shared" si="423"/>
        <v>0</v>
      </c>
      <c r="BH328" s="14">
        <f t="shared" si="423"/>
        <v>0</v>
      </c>
      <c r="BI328" s="14">
        <f t="shared" si="423"/>
        <v>0</v>
      </c>
      <c r="BJ328" s="14">
        <f t="shared" si="423"/>
        <v>0</v>
      </c>
      <c r="BK328" s="14">
        <f t="shared" si="423"/>
        <v>0</v>
      </c>
      <c r="BL328" s="14">
        <f t="shared" si="423"/>
        <v>0</v>
      </c>
      <c r="BM328" s="14">
        <f t="shared" si="423"/>
        <v>0</v>
      </c>
      <c r="BN328" s="14">
        <f t="shared" si="423"/>
        <v>0</v>
      </c>
      <c r="BO328" s="14">
        <f t="shared" si="423"/>
        <v>0</v>
      </c>
      <c r="BP328" s="14">
        <f t="shared" si="423"/>
        <v>-4490</v>
      </c>
      <c r="BQ328" s="14">
        <f t="shared" si="423"/>
        <v>0</v>
      </c>
      <c r="BR328" s="14">
        <f t="shared" si="423"/>
        <v>0</v>
      </c>
      <c r="BS328" s="14">
        <f t="shared" si="423"/>
        <v>0</v>
      </c>
      <c r="BT328" s="14">
        <f t="shared" si="423"/>
        <v>0</v>
      </c>
      <c r="BU328" s="14">
        <f t="shared" si="423"/>
        <v>0</v>
      </c>
      <c r="BV328" s="14">
        <f t="shared" si="423"/>
        <v>-4490</v>
      </c>
      <c r="BW328" s="14">
        <f t="shared" si="423"/>
        <v>0</v>
      </c>
      <c r="BX328" s="14">
        <f t="shared" si="423"/>
        <v>147059</v>
      </c>
      <c r="BY328" s="29"/>
      <c r="BZ328" s="14">
        <f>SUM(BZ319:BZ327)</f>
        <v>0</v>
      </c>
      <c r="CA328" s="14">
        <f>SUM(CA319:CA327)</f>
        <v>361719</v>
      </c>
      <c r="CB328" s="14"/>
      <c r="CC328" s="14">
        <f t="shared" ref="CC328:DE328" si="424">SUM(CC319:CC327)</f>
        <v>0</v>
      </c>
      <c r="CD328" s="14">
        <f t="shared" si="424"/>
        <v>0</v>
      </c>
      <c r="CE328" s="14">
        <f t="shared" si="424"/>
        <v>0</v>
      </c>
      <c r="CF328" s="14">
        <f t="shared" si="424"/>
        <v>-9413</v>
      </c>
      <c r="CG328" s="14">
        <f t="shared" si="424"/>
        <v>0</v>
      </c>
      <c r="CH328" s="14">
        <f t="shared" si="424"/>
        <v>0</v>
      </c>
      <c r="CI328" s="14">
        <f t="shared" si="424"/>
        <v>0</v>
      </c>
      <c r="CJ328" s="14">
        <f t="shared" si="424"/>
        <v>-145.08000000000001</v>
      </c>
      <c r="CK328" s="14">
        <f t="shared" si="424"/>
        <v>0</v>
      </c>
      <c r="CL328" s="14">
        <f t="shared" si="424"/>
        <v>-2107.34</v>
      </c>
      <c r="CM328" s="14">
        <f t="shared" si="424"/>
        <v>0</v>
      </c>
      <c r="CN328" s="14">
        <f t="shared" si="424"/>
        <v>-616.13</v>
      </c>
      <c r="CO328" s="14">
        <f t="shared" si="424"/>
        <v>0</v>
      </c>
      <c r="CP328" s="14">
        <f t="shared" si="424"/>
        <v>-5217.2700000000004</v>
      </c>
      <c r="CQ328" s="14">
        <f t="shared" si="424"/>
        <v>0</v>
      </c>
      <c r="CR328" s="14">
        <f t="shared" si="424"/>
        <v>0</v>
      </c>
      <c r="CS328" s="14">
        <f t="shared" si="424"/>
        <v>0</v>
      </c>
      <c r="CT328" s="14">
        <f t="shared" si="424"/>
        <v>-38768.230000000003</v>
      </c>
      <c r="CU328" s="14">
        <f t="shared" si="424"/>
        <v>0</v>
      </c>
      <c r="CV328" s="14">
        <f t="shared" si="424"/>
        <v>-12619.43</v>
      </c>
      <c r="CW328" s="14">
        <f t="shared" si="424"/>
        <v>0</v>
      </c>
      <c r="CX328" s="14">
        <f t="shared" si="424"/>
        <v>-23639.260000000002</v>
      </c>
      <c r="CY328" s="14">
        <f t="shared" si="424"/>
        <v>0</v>
      </c>
      <c r="CZ328" s="14">
        <f t="shared" si="424"/>
        <v>-90770.62</v>
      </c>
      <c r="DA328" s="14">
        <f t="shared" si="424"/>
        <v>0</v>
      </c>
      <c r="DB328" s="14">
        <f t="shared" si="424"/>
        <v>-9413</v>
      </c>
      <c r="DC328" s="14">
        <f t="shared" si="424"/>
        <v>-173883.36</v>
      </c>
      <c r="DD328" s="14">
        <f t="shared" si="424"/>
        <v>0</v>
      </c>
      <c r="DE328" s="14">
        <f t="shared" si="424"/>
        <v>325481.64</v>
      </c>
      <c r="DF328" s="29"/>
      <c r="DG328" s="14">
        <f>SUM(DG319:DG327)</f>
        <v>355697</v>
      </c>
      <c r="DH328" s="14">
        <f>SUM(DH319:DH327)</f>
        <v>0</v>
      </c>
      <c r="DI328" s="14"/>
      <c r="DJ328" s="14">
        <f t="shared" ref="DJ328:ER328" si="425">SUM(DJ319:DJ327)</f>
        <v>10000</v>
      </c>
      <c r="DK328" s="14">
        <f t="shared" si="425"/>
        <v>-25978.649999999998</v>
      </c>
      <c r="DL328" s="14">
        <f t="shared" si="425"/>
        <v>0</v>
      </c>
      <c r="DM328" s="14">
        <f t="shared" si="425"/>
        <v>-99737</v>
      </c>
      <c r="DN328" s="14">
        <f t="shared" si="425"/>
        <v>0</v>
      </c>
      <c r="DO328" s="14">
        <f t="shared" si="425"/>
        <v>-15867</v>
      </c>
      <c r="DP328" s="132">
        <f t="shared" si="425"/>
        <v>-43291.22</v>
      </c>
      <c r="DQ328" s="14">
        <f t="shared" si="425"/>
        <v>-6520.35</v>
      </c>
      <c r="DR328" s="14">
        <f t="shared" si="425"/>
        <v>0</v>
      </c>
      <c r="DS328" s="14">
        <f t="shared" si="425"/>
        <v>-1654.37</v>
      </c>
      <c r="DT328" s="14">
        <f t="shared" si="425"/>
        <v>0</v>
      </c>
      <c r="DU328" s="14">
        <f t="shared" si="425"/>
        <v>-11862.42</v>
      </c>
      <c r="DV328" s="14">
        <f t="shared" si="425"/>
        <v>0</v>
      </c>
      <c r="DW328" s="14">
        <f t="shared" si="425"/>
        <v>-22399.39</v>
      </c>
      <c r="DX328" s="14">
        <f t="shared" si="425"/>
        <v>0</v>
      </c>
      <c r="DY328" s="14">
        <f t="shared" si="425"/>
        <v>-5849.88</v>
      </c>
      <c r="DZ328" s="14">
        <f t="shared" si="425"/>
        <v>0</v>
      </c>
      <c r="EA328" s="14">
        <f t="shared" si="425"/>
        <v>-15390.19</v>
      </c>
      <c r="EB328" s="14">
        <f t="shared" si="425"/>
        <v>0</v>
      </c>
      <c r="EC328" s="14">
        <f t="shared" si="425"/>
        <v>-6585.94</v>
      </c>
      <c r="ED328" s="14">
        <f t="shared" si="425"/>
        <v>0</v>
      </c>
      <c r="EE328" s="14">
        <f t="shared" si="425"/>
        <v>-70039.94</v>
      </c>
      <c r="EF328" s="14">
        <f t="shared" si="425"/>
        <v>0</v>
      </c>
      <c r="EG328" s="132">
        <f t="shared" si="425"/>
        <v>0</v>
      </c>
      <c r="EH328" s="14">
        <f t="shared" si="425"/>
        <v>-124856.02</v>
      </c>
      <c r="EI328" s="14">
        <f t="shared" si="425"/>
        <v>-35855.65</v>
      </c>
      <c r="EJ328" s="14">
        <f t="shared" si="425"/>
        <v>-43291.22</v>
      </c>
      <c r="EK328" s="14">
        <f t="shared" si="425"/>
        <v>-406741.14999999997</v>
      </c>
      <c r="EL328" s="14">
        <f t="shared" si="425"/>
        <v>-35855.65</v>
      </c>
      <c r="EM328" s="14">
        <f t="shared" si="425"/>
        <v>205290.62000000005</v>
      </c>
      <c r="EN328" s="14">
        <f t="shared" si="425"/>
        <v>0</v>
      </c>
      <c r="EO328" s="14">
        <f t="shared" si="425"/>
        <v>0</v>
      </c>
      <c r="EP328" s="14">
        <f t="shared" si="425"/>
        <v>0</v>
      </c>
      <c r="EQ328" s="14">
        <f t="shared" si="425"/>
        <v>195000</v>
      </c>
      <c r="ER328" s="14">
        <f t="shared" si="425"/>
        <v>0</v>
      </c>
      <c r="ES328" s="68">
        <f t="shared" ref="ES328:FK328" si="426">SUM(ES319:ES327)</f>
        <v>-5375.36</v>
      </c>
      <c r="ET328" s="68">
        <f t="shared" si="426"/>
        <v>-14184.43</v>
      </c>
      <c r="EU328" s="68">
        <f t="shared" si="426"/>
        <v>0</v>
      </c>
      <c r="EV328" s="68">
        <f t="shared" ref="EV328" si="427">SUM(EV319:EV327)</f>
        <v>0</v>
      </c>
      <c r="EW328" s="68">
        <f t="shared" si="426"/>
        <v>0</v>
      </c>
      <c r="EX328" s="68">
        <f t="shared" si="426"/>
        <v>-20007.830000000002</v>
      </c>
      <c r="EY328" s="68">
        <f t="shared" si="426"/>
        <v>-5381.77</v>
      </c>
      <c r="EZ328" s="68">
        <f t="shared" ref="EZ328:FB328" si="428">SUM(EZ319:EZ327)</f>
        <v>0</v>
      </c>
      <c r="FA328" s="68">
        <f t="shared" si="428"/>
        <v>0</v>
      </c>
      <c r="FB328" s="68">
        <f t="shared" si="428"/>
        <v>0</v>
      </c>
      <c r="FC328" s="68">
        <f t="shared" si="426"/>
        <v>0</v>
      </c>
      <c r="FD328" s="68">
        <f t="shared" si="426"/>
        <v>-10763.54</v>
      </c>
      <c r="FE328" s="68">
        <f t="shared" si="426"/>
        <v>0</v>
      </c>
      <c r="FF328" s="68">
        <f t="shared" si="426"/>
        <v>0</v>
      </c>
      <c r="FG328" s="68">
        <f t="shared" si="426"/>
        <v>0</v>
      </c>
      <c r="FH328" s="68">
        <f t="shared" si="426"/>
        <v>0</v>
      </c>
      <c r="FI328" s="68">
        <f t="shared" ref="FI328:FJ328" si="429">SUM(FI319:FI327)</f>
        <v>0</v>
      </c>
      <c r="FJ328" s="68">
        <f t="shared" si="429"/>
        <v>0</v>
      </c>
      <c r="FK328" s="68">
        <f t="shared" si="426"/>
        <v>-55712.929999999993</v>
      </c>
      <c r="FL328" s="14">
        <f>EM328+EO328+EP328+EQ328+FK328</f>
        <v>344577.69000000006</v>
      </c>
    </row>
    <row r="329" spans="1:170" hidden="1" x14ac:dyDescent="0.2">
      <c r="G329" s="77"/>
      <c r="H329" s="77"/>
      <c r="I329" s="77"/>
      <c r="J329" s="77"/>
      <c r="K329" s="77"/>
      <c r="L329" s="77" t="s">
        <v>701</v>
      </c>
      <c r="M329" s="77" t="str">
        <f t="shared" si="398"/>
        <v/>
      </c>
      <c r="P329" s="43"/>
      <c r="Q329" s="78"/>
      <c r="R329" s="78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133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133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117"/>
      <c r="ET329" s="117"/>
      <c r="EU329" s="117"/>
      <c r="EV329" s="117"/>
      <c r="EW329" s="117"/>
      <c r="EX329" s="117"/>
      <c r="EY329" s="117"/>
      <c r="EZ329" s="117"/>
      <c r="FA329" s="117"/>
      <c r="FB329" s="117"/>
      <c r="FC329" s="117"/>
      <c r="FD329" s="117"/>
      <c r="FE329" s="117"/>
      <c r="FF329" s="117"/>
      <c r="FG329" s="117"/>
      <c r="FH329" s="117"/>
      <c r="FI329" s="117"/>
      <c r="FJ329" s="117"/>
      <c r="FK329" s="117"/>
    </row>
    <row r="330" spans="1:170" hidden="1" outlineLevel="1" x14ac:dyDescent="0.2">
      <c r="A330" s="119" t="s">
        <v>8</v>
      </c>
      <c r="B330" s="119" t="s">
        <v>782</v>
      </c>
      <c r="C330" s="118" t="s">
        <v>89</v>
      </c>
      <c r="D330" s="118" t="s">
        <v>783</v>
      </c>
      <c r="E330" s="118" t="s">
        <v>509</v>
      </c>
      <c r="F330" s="118"/>
      <c r="G330" s="119"/>
      <c r="H330" s="119"/>
      <c r="I330" s="119"/>
      <c r="J330" s="119"/>
      <c r="K330" s="119"/>
      <c r="L330" s="119"/>
      <c r="M330" s="119" t="str">
        <f t="shared" ref="M330:M373" si="430">A330&amp;B330&amp;E330</f>
        <v>00100263School Turnaround Leaders Program</v>
      </c>
      <c r="N330" s="118"/>
      <c r="O330" s="118" t="s">
        <v>160</v>
      </c>
      <c r="P330" s="120"/>
      <c r="Q330" s="121"/>
      <c r="R330" s="121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60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  <c r="BH330" s="122"/>
      <c r="BI330" s="122"/>
      <c r="BJ330" s="122"/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4"/>
      <c r="BY330" s="160"/>
      <c r="BZ330" s="122"/>
      <c r="CA330" s="122"/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122"/>
      <c r="CL330" s="122"/>
      <c r="CM330" s="122"/>
      <c r="CN330" s="122"/>
      <c r="CO330" s="122"/>
      <c r="CP330" s="122"/>
      <c r="CQ330" s="122"/>
      <c r="CR330" s="122"/>
      <c r="CS330" s="122"/>
      <c r="CT330" s="122"/>
      <c r="CU330" s="122"/>
      <c r="CV330" s="122"/>
      <c r="CW330" s="122"/>
      <c r="CX330" s="122"/>
      <c r="CY330" s="122"/>
      <c r="CZ330" s="122"/>
      <c r="DA330" s="122"/>
      <c r="DB330" s="122"/>
      <c r="DC330" s="122"/>
      <c r="DD330" s="122"/>
      <c r="DE330" s="122"/>
      <c r="DF330" s="160"/>
      <c r="DG330" s="122"/>
      <c r="DH330" s="122"/>
      <c r="DI330" s="122"/>
      <c r="DJ330" s="122">
        <v>48500</v>
      </c>
      <c r="DK330" s="122"/>
      <c r="DL330" s="122"/>
      <c r="DM330" s="122"/>
      <c r="DN330" s="122"/>
      <c r="DO330" s="122"/>
      <c r="DP330" s="122"/>
      <c r="DQ330" s="122"/>
      <c r="DR330" s="122"/>
      <c r="DS330" s="122"/>
      <c r="DT330" s="122"/>
      <c r="DU330" s="122"/>
      <c r="DV330" s="122"/>
      <c r="DW330" s="122"/>
      <c r="DX330" s="122"/>
      <c r="DY330" s="122"/>
      <c r="DZ330" s="122"/>
      <c r="EA330" s="122"/>
      <c r="EB330" s="122"/>
      <c r="EC330" s="122"/>
      <c r="ED330" s="122"/>
      <c r="EE330" s="122"/>
      <c r="EF330" s="122"/>
      <c r="EH330" s="122"/>
      <c r="EI330" s="122"/>
      <c r="EJ330" s="122"/>
      <c r="EK330" s="122"/>
      <c r="EL330" s="122"/>
      <c r="EM330" s="122">
        <f t="shared" ref="EM330:EM373" si="431">DE330+DH330+DG330+DJ330+(EJ330+EK330+EL330)</f>
        <v>48500</v>
      </c>
      <c r="EN330" s="122"/>
      <c r="EO330" s="122"/>
      <c r="EP330" s="122"/>
      <c r="EQ330" s="122">
        <v>38500</v>
      </c>
      <c r="ER330" s="122"/>
      <c r="ES330" s="126"/>
      <c r="ET330" s="126">
        <v>-48500</v>
      </c>
      <c r="EU330" s="126"/>
      <c r="EW330" s="126"/>
      <c r="EX330" s="126"/>
      <c r="EY330" s="126"/>
      <c r="EZ330" s="126"/>
      <c r="FA330" s="126"/>
      <c r="FB330" s="126"/>
      <c r="FC330" s="126"/>
      <c r="FD330" s="126"/>
      <c r="FE330" s="126"/>
      <c r="FF330" s="126"/>
      <c r="FG330" s="126"/>
      <c r="FH330" s="126"/>
      <c r="FI330" s="66">
        <f t="shared" ref="FI330:FI373" si="432">SUMIF($ES$2:$FH$2,$FI$2,$ES330:$FH330)</f>
        <v>0</v>
      </c>
      <c r="FJ330" s="66">
        <f t="shared" ref="FJ330:FJ373" si="433">SUMIF($ES$2:$FH$2,$FJ$2,$ES330:$FH330)</f>
        <v>0</v>
      </c>
      <c r="FK330" s="66">
        <f t="shared" ref="FK330:FK373" si="434">SUMIF($ES$2:$FH$2,$FK$2,$ES330:$FH330)</f>
        <v>-48500</v>
      </c>
      <c r="FL330" s="173">
        <f t="shared" ref="FL330:FL373" si="435">EM330+EO330+EP330+EQ330+(FK330+FI330+FJ330)</f>
        <v>38500</v>
      </c>
      <c r="FM330" s="123"/>
      <c r="FN330" s="118"/>
    </row>
    <row r="331" spans="1:170" s="118" customFormat="1" hidden="1" outlineLevel="1" x14ac:dyDescent="0.2">
      <c r="A331" s="119" t="s">
        <v>796</v>
      </c>
      <c r="B331" s="119" t="s">
        <v>797</v>
      </c>
      <c r="C331" s="118" t="s">
        <v>799</v>
      </c>
      <c r="D331" s="118" t="s">
        <v>798</v>
      </c>
      <c r="E331" s="118" t="s">
        <v>509</v>
      </c>
      <c r="G331" s="119"/>
      <c r="H331" s="119"/>
      <c r="I331" s="119"/>
      <c r="J331" s="119"/>
      <c r="K331" s="119"/>
      <c r="L331" s="119"/>
      <c r="M331" s="119" t="str">
        <f t="shared" si="430"/>
        <v>01408064School Turnaround Leaders Program</v>
      </c>
      <c r="O331" s="119" t="s">
        <v>160</v>
      </c>
      <c r="P331" s="120"/>
      <c r="Q331" s="121"/>
      <c r="R331" s="121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60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  <c r="BH331" s="122"/>
      <c r="BI331" s="122"/>
      <c r="BJ331" s="122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4"/>
      <c r="BY331" s="160"/>
      <c r="BZ331" s="122"/>
      <c r="CA331" s="122"/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122"/>
      <c r="CL331" s="122"/>
      <c r="CM331" s="122"/>
      <c r="CN331" s="122"/>
      <c r="CO331" s="122"/>
      <c r="CP331" s="122"/>
      <c r="CQ331" s="122"/>
      <c r="CR331" s="122"/>
      <c r="CS331" s="122"/>
      <c r="CT331" s="122"/>
      <c r="CU331" s="122"/>
      <c r="CV331" s="122"/>
      <c r="CW331" s="122"/>
      <c r="CX331" s="122"/>
      <c r="CY331" s="122"/>
      <c r="CZ331" s="122"/>
      <c r="DA331" s="122"/>
      <c r="DB331" s="122"/>
      <c r="DC331" s="122"/>
      <c r="DD331" s="122"/>
      <c r="DE331" s="122"/>
      <c r="DF331" s="160"/>
      <c r="DG331" s="122"/>
      <c r="DH331" s="122"/>
      <c r="DI331" s="122"/>
      <c r="DJ331" s="122">
        <v>51000</v>
      </c>
      <c r="DK331" s="122"/>
      <c r="DL331" s="122"/>
      <c r="DM331" s="122"/>
      <c r="DN331" s="122"/>
      <c r="DO331" s="122"/>
      <c r="DP331" s="122"/>
      <c r="DQ331" s="122"/>
      <c r="DR331" s="122"/>
      <c r="DS331" s="122"/>
      <c r="DT331" s="122"/>
      <c r="DU331" s="122"/>
      <c r="DV331" s="122"/>
      <c r="DW331" s="122"/>
      <c r="DX331" s="122"/>
      <c r="DY331" s="122"/>
      <c r="DZ331" s="122"/>
      <c r="EA331" s="122"/>
      <c r="EB331" s="122"/>
      <c r="EC331" s="122"/>
      <c r="ED331" s="122"/>
      <c r="EE331" s="122"/>
      <c r="EF331" s="122"/>
      <c r="EG331" s="131"/>
      <c r="EH331" s="122"/>
      <c r="EI331" s="122"/>
      <c r="EJ331" s="122"/>
      <c r="EK331" s="122"/>
      <c r="EL331" s="122"/>
      <c r="EM331" s="122">
        <f t="shared" si="431"/>
        <v>51000</v>
      </c>
      <c r="EN331" s="122"/>
      <c r="EO331" s="122"/>
      <c r="EP331" s="122"/>
      <c r="EQ331" s="122">
        <v>69000</v>
      </c>
      <c r="ER331" s="122"/>
      <c r="ES331" s="126"/>
      <c r="ET331" s="126"/>
      <c r="EU331" s="126">
        <v>-30000</v>
      </c>
      <c r="EV331" s="66"/>
      <c r="EW331" s="126"/>
      <c r="EX331" s="126"/>
      <c r="EY331" s="126"/>
      <c r="EZ331" s="126"/>
      <c r="FA331" s="126"/>
      <c r="FB331" s="126"/>
      <c r="FC331" s="126"/>
      <c r="FD331" s="126">
        <v>-36740</v>
      </c>
      <c r="FE331" s="126"/>
      <c r="FF331" s="126"/>
      <c r="FG331" s="126"/>
      <c r="FH331" s="126"/>
      <c r="FI331" s="66">
        <f t="shared" si="432"/>
        <v>0</v>
      </c>
      <c r="FJ331" s="66">
        <f t="shared" si="433"/>
        <v>0</v>
      </c>
      <c r="FK331" s="66">
        <f t="shared" si="434"/>
        <v>-66740</v>
      </c>
      <c r="FL331" s="173">
        <f t="shared" si="435"/>
        <v>53260</v>
      </c>
      <c r="FM331" s="123"/>
    </row>
    <row r="332" spans="1:170" s="118" customFormat="1" hidden="1" outlineLevel="1" x14ac:dyDescent="0.2">
      <c r="A332" s="119" t="s">
        <v>792</v>
      </c>
      <c r="B332" s="119" t="s">
        <v>793</v>
      </c>
      <c r="C332" s="118" t="s">
        <v>794</v>
      </c>
      <c r="D332" s="118" t="s">
        <v>795</v>
      </c>
      <c r="E332" s="118" t="s">
        <v>509</v>
      </c>
      <c r="G332" s="119"/>
      <c r="H332" s="119"/>
      <c r="I332" s="119"/>
      <c r="J332" s="119"/>
      <c r="K332" s="119"/>
      <c r="L332" s="119"/>
      <c r="M332" s="119" t="str">
        <f t="shared" si="430"/>
        <v>02900443School Turnaround Leaders Program</v>
      </c>
      <c r="O332" s="119" t="s">
        <v>160</v>
      </c>
      <c r="P332" s="120"/>
      <c r="Q332" s="121"/>
      <c r="R332" s="121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60"/>
      <c r="AV332" s="122"/>
      <c r="AW332" s="122"/>
      <c r="AX332" s="122"/>
      <c r="AY332" s="122"/>
      <c r="AZ332" s="122"/>
      <c r="BA332" s="122"/>
      <c r="BB332" s="122"/>
      <c r="BC332" s="122"/>
      <c r="BD332" s="122"/>
      <c r="BE332" s="122"/>
      <c r="BF332" s="122"/>
      <c r="BG332" s="122"/>
      <c r="BH332" s="122"/>
      <c r="BI332" s="122"/>
      <c r="BJ332" s="122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4"/>
      <c r="BY332" s="160"/>
      <c r="BZ332" s="122"/>
      <c r="CA332" s="122"/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122"/>
      <c r="CL332" s="122"/>
      <c r="CM332" s="122"/>
      <c r="CN332" s="122"/>
      <c r="CO332" s="122"/>
      <c r="CP332" s="122"/>
      <c r="CQ332" s="122"/>
      <c r="CR332" s="122"/>
      <c r="CS332" s="122"/>
      <c r="CT332" s="122"/>
      <c r="CU332" s="122"/>
      <c r="CV332" s="122"/>
      <c r="CW332" s="122"/>
      <c r="CX332" s="122"/>
      <c r="CY332" s="122"/>
      <c r="CZ332" s="122"/>
      <c r="DA332" s="122"/>
      <c r="DB332" s="122"/>
      <c r="DC332" s="122"/>
      <c r="DD332" s="122"/>
      <c r="DE332" s="122"/>
      <c r="DF332" s="160"/>
      <c r="DG332" s="122"/>
      <c r="DH332" s="122"/>
      <c r="DI332" s="122"/>
      <c r="DJ332" s="122">
        <v>42000</v>
      </c>
      <c r="DK332" s="122"/>
      <c r="DL332" s="122"/>
      <c r="DM332" s="122"/>
      <c r="DN332" s="122"/>
      <c r="DO332" s="122"/>
      <c r="DP332" s="122"/>
      <c r="DQ332" s="122"/>
      <c r="DR332" s="122"/>
      <c r="DS332" s="122"/>
      <c r="DT332" s="122"/>
      <c r="DU332" s="122"/>
      <c r="DV332" s="122"/>
      <c r="DW332" s="122"/>
      <c r="DX332" s="122"/>
      <c r="DY332" s="122"/>
      <c r="DZ332" s="122"/>
      <c r="EA332" s="122"/>
      <c r="EB332" s="122"/>
      <c r="EC332" s="122"/>
      <c r="ED332" s="122"/>
      <c r="EE332" s="122"/>
      <c r="EF332" s="122"/>
      <c r="EG332" s="131"/>
      <c r="EH332" s="122"/>
      <c r="EI332" s="122"/>
      <c r="EJ332" s="122"/>
      <c r="EK332" s="122"/>
      <c r="EL332" s="122"/>
      <c r="EM332" s="122">
        <f t="shared" si="431"/>
        <v>42000</v>
      </c>
      <c r="EN332" s="122"/>
      <c r="EO332" s="122"/>
      <c r="EP332" s="122"/>
      <c r="EQ332" s="122">
        <v>76000</v>
      </c>
      <c r="ER332" s="122"/>
      <c r="ES332" s="126"/>
      <c r="ET332" s="126"/>
      <c r="EU332" s="126"/>
      <c r="EV332" s="66"/>
      <c r="EW332" s="126"/>
      <c r="EX332" s="126"/>
      <c r="EY332" s="126"/>
      <c r="EZ332" s="126"/>
      <c r="FA332" s="126"/>
      <c r="FB332" s="126"/>
      <c r="FC332" s="126"/>
      <c r="FD332" s="126"/>
      <c r="FE332" s="126"/>
      <c r="FF332" s="126"/>
      <c r="FG332" s="126"/>
      <c r="FH332" s="126"/>
      <c r="FI332" s="66">
        <f t="shared" si="432"/>
        <v>0</v>
      </c>
      <c r="FJ332" s="66">
        <f t="shared" si="433"/>
        <v>0</v>
      </c>
      <c r="FK332" s="66">
        <f t="shared" si="434"/>
        <v>0</v>
      </c>
      <c r="FL332" s="173">
        <f t="shared" si="435"/>
        <v>118000</v>
      </c>
      <c r="FM332" s="123"/>
    </row>
    <row r="333" spans="1:170" s="118" customFormat="1" hidden="1" outlineLevel="1" x14ac:dyDescent="0.2">
      <c r="A333" s="119" t="s">
        <v>455</v>
      </c>
      <c r="B333" s="119" t="s">
        <v>784</v>
      </c>
      <c r="C333" s="118" t="s">
        <v>460</v>
      </c>
      <c r="D333" s="118" t="s">
        <v>785</v>
      </c>
      <c r="E333" s="118" t="s">
        <v>509</v>
      </c>
      <c r="G333" s="119"/>
      <c r="H333" s="119"/>
      <c r="I333" s="119"/>
      <c r="J333" s="119"/>
      <c r="K333" s="119"/>
      <c r="L333" s="119"/>
      <c r="M333" s="119" t="str">
        <f t="shared" si="430"/>
        <v>04804792School Turnaround Leaders Program</v>
      </c>
      <c r="O333" s="118" t="s">
        <v>160</v>
      </c>
      <c r="P333" s="120"/>
      <c r="Q333" s="121"/>
      <c r="R333" s="121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60"/>
      <c r="AV333" s="122"/>
      <c r="AW333" s="122"/>
      <c r="AX333" s="122"/>
      <c r="AY333" s="122"/>
      <c r="AZ333" s="122"/>
      <c r="BA333" s="122"/>
      <c r="BB333" s="122"/>
      <c r="BC333" s="122"/>
      <c r="BD333" s="122"/>
      <c r="BE333" s="122"/>
      <c r="BF333" s="122"/>
      <c r="BG333" s="122"/>
      <c r="BH333" s="122"/>
      <c r="BI333" s="122"/>
      <c r="BJ333" s="122"/>
      <c r="BK333" s="122"/>
      <c r="BL333" s="122"/>
      <c r="BM333" s="122"/>
      <c r="BN333" s="122"/>
      <c r="BO333" s="122"/>
      <c r="BP333" s="122"/>
      <c r="BQ333" s="122"/>
      <c r="BR333" s="122"/>
      <c r="BS333" s="122"/>
      <c r="BT333" s="122"/>
      <c r="BU333" s="122"/>
      <c r="BV333" s="122"/>
      <c r="BW333" s="122"/>
      <c r="BX333" s="124"/>
      <c r="BY333" s="160"/>
      <c r="BZ333" s="122"/>
      <c r="CA333" s="122"/>
      <c r="CB333" s="122"/>
      <c r="CC333" s="122"/>
      <c r="CD333" s="122"/>
      <c r="CE333" s="122"/>
      <c r="CF333" s="122"/>
      <c r="CG333" s="122"/>
      <c r="CH333" s="122"/>
      <c r="CI333" s="122"/>
      <c r="CJ333" s="122"/>
      <c r="CK333" s="122"/>
      <c r="CL333" s="122"/>
      <c r="CM333" s="122"/>
      <c r="CN333" s="122"/>
      <c r="CO333" s="122"/>
      <c r="CP333" s="122"/>
      <c r="CQ333" s="122"/>
      <c r="CR333" s="122"/>
      <c r="CS333" s="122"/>
      <c r="CT333" s="122"/>
      <c r="CU333" s="122"/>
      <c r="CV333" s="122"/>
      <c r="CW333" s="122"/>
      <c r="CX333" s="122"/>
      <c r="CY333" s="122"/>
      <c r="CZ333" s="122"/>
      <c r="DA333" s="122"/>
      <c r="DB333" s="122"/>
      <c r="DC333" s="122"/>
      <c r="DD333" s="122"/>
      <c r="DE333" s="122"/>
      <c r="DF333" s="160"/>
      <c r="DG333" s="122"/>
      <c r="DH333" s="122"/>
      <c r="DI333" s="122"/>
      <c r="DJ333" s="122">
        <v>32980</v>
      </c>
      <c r="DK333" s="122"/>
      <c r="DL333" s="122"/>
      <c r="DM333" s="122"/>
      <c r="DN333" s="122"/>
      <c r="DO333" s="122"/>
      <c r="DP333" s="122"/>
      <c r="DQ333" s="122"/>
      <c r="DR333" s="122"/>
      <c r="DS333" s="122"/>
      <c r="DT333" s="122"/>
      <c r="DU333" s="122"/>
      <c r="DV333" s="122"/>
      <c r="DW333" s="122"/>
      <c r="DX333" s="122"/>
      <c r="DY333" s="122"/>
      <c r="DZ333" s="122"/>
      <c r="EA333" s="122"/>
      <c r="EB333" s="122"/>
      <c r="EC333" s="122"/>
      <c r="ED333" s="122"/>
      <c r="EE333" s="122"/>
      <c r="EF333" s="122"/>
      <c r="EG333" s="131"/>
      <c r="EH333" s="122"/>
      <c r="EI333" s="122"/>
      <c r="EJ333" s="122"/>
      <c r="EK333" s="122"/>
      <c r="EL333" s="122"/>
      <c r="EM333" s="122">
        <f t="shared" si="431"/>
        <v>32980</v>
      </c>
      <c r="EN333" s="122"/>
      <c r="EO333" s="122"/>
      <c r="EP333" s="122"/>
      <c r="EQ333" s="122">
        <v>65030</v>
      </c>
      <c r="ER333" s="122"/>
      <c r="ES333" s="126"/>
      <c r="ET333" s="126"/>
      <c r="EU333" s="126"/>
      <c r="EV333" s="66"/>
      <c r="EW333" s="144">
        <v>-20997</v>
      </c>
      <c r="EX333" s="126"/>
      <c r="EY333" s="144">
        <v>-3027.41</v>
      </c>
      <c r="EZ333" s="126"/>
      <c r="FA333" s="126"/>
      <c r="FB333" s="126"/>
      <c r="FC333" s="126"/>
      <c r="FD333" s="126"/>
      <c r="FE333" s="126">
        <v>-30900</v>
      </c>
      <c r="FF333" s="126"/>
      <c r="FG333" s="126"/>
      <c r="FH333" s="126"/>
      <c r="FI333" s="66">
        <f t="shared" si="432"/>
        <v>0</v>
      </c>
      <c r="FJ333" s="66">
        <f t="shared" si="433"/>
        <v>0</v>
      </c>
      <c r="FK333" s="66">
        <f t="shared" si="434"/>
        <v>-54924.41</v>
      </c>
      <c r="FL333" s="173">
        <f t="shared" si="435"/>
        <v>43085.59</v>
      </c>
      <c r="FM333" s="123"/>
    </row>
    <row r="334" spans="1:170" s="118" customFormat="1" hidden="1" outlineLevel="1" x14ac:dyDescent="0.2">
      <c r="A334" s="77" t="s">
        <v>455</v>
      </c>
      <c r="B334" s="77" t="s">
        <v>34</v>
      </c>
      <c r="C334" s="76" t="s">
        <v>460</v>
      </c>
      <c r="D334" s="76" t="s">
        <v>111</v>
      </c>
      <c r="E334" s="76" t="s">
        <v>509</v>
      </c>
      <c r="F334" s="76" t="s">
        <v>715</v>
      </c>
      <c r="G334" s="77" t="str">
        <f>IF(S334&gt;0, "1", "0")</f>
        <v>0</v>
      </c>
      <c r="H334" s="77" t="str">
        <f>IF(AW334&gt;0, "1", "0")</f>
        <v>0</v>
      </c>
      <c r="I334" s="77" t="str">
        <f>IF(CC334&gt;0, "1", "0")</f>
        <v>0</v>
      </c>
      <c r="J334" s="77" t="str">
        <f>IF(DJ334&gt;0, "1", "0")</f>
        <v>0</v>
      </c>
      <c r="K334" s="77" t="str">
        <f>CONCATENATE(G334,H334,I334,J334)</f>
        <v>0000</v>
      </c>
      <c r="L334" s="77" t="str">
        <f>IFERROR(VLOOKUP(K334,Sheet2!$A$20:$B$23,2,FALSE),"X")</f>
        <v>X</v>
      </c>
      <c r="M334" s="77" t="str">
        <f t="shared" si="430"/>
        <v>0480N/ASchool Turnaround Leaders Program</v>
      </c>
      <c r="N334" s="76"/>
      <c r="O334" s="76" t="s">
        <v>160</v>
      </c>
      <c r="P334" s="69" t="s">
        <v>168</v>
      </c>
      <c r="Q334" s="78">
        <v>43168</v>
      </c>
      <c r="R334" s="78">
        <v>43168</v>
      </c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>
        <f>SUMIF($T$2:$AQ$2,$AR$2,$T334:$AQ334)</f>
        <v>0</v>
      </c>
      <c r="AS334" s="79">
        <f>SUMIF($T$2:$AQ$2,$AS$2,$T334:$AQ334)</f>
        <v>0</v>
      </c>
      <c r="AT334" s="79">
        <f>S334+(AR334+AS334)</f>
        <v>0</v>
      </c>
      <c r="AU334" s="158" t="s">
        <v>161</v>
      </c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>
        <f>SUMIF($AX$2:$BU$2,$BV$2,$AX334:$BU334)</f>
        <v>0</v>
      </c>
      <c r="BW334" s="79">
        <f>SUMIF($AX$2:$BU$2,$BW$2,$AX334:$BU334)</f>
        <v>0</v>
      </c>
      <c r="BX334" s="44">
        <f>AT334+AV334+AW334+(BV334+BW334)</f>
        <v>0</v>
      </c>
      <c r="BY334" s="158" t="s">
        <v>336</v>
      </c>
      <c r="BZ334" s="79"/>
      <c r="CA334" s="79">
        <v>96161</v>
      </c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>
        <v>-14920</v>
      </c>
      <c r="CS334" s="79"/>
      <c r="CT334" s="79"/>
      <c r="CU334" s="79"/>
      <c r="CV334" s="79"/>
      <c r="CW334" s="79"/>
      <c r="CX334" s="79">
        <v>-38005.440000000002</v>
      </c>
      <c r="CY334" s="79"/>
      <c r="CZ334" s="79"/>
      <c r="DA334" s="79"/>
      <c r="DB334" s="79">
        <f>SUMIF($CD$2:$DA$2,$DB$2,$CD334:$DA334)</f>
        <v>0</v>
      </c>
      <c r="DC334" s="79">
        <f>SUMIF($CD$2:$DA$2,$DC$2,$CD334:$DA334)</f>
        <v>-52925.440000000002</v>
      </c>
      <c r="DD334" s="79">
        <f>SUMIF($CD$2:$DA$2,$DD$2,$CD334:$DA334)</f>
        <v>0</v>
      </c>
      <c r="DE334" s="79">
        <f>BX334+CA334+BZ334+CC334+(DB334+DC334+DD334)</f>
        <v>43235.56</v>
      </c>
      <c r="DF334" s="158"/>
      <c r="DG334" s="79">
        <v>133195</v>
      </c>
      <c r="DH334" s="79"/>
      <c r="DI334" s="79"/>
      <c r="DJ334" s="79"/>
      <c r="DK334" s="79"/>
      <c r="DL334" s="79"/>
      <c r="DM334" s="79">
        <v>-200</v>
      </c>
      <c r="DN334" s="79"/>
      <c r="DO334" s="79"/>
      <c r="DP334" s="131"/>
      <c r="DQ334" s="79">
        <v>-18400</v>
      </c>
      <c r="DR334" s="79"/>
      <c r="DS334" s="79"/>
      <c r="DT334" s="79"/>
      <c r="DU334" s="79">
        <v>-5500</v>
      </c>
      <c r="DV334" s="79"/>
      <c r="DW334" s="79"/>
      <c r="DX334" s="79"/>
      <c r="DY334" s="79"/>
      <c r="DZ334" s="79"/>
      <c r="EA334" s="79">
        <f>-(19135.56+11164.44)</f>
        <v>-30300</v>
      </c>
      <c r="EB334" s="79"/>
      <c r="EC334" s="79"/>
      <c r="ED334" s="79"/>
      <c r="EE334" s="79"/>
      <c r="EF334" s="79"/>
      <c r="EG334" s="131"/>
      <c r="EH334" s="79">
        <v>-3100</v>
      </c>
      <c r="EI334" s="79"/>
      <c r="EJ334" s="79">
        <f>SUMIF($DK$2:$EI$2,$EJ$2,$DK334:$EI334)</f>
        <v>0</v>
      </c>
      <c r="EK334" s="79">
        <f>SUMIF($DK$2:$EI$2,$EK$2,$DK334:$EI334)</f>
        <v>-57500</v>
      </c>
      <c r="EL334" s="79">
        <f>SUMIF($DK$2:$EI$2,$EL$2,$DK334:$EI334)</f>
        <v>0</v>
      </c>
      <c r="EM334" s="79">
        <f t="shared" si="431"/>
        <v>118930.56</v>
      </c>
      <c r="EN334" s="79"/>
      <c r="EO334" s="79"/>
      <c r="EP334" s="79"/>
      <c r="EQ334" s="79"/>
      <c r="ER334" s="79"/>
      <c r="ES334" s="66"/>
      <c r="ET334" s="66"/>
      <c r="EU334" s="66"/>
      <c r="EV334" s="66"/>
      <c r="EW334" s="144">
        <v>-10472.74</v>
      </c>
      <c r="EX334" s="66"/>
      <c r="EY334" s="144">
        <v>-16169.49</v>
      </c>
      <c r="EZ334" s="66"/>
      <c r="FA334" s="66"/>
      <c r="FB334" s="66"/>
      <c r="FC334" s="66"/>
      <c r="FD334" s="66"/>
      <c r="FE334" s="312">
        <v>-47621.2</v>
      </c>
      <c r="FF334" s="66"/>
      <c r="FG334" s="66"/>
      <c r="FH334" s="66"/>
      <c r="FI334" s="66">
        <f t="shared" si="432"/>
        <v>0</v>
      </c>
      <c r="FJ334" s="66">
        <f t="shared" si="433"/>
        <v>0</v>
      </c>
      <c r="FK334" s="66">
        <f t="shared" si="434"/>
        <v>-74263.429999999993</v>
      </c>
      <c r="FL334" s="173">
        <f t="shared" si="435"/>
        <v>44667.130000000005</v>
      </c>
      <c r="FM334" s="93"/>
      <c r="FN334" s="76"/>
    </row>
    <row r="335" spans="1:170" hidden="1" outlineLevel="1" x14ac:dyDescent="0.2">
      <c r="A335" s="76" t="s">
        <v>23</v>
      </c>
      <c r="B335" s="76" t="s">
        <v>433</v>
      </c>
      <c r="C335" s="76" t="s">
        <v>507</v>
      </c>
      <c r="D335" s="76" t="s">
        <v>510</v>
      </c>
      <c r="E335" s="76" t="s">
        <v>509</v>
      </c>
      <c r="F335" s="76" t="s">
        <v>715</v>
      </c>
      <c r="G335" s="77" t="str">
        <f>IF(S335&gt;0, "1", "0")</f>
        <v>0</v>
      </c>
      <c r="H335" s="77" t="str">
        <f>IF(AW335&gt;0, "1", "0")</f>
        <v>1</v>
      </c>
      <c r="I335" s="77" t="str">
        <f>IF(CC335&gt;0, "1", "0")</f>
        <v>0</v>
      </c>
      <c r="J335" s="77" t="str">
        <f>IF(DJ335&gt;0, "1", "0")</f>
        <v>0</v>
      </c>
      <c r="K335" s="77" t="str">
        <f>CONCATENATE(G335,H335,I335,J335)</f>
        <v>0100</v>
      </c>
      <c r="L335" s="77" t="str">
        <f>IFERROR(VLOOKUP(K335,Sheet2!$A$20:$B$23,2,FALSE),"X")</f>
        <v>02</v>
      </c>
      <c r="M335" s="77" t="str">
        <f t="shared" si="430"/>
        <v>08800067School Turnaround Leaders Program</v>
      </c>
      <c r="O335" s="76" t="s">
        <v>160</v>
      </c>
      <c r="P335" s="45" t="s">
        <v>168</v>
      </c>
      <c r="Q335" s="78"/>
      <c r="R335" s="78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158" t="s">
        <v>336</v>
      </c>
      <c r="AV335" s="44"/>
      <c r="AW335" s="44">
        <v>21560</v>
      </c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>
        <f>SUMIF($AX$2:$BU$2,$BV$2,$AX335:$BU335)</f>
        <v>0</v>
      </c>
      <c r="BW335" s="44">
        <f>SUMIF($AX$2:$BU$2,$BW$2,$AX335:$BU335)</f>
        <v>0</v>
      </c>
      <c r="BX335" s="44">
        <f>AT335+AV335+AW335+(BV335+BW335)</f>
        <v>21560</v>
      </c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79">
        <f>SUMIF($CD$2:$DA$2,$DB$2,$CD335:$DA335)</f>
        <v>0</v>
      </c>
      <c r="DC335" s="79">
        <f>SUMIF($CD$2:$DA$2,$DC$2,$CD335:$DA335)</f>
        <v>0</v>
      </c>
      <c r="DD335" s="79">
        <f>SUMIF($CD$2:$DA$2,$DD$2,$CD335:$DA335)</f>
        <v>0</v>
      </c>
      <c r="DE335" s="79">
        <f>BX335+CA335+BZ335+CC335+(DB335+DC335+DD335)</f>
        <v>21560</v>
      </c>
      <c r="DG335" s="44">
        <v>21808</v>
      </c>
      <c r="DH335" s="44"/>
      <c r="DI335" s="44"/>
      <c r="DJ335" s="44"/>
      <c r="DK335" s="44"/>
      <c r="DL335" s="44"/>
      <c r="DM335" s="44"/>
      <c r="DN335" s="44"/>
      <c r="DO335" s="44"/>
      <c r="DP335" s="13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134"/>
      <c r="EH335" s="44"/>
      <c r="EI335" s="44"/>
      <c r="EJ335" s="79">
        <f>SUMIF($DK$2:$EI$2,$EJ$2,$DK335:$EI335)</f>
        <v>0</v>
      </c>
      <c r="EK335" s="79">
        <f>SUMIF($DK$2:$EI$2,$EK$2,$DK335:$EI335)</f>
        <v>0</v>
      </c>
      <c r="EL335" s="79">
        <f>SUMIF($DK$2:$EI$2,$EL$2,$DK335:$EI335)</f>
        <v>0</v>
      </c>
      <c r="EM335" s="79">
        <f t="shared" si="431"/>
        <v>43368</v>
      </c>
      <c r="EX335" s="144">
        <f>-29161.33</f>
        <v>-29161.33</v>
      </c>
      <c r="FI335" s="66">
        <f t="shared" si="432"/>
        <v>0</v>
      </c>
      <c r="FJ335" s="66">
        <f t="shared" si="433"/>
        <v>0</v>
      </c>
      <c r="FK335" s="66">
        <f t="shared" si="434"/>
        <v>-29161.33</v>
      </c>
      <c r="FL335" s="173">
        <f t="shared" si="435"/>
        <v>14206.669999999998</v>
      </c>
    </row>
    <row r="336" spans="1:170" s="118" customFormat="1" hidden="1" outlineLevel="1" x14ac:dyDescent="0.2">
      <c r="A336" s="118" t="s">
        <v>23</v>
      </c>
      <c r="B336" s="118" t="s">
        <v>433</v>
      </c>
      <c r="C336" s="118" t="s">
        <v>507</v>
      </c>
      <c r="D336" s="118" t="s">
        <v>510</v>
      </c>
      <c r="E336" s="118" t="s">
        <v>509</v>
      </c>
      <c r="G336" s="119"/>
      <c r="H336" s="119"/>
      <c r="I336" s="119"/>
      <c r="J336" s="119"/>
      <c r="K336" s="119"/>
      <c r="L336" s="119"/>
      <c r="M336" s="119" t="str">
        <f t="shared" si="430"/>
        <v>08800067School Turnaround Leaders Program</v>
      </c>
      <c r="O336" s="118" t="s">
        <v>160</v>
      </c>
      <c r="P336" s="125"/>
      <c r="Q336" s="121"/>
      <c r="R336" s="121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60"/>
      <c r="AV336" s="124"/>
      <c r="AW336" s="124"/>
      <c r="AX336" s="124"/>
      <c r="AY336" s="124"/>
      <c r="AZ336" s="124"/>
      <c r="BA336" s="124"/>
      <c r="BB336" s="124"/>
      <c r="BC336" s="124"/>
      <c r="BD336" s="124"/>
      <c r="BE336" s="124"/>
      <c r="BF336" s="124"/>
      <c r="BG336" s="124"/>
      <c r="BH336" s="124"/>
      <c r="BI336" s="124"/>
      <c r="BJ336" s="124"/>
      <c r="BK336" s="124"/>
      <c r="BL336" s="124"/>
      <c r="BM336" s="124"/>
      <c r="BN336" s="124"/>
      <c r="BO336" s="124"/>
      <c r="BP336" s="124"/>
      <c r="BQ336" s="124"/>
      <c r="BR336" s="124"/>
      <c r="BS336" s="124"/>
      <c r="BT336" s="124"/>
      <c r="BU336" s="124"/>
      <c r="BV336" s="124"/>
      <c r="BW336" s="124"/>
      <c r="BX336" s="124"/>
      <c r="BY336" s="160"/>
      <c r="BZ336" s="124"/>
      <c r="CA336" s="124"/>
      <c r="CB336" s="124"/>
      <c r="CC336" s="124"/>
      <c r="CD336" s="124"/>
      <c r="CE336" s="124"/>
      <c r="CF336" s="124"/>
      <c r="CG336" s="124"/>
      <c r="CH336" s="124"/>
      <c r="CI336" s="124"/>
      <c r="CJ336" s="124"/>
      <c r="CK336" s="124"/>
      <c r="CL336" s="124"/>
      <c r="CM336" s="124"/>
      <c r="CN336" s="124"/>
      <c r="CO336" s="124"/>
      <c r="CP336" s="124"/>
      <c r="CQ336" s="124"/>
      <c r="CR336" s="124"/>
      <c r="CS336" s="124"/>
      <c r="CT336" s="124"/>
      <c r="CU336" s="124"/>
      <c r="CV336" s="124"/>
      <c r="CW336" s="124"/>
      <c r="CX336" s="124"/>
      <c r="CY336" s="124"/>
      <c r="CZ336" s="124"/>
      <c r="DA336" s="124"/>
      <c r="DB336" s="122"/>
      <c r="DC336" s="122"/>
      <c r="DD336" s="122"/>
      <c r="DE336" s="122"/>
      <c r="DF336" s="160"/>
      <c r="DG336" s="124"/>
      <c r="DH336" s="124"/>
      <c r="DI336" s="124"/>
      <c r="DJ336" s="124">
        <v>30000</v>
      </c>
      <c r="DK336" s="124"/>
      <c r="DL336" s="124"/>
      <c r="DM336" s="124"/>
      <c r="DN336" s="124"/>
      <c r="DO336" s="124"/>
      <c r="DP336" s="124"/>
      <c r="DQ336" s="124"/>
      <c r="DR336" s="124"/>
      <c r="DS336" s="124"/>
      <c r="DT336" s="124"/>
      <c r="DU336" s="124"/>
      <c r="DV336" s="124"/>
      <c r="DW336" s="124"/>
      <c r="DX336" s="124"/>
      <c r="DY336" s="124"/>
      <c r="DZ336" s="124"/>
      <c r="EA336" s="124"/>
      <c r="EB336" s="124"/>
      <c r="EC336" s="124"/>
      <c r="ED336" s="124"/>
      <c r="EE336" s="124"/>
      <c r="EF336" s="124"/>
      <c r="EG336" s="134"/>
      <c r="EH336" s="124"/>
      <c r="EI336" s="124"/>
      <c r="EJ336" s="122"/>
      <c r="EK336" s="122"/>
      <c r="EL336" s="122"/>
      <c r="EM336" s="122">
        <f t="shared" si="431"/>
        <v>30000</v>
      </c>
      <c r="EN336" s="122"/>
      <c r="EO336" s="122"/>
      <c r="EP336" s="122"/>
      <c r="EQ336" s="122"/>
      <c r="ER336" s="122"/>
      <c r="ES336" s="126"/>
      <c r="ET336" s="126"/>
      <c r="EU336" s="126"/>
      <c r="EV336" s="66"/>
      <c r="EW336" s="126"/>
      <c r="EX336" s="126"/>
      <c r="EY336" s="126"/>
      <c r="EZ336" s="126"/>
      <c r="FA336" s="126"/>
      <c r="FB336" s="126"/>
      <c r="FC336" s="126"/>
      <c r="FD336" s="126"/>
      <c r="FE336" s="126"/>
      <c r="FF336" s="126"/>
      <c r="FG336" s="126"/>
      <c r="FH336" s="126"/>
      <c r="FI336" s="66">
        <f t="shared" si="432"/>
        <v>0</v>
      </c>
      <c r="FJ336" s="66">
        <f t="shared" si="433"/>
        <v>0</v>
      </c>
      <c r="FK336" s="66">
        <f t="shared" si="434"/>
        <v>0</v>
      </c>
      <c r="FL336" s="173">
        <f t="shared" si="435"/>
        <v>30000</v>
      </c>
      <c r="FM336" s="123"/>
    </row>
    <row r="337" spans="1:169" hidden="1" outlineLevel="1" x14ac:dyDescent="0.2">
      <c r="A337" s="76" t="s">
        <v>23</v>
      </c>
      <c r="B337" s="76" t="s">
        <v>51</v>
      </c>
      <c r="C337" s="76" t="s">
        <v>507</v>
      </c>
      <c r="D337" s="76" t="s">
        <v>516</v>
      </c>
      <c r="E337" s="76" t="s">
        <v>509</v>
      </c>
      <c r="F337" s="76" t="s">
        <v>715</v>
      </c>
      <c r="G337" s="77" t="str">
        <f>IF(S337&gt;0, "1", "0")</f>
        <v>0</v>
      </c>
      <c r="H337" s="77" t="str">
        <f>IF(AW337&gt;0, "1", "0")</f>
        <v>1</v>
      </c>
      <c r="I337" s="77" t="str">
        <f>IF(CC337&gt;0, "1", "0")</f>
        <v>0</v>
      </c>
      <c r="J337" s="77" t="str">
        <f>IF(DJ337&gt;0, "1", "0")</f>
        <v>0</v>
      </c>
      <c r="K337" s="77" t="str">
        <f>CONCATENATE(G337,H337,I337,J337)</f>
        <v>0100</v>
      </c>
      <c r="L337" s="77" t="str">
        <f>IFERROR(VLOOKUP(K337,Sheet2!$A$20:$B$23,2,FALSE),"X")</f>
        <v>02</v>
      </c>
      <c r="M337" s="77" t="str">
        <f t="shared" si="430"/>
        <v>08800220School Turnaround Leaders Program</v>
      </c>
      <c r="O337" s="76" t="s">
        <v>160</v>
      </c>
      <c r="P337" s="45" t="s">
        <v>168</v>
      </c>
      <c r="Q337" s="78"/>
      <c r="R337" s="78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158" t="s">
        <v>336</v>
      </c>
      <c r="AV337" s="44"/>
      <c r="AW337" s="44">
        <v>25053</v>
      </c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>
        <f>SUMIF($AX$2:$BU$2,$BV$2,$AX337:$BU337)</f>
        <v>0</v>
      </c>
      <c r="BW337" s="44">
        <f>SUMIF($AX$2:$BU$2,$BW$2,$AX337:$BU337)</f>
        <v>0</v>
      </c>
      <c r="BX337" s="44">
        <f>AT337+AV337+AW337+(BV337+BW337)</f>
        <v>25053</v>
      </c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>
        <v>-19404</v>
      </c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79">
        <f>SUMIF($CD$2:$DA$2,$DB$2,$CD337:$DA337)</f>
        <v>0</v>
      </c>
      <c r="DC337" s="79">
        <f>SUMIF($CD$2:$DA$2,$DC$2,$CD337:$DA337)</f>
        <v>-19404</v>
      </c>
      <c r="DD337" s="79">
        <f>SUMIF($CD$2:$DA$2,$DD$2,$CD337:$DA337)</f>
        <v>0</v>
      </c>
      <c r="DE337" s="79">
        <f>BX337+CA337+BZ337+CC337+(DB337+DC337+DD337)</f>
        <v>5649</v>
      </c>
      <c r="DG337" s="44"/>
      <c r="DH337" s="44"/>
      <c r="DI337" s="44"/>
      <c r="DJ337" s="44"/>
      <c r="DK337" s="44"/>
      <c r="DL337" s="44"/>
      <c r="DM337" s="44"/>
      <c r="DN337" s="44"/>
      <c r="DO337" s="44"/>
      <c r="DP337" s="13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134"/>
      <c r="EH337" s="44"/>
      <c r="EI337" s="44"/>
      <c r="EJ337" s="79">
        <f>SUMIF($DK$2:$EI$2,$EJ$2,$DK337:$EI337)</f>
        <v>0</v>
      </c>
      <c r="EK337" s="79">
        <f>SUMIF($DK$2:$EI$2,$EK$2,$DK337:$EI337)</f>
        <v>0</v>
      </c>
      <c r="EL337" s="79">
        <f>SUMIF($DK$2:$EI$2,$EL$2,$DK337:$EI337)</f>
        <v>0</v>
      </c>
      <c r="EM337" s="79">
        <f t="shared" si="431"/>
        <v>5649</v>
      </c>
      <c r="FI337" s="66">
        <f t="shared" si="432"/>
        <v>0</v>
      </c>
      <c r="FJ337" s="66">
        <f t="shared" si="433"/>
        <v>0</v>
      </c>
      <c r="FK337" s="66">
        <f t="shared" si="434"/>
        <v>0</v>
      </c>
      <c r="FL337" s="173">
        <f t="shared" si="435"/>
        <v>5649</v>
      </c>
    </row>
    <row r="338" spans="1:169" hidden="1" outlineLevel="1" x14ac:dyDescent="0.2">
      <c r="A338" s="76" t="s">
        <v>23</v>
      </c>
      <c r="B338" s="76" t="s">
        <v>53</v>
      </c>
      <c r="C338" s="76" t="s">
        <v>507</v>
      </c>
      <c r="D338" s="76" t="s">
        <v>129</v>
      </c>
      <c r="E338" s="76" t="s">
        <v>509</v>
      </c>
      <c r="F338" s="76" t="s">
        <v>715</v>
      </c>
      <c r="G338" s="77" t="str">
        <f>IF(S338&gt;0, "1", "0")</f>
        <v>0</v>
      </c>
      <c r="H338" s="77" t="str">
        <f>IF(AW338&gt;0, "1", "0")</f>
        <v>1</v>
      </c>
      <c r="I338" s="77" t="str">
        <f>IF(CC338&gt;0, "1", "0")</f>
        <v>0</v>
      </c>
      <c r="J338" s="77" t="str">
        <f>IF(DJ338&gt;0, "1", "0")</f>
        <v>0</v>
      </c>
      <c r="K338" s="77" t="str">
        <f>CONCATENATE(G338,H338,I338,J338)</f>
        <v>0100</v>
      </c>
      <c r="L338" s="77" t="str">
        <f>IFERROR(VLOOKUP(K338,Sheet2!$A$20:$B$23,2,FALSE),"X")</f>
        <v>02</v>
      </c>
      <c r="M338" s="77" t="str">
        <f t="shared" si="430"/>
        <v>08800520School Turnaround Leaders Program</v>
      </c>
      <c r="O338" s="76" t="s">
        <v>160</v>
      </c>
      <c r="P338" s="45" t="s">
        <v>168</v>
      </c>
      <c r="Q338" s="78"/>
      <c r="R338" s="78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158" t="s">
        <v>336</v>
      </c>
      <c r="AV338" s="44"/>
      <c r="AW338" s="44">
        <v>101437</v>
      </c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>
        <f>SUMIF($AX$2:$BU$2,$BV$2,$AX338:$BU338)</f>
        <v>0</v>
      </c>
      <c r="BW338" s="44">
        <f>SUMIF($AX$2:$BU$2,$BW$2,$AX338:$BU338)</f>
        <v>0</v>
      </c>
      <c r="BX338" s="44">
        <f>AT338+AV338+AW338+(BV338+BW338)</f>
        <v>101437</v>
      </c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79">
        <f>SUMIF($CD$2:$DA$2,$DB$2,$CD338:$DA338)</f>
        <v>0</v>
      </c>
      <c r="DC338" s="79">
        <f>SUMIF($CD$2:$DA$2,$DC$2,$CD338:$DA338)</f>
        <v>0</v>
      </c>
      <c r="DD338" s="79">
        <f>SUMIF($CD$2:$DA$2,$DD$2,$CD338:$DA338)</f>
        <v>0</v>
      </c>
      <c r="DE338" s="79">
        <f>BX338+CA338+BZ338+CC338+(DB338+DC338+DD338)</f>
        <v>101437</v>
      </c>
      <c r="DG338" s="44"/>
      <c r="DH338" s="44"/>
      <c r="DI338" s="44"/>
      <c r="DJ338" s="44"/>
      <c r="DK338" s="44"/>
      <c r="DL338" s="44"/>
      <c r="DM338" s="44"/>
      <c r="DN338" s="44"/>
      <c r="DO338" s="44"/>
      <c r="DP338" s="13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134"/>
      <c r="EH338" s="44"/>
      <c r="EI338" s="44"/>
      <c r="EJ338" s="79">
        <f>SUMIF($DK$2:$EI$2,$EJ$2,$DK338:$EI338)</f>
        <v>0</v>
      </c>
      <c r="EK338" s="79">
        <f>SUMIF($DK$2:$EI$2,$EK$2,$DK338:$EI338)</f>
        <v>0</v>
      </c>
      <c r="EL338" s="79">
        <f>SUMIF($DK$2:$EI$2,$EL$2,$DK338:$EI338)</f>
        <v>0</v>
      </c>
      <c r="EM338" s="79">
        <f t="shared" si="431"/>
        <v>101437</v>
      </c>
      <c r="FI338" s="66">
        <f t="shared" si="432"/>
        <v>0</v>
      </c>
      <c r="FJ338" s="66">
        <f t="shared" si="433"/>
        <v>0</v>
      </c>
      <c r="FK338" s="66">
        <f t="shared" si="434"/>
        <v>0</v>
      </c>
      <c r="FL338" s="173">
        <f t="shared" si="435"/>
        <v>101437</v>
      </c>
    </row>
    <row r="339" spans="1:169" hidden="1" outlineLevel="1" x14ac:dyDescent="0.2">
      <c r="A339" s="88" t="s">
        <v>23</v>
      </c>
      <c r="B339" s="88" t="s">
        <v>681</v>
      </c>
      <c r="C339" s="88" t="s">
        <v>507</v>
      </c>
      <c r="D339" s="88" t="s">
        <v>682</v>
      </c>
      <c r="E339" s="88" t="s">
        <v>509</v>
      </c>
      <c r="F339" s="88" t="s">
        <v>715</v>
      </c>
      <c r="G339" s="77" t="str">
        <f>IF(S339&gt;0, "1", "0")</f>
        <v>0</v>
      </c>
      <c r="H339" s="77" t="str">
        <f>IF(AW339&gt;0, "1", "0")</f>
        <v>0</v>
      </c>
      <c r="I339" s="77" t="str">
        <f>IF(CC339&gt;0, "1", "0")</f>
        <v>1</v>
      </c>
      <c r="J339" s="77" t="str">
        <f>IF(DJ339&gt;0, "1", "0")</f>
        <v>0</v>
      </c>
      <c r="K339" s="77" t="str">
        <f>CONCATENATE(G339,H339,I339,J339)</f>
        <v>0010</v>
      </c>
      <c r="L339" s="77" t="str">
        <f>IFERROR(VLOOKUP(K339,Sheet2!$A$20:$B$23,2,FALSE),"X")</f>
        <v>03</v>
      </c>
      <c r="M339" s="77" t="str">
        <f t="shared" si="430"/>
        <v>08801748School Turnaround Leaders Program</v>
      </c>
      <c r="N339" s="88"/>
      <c r="O339" s="88" t="s">
        <v>160</v>
      </c>
      <c r="P339" s="94" t="s">
        <v>168</v>
      </c>
      <c r="Q339" s="91"/>
      <c r="R339" s="91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161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>
        <f>SUMIF($AX$2:$BU$2,$BV$2,$AX339:$BU339)</f>
        <v>0</v>
      </c>
      <c r="BW339" s="95">
        <f>SUMIF($AX$2:$BU$2,$BW$2,$AX339:$BU339)</f>
        <v>0</v>
      </c>
      <c r="BX339" s="95">
        <f>AT339+AV339+AW339+(BV339+BW339)</f>
        <v>0</v>
      </c>
      <c r="BY339" s="161"/>
      <c r="BZ339" s="95"/>
      <c r="CA339" s="95"/>
      <c r="CB339" s="95"/>
      <c r="CC339" s="95">
        <v>56853.1</v>
      </c>
      <c r="CD339" s="95"/>
      <c r="CE339" s="95"/>
      <c r="CF339" s="95"/>
      <c r="CG339" s="95"/>
      <c r="CH339" s="95"/>
      <c r="CI339" s="95"/>
      <c r="CJ339" s="95"/>
      <c r="CK339" s="95"/>
      <c r="CL339" s="95"/>
      <c r="CM339" s="95"/>
      <c r="CN339" s="95"/>
      <c r="CO339" s="95"/>
      <c r="CP339" s="95"/>
      <c r="CQ339" s="95"/>
      <c r="CR339" s="95"/>
      <c r="CS339" s="95"/>
      <c r="CT339" s="95"/>
      <c r="CU339" s="95"/>
      <c r="CV339" s="95"/>
      <c r="CW339" s="95"/>
      <c r="CX339" s="95"/>
      <c r="CY339" s="95"/>
      <c r="CZ339" s="95"/>
      <c r="DA339" s="95"/>
      <c r="DB339" s="92">
        <f>SUMIF($CD$2:$DA$2,$DB$2,$CD339:$DA339)</f>
        <v>0</v>
      </c>
      <c r="DC339" s="92">
        <f>SUMIF($CD$2:$DA$2,$DC$2,$CD339:$DA339)</f>
        <v>0</v>
      </c>
      <c r="DD339" s="92">
        <f>SUMIF($CD$2:$DA$2,$DD$2,$CD339:$DA339)</f>
        <v>0</v>
      </c>
      <c r="DE339" s="92">
        <f>BX339+CA339+BZ339+CC339+(DB339+DC339+DD339)</f>
        <v>56853.1</v>
      </c>
      <c r="DG339" s="44"/>
      <c r="DH339" s="44"/>
      <c r="DI339" s="44"/>
      <c r="DJ339" s="44"/>
      <c r="DK339" s="44"/>
      <c r="DL339" s="44"/>
      <c r="DM339" s="44"/>
      <c r="DN339" s="44"/>
      <c r="DO339" s="44"/>
      <c r="DP339" s="13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134"/>
      <c r="EH339" s="44"/>
      <c r="EI339" s="44"/>
      <c r="EJ339" s="79">
        <f>SUMIF($DK$2:$EI$2,$EJ$2,$DK339:$EI339)</f>
        <v>0</v>
      </c>
      <c r="EK339" s="79">
        <f>SUMIF($DK$2:$EI$2,$EK$2,$DK339:$EI339)</f>
        <v>0</v>
      </c>
      <c r="EL339" s="79">
        <f>SUMIF($DK$2:$EI$2,$EL$2,$DK339:$EI339)</f>
        <v>0</v>
      </c>
      <c r="EM339" s="79">
        <f t="shared" si="431"/>
        <v>56853.1</v>
      </c>
      <c r="EX339" s="144">
        <f>-110273.56+55136.78</f>
        <v>-55136.78</v>
      </c>
      <c r="FI339" s="66">
        <f t="shared" si="432"/>
        <v>0</v>
      </c>
      <c r="FJ339" s="66">
        <f t="shared" si="433"/>
        <v>0</v>
      </c>
      <c r="FK339" s="66">
        <f t="shared" si="434"/>
        <v>-55136.78</v>
      </c>
      <c r="FL339" s="173">
        <f t="shared" si="435"/>
        <v>1716.3199999999997</v>
      </c>
    </row>
    <row r="340" spans="1:169" s="118" customFormat="1" hidden="1" outlineLevel="1" x14ac:dyDescent="0.2">
      <c r="A340" s="118" t="s">
        <v>23</v>
      </c>
      <c r="B340" s="118" t="s">
        <v>681</v>
      </c>
      <c r="C340" s="118" t="s">
        <v>507</v>
      </c>
      <c r="D340" s="118" t="s">
        <v>682</v>
      </c>
      <c r="E340" s="118" t="s">
        <v>509</v>
      </c>
      <c r="G340" s="119"/>
      <c r="H340" s="119"/>
      <c r="I340" s="119"/>
      <c r="J340" s="119"/>
      <c r="K340" s="119"/>
      <c r="L340" s="119"/>
      <c r="M340" s="119" t="str">
        <f t="shared" si="430"/>
        <v>08801748School Turnaround Leaders Program</v>
      </c>
      <c r="O340" s="118" t="s">
        <v>160</v>
      </c>
      <c r="P340" s="125"/>
      <c r="Q340" s="121"/>
      <c r="R340" s="121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60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60"/>
      <c r="BZ340" s="124"/>
      <c r="CA340" s="124"/>
      <c r="CB340" s="124"/>
      <c r="CC340" s="124"/>
      <c r="CD340" s="124"/>
      <c r="CE340" s="124"/>
      <c r="CF340" s="124"/>
      <c r="CG340" s="124"/>
      <c r="CH340" s="124"/>
      <c r="CI340" s="124"/>
      <c r="CJ340" s="124"/>
      <c r="CK340" s="124"/>
      <c r="CL340" s="124"/>
      <c r="CM340" s="124"/>
      <c r="CN340" s="124"/>
      <c r="CO340" s="124"/>
      <c r="CP340" s="124"/>
      <c r="CQ340" s="124"/>
      <c r="CR340" s="124"/>
      <c r="CS340" s="124"/>
      <c r="CT340" s="124"/>
      <c r="CU340" s="124"/>
      <c r="CV340" s="124"/>
      <c r="CW340" s="124"/>
      <c r="CX340" s="124"/>
      <c r="CY340" s="124"/>
      <c r="CZ340" s="124"/>
      <c r="DA340" s="124"/>
      <c r="DB340" s="122"/>
      <c r="DC340" s="122"/>
      <c r="DD340" s="122"/>
      <c r="DE340" s="122"/>
      <c r="DF340" s="160"/>
      <c r="DG340" s="124"/>
      <c r="DH340" s="124"/>
      <c r="DI340" s="124"/>
      <c r="DJ340" s="124">
        <v>11000</v>
      </c>
      <c r="DK340" s="124"/>
      <c r="DL340" s="124"/>
      <c r="DM340" s="124"/>
      <c r="DN340" s="124"/>
      <c r="DO340" s="124"/>
      <c r="DP340" s="124"/>
      <c r="DQ340" s="124"/>
      <c r="DR340" s="124"/>
      <c r="DS340" s="124"/>
      <c r="DT340" s="124"/>
      <c r="DU340" s="124"/>
      <c r="DV340" s="124"/>
      <c r="DW340" s="124"/>
      <c r="DX340" s="124"/>
      <c r="DY340" s="124"/>
      <c r="DZ340" s="124"/>
      <c r="EA340" s="124"/>
      <c r="EB340" s="124"/>
      <c r="EC340" s="124"/>
      <c r="ED340" s="124"/>
      <c r="EE340" s="124"/>
      <c r="EF340" s="124"/>
      <c r="EG340" s="134"/>
      <c r="EH340" s="124"/>
      <c r="EI340" s="124"/>
      <c r="EJ340" s="122"/>
      <c r="EK340" s="122"/>
      <c r="EL340" s="122"/>
      <c r="EM340" s="122">
        <f t="shared" si="431"/>
        <v>11000</v>
      </c>
      <c r="EN340" s="122"/>
      <c r="EO340" s="122"/>
      <c r="EP340" s="122"/>
      <c r="EQ340" s="122"/>
      <c r="ER340" s="122"/>
      <c r="ES340" s="126"/>
      <c r="ET340" s="126"/>
      <c r="EU340" s="126"/>
      <c r="EV340" s="66"/>
      <c r="EW340" s="126"/>
      <c r="EX340" s="126"/>
      <c r="EY340" s="126"/>
      <c r="EZ340" s="126"/>
      <c r="FA340" s="126"/>
      <c r="FB340" s="126"/>
      <c r="FC340" s="126"/>
      <c r="FD340" s="126"/>
      <c r="FE340" s="126"/>
      <c r="FF340" s="126"/>
      <c r="FG340" s="126"/>
      <c r="FH340" s="126"/>
      <c r="FI340" s="66">
        <f t="shared" si="432"/>
        <v>0</v>
      </c>
      <c r="FJ340" s="66">
        <f t="shared" si="433"/>
        <v>0</v>
      </c>
      <c r="FK340" s="66">
        <f t="shared" si="434"/>
        <v>0</v>
      </c>
      <c r="FL340" s="173">
        <f t="shared" si="435"/>
        <v>11000</v>
      </c>
      <c r="FM340" s="123"/>
    </row>
    <row r="341" spans="1:169" hidden="1" outlineLevel="1" x14ac:dyDescent="0.2">
      <c r="A341" s="76" t="s">
        <v>23</v>
      </c>
      <c r="B341" s="76" t="s">
        <v>62</v>
      </c>
      <c r="C341" s="76" t="s">
        <v>507</v>
      </c>
      <c r="D341" s="76" t="s">
        <v>514</v>
      </c>
      <c r="E341" s="76" t="s">
        <v>509</v>
      </c>
      <c r="F341" s="76" t="s">
        <v>715</v>
      </c>
      <c r="G341" s="77" t="str">
        <f>IF(S341&gt;0, "1", "0")</f>
        <v>0</v>
      </c>
      <c r="H341" s="77" t="str">
        <f>IF(AW341&gt;0, "1", "0")</f>
        <v>1</v>
      </c>
      <c r="I341" s="77" t="str">
        <f>IF(CC341&gt;0, "1", "0")</f>
        <v>0</v>
      </c>
      <c r="J341" s="77" t="str">
        <f>IF(DJ341&gt;0, "1", "0")</f>
        <v>0</v>
      </c>
      <c r="K341" s="77" t="str">
        <f>CONCATENATE(G341,H341,I341,J341)</f>
        <v>0100</v>
      </c>
      <c r="L341" s="77" t="str">
        <f>IFERROR(VLOOKUP(K341,Sheet2!$A$20:$B$23,2,FALSE),"X")</f>
        <v>02</v>
      </c>
      <c r="M341" s="77" t="str">
        <f t="shared" si="430"/>
        <v>08802129School Turnaround Leaders Program</v>
      </c>
      <c r="O341" s="76" t="s">
        <v>160</v>
      </c>
      <c r="P341" s="45" t="s">
        <v>168</v>
      </c>
      <c r="Q341" s="78"/>
      <c r="R341" s="78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158" t="s">
        <v>336</v>
      </c>
      <c r="AV341" s="44"/>
      <c r="AW341" s="44">
        <v>25053</v>
      </c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>
        <f>SUMIF($AX$2:$BU$2,$BV$2,$AX341:$BU341)</f>
        <v>0</v>
      </c>
      <c r="BW341" s="44">
        <f>SUMIF($AX$2:$BU$2,$BW$2,$AX341:$BU341)</f>
        <v>0</v>
      </c>
      <c r="BX341" s="44">
        <f>AT341+AV341+AW341+(BV341+BW341)</f>
        <v>25053</v>
      </c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79">
        <f>SUMIF($CD$2:$DA$2,$DB$2,$CD341:$DA341)</f>
        <v>0</v>
      </c>
      <c r="DC341" s="79">
        <f>SUMIF($CD$2:$DA$2,$DC$2,$CD341:$DA341)</f>
        <v>0</v>
      </c>
      <c r="DD341" s="79">
        <f>SUMIF($CD$2:$DA$2,$DD$2,$CD341:$DA341)</f>
        <v>0</v>
      </c>
      <c r="DE341" s="79">
        <f>BX341+CA341+BZ341+CC341+(DB341+DC341+DD341)</f>
        <v>25053</v>
      </c>
      <c r="DG341" s="44"/>
      <c r="DH341" s="44"/>
      <c r="DI341" s="44"/>
      <c r="DJ341" s="44"/>
      <c r="DK341" s="44"/>
      <c r="DL341" s="44"/>
      <c r="DM341" s="44"/>
      <c r="DN341" s="44"/>
      <c r="DO341" s="44"/>
      <c r="DP341" s="13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134"/>
      <c r="EH341" s="44"/>
      <c r="EI341" s="44"/>
      <c r="EJ341" s="79">
        <f>SUMIF($DK$2:$EI$2,$EJ$2,$DK341:$EI341)</f>
        <v>0</v>
      </c>
      <c r="EK341" s="79">
        <f>SUMIF($DK$2:$EI$2,$EK$2,$DK341:$EI341)</f>
        <v>0</v>
      </c>
      <c r="EL341" s="79">
        <f>SUMIF($DK$2:$EI$2,$EL$2,$DK341:$EI341)</f>
        <v>0</v>
      </c>
      <c r="EM341" s="79">
        <f t="shared" si="431"/>
        <v>25053</v>
      </c>
      <c r="FI341" s="66">
        <f t="shared" si="432"/>
        <v>0</v>
      </c>
      <c r="FJ341" s="66">
        <f t="shared" si="433"/>
        <v>0</v>
      </c>
      <c r="FK341" s="66">
        <f t="shared" si="434"/>
        <v>0</v>
      </c>
      <c r="FL341" s="173">
        <f t="shared" si="435"/>
        <v>25053</v>
      </c>
    </row>
    <row r="342" spans="1:169" hidden="1" outlineLevel="1" x14ac:dyDescent="0.2">
      <c r="A342" s="76" t="s">
        <v>23</v>
      </c>
      <c r="B342" s="76" t="s">
        <v>434</v>
      </c>
      <c r="C342" s="76" t="s">
        <v>507</v>
      </c>
      <c r="D342" s="76" t="s">
        <v>513</v>
      </c>
      <c r="E342" s="76" t="s">
        <v>509</v>
      </c>
      <c r="F342" s="76" t="s">
        <v>715</v>
      </c>
      <c r="G342" s="77" t="str">
        <f>IF(S342&gt;0, "1", "0")</f>
        <v>0</v>
      </c>
      <c r="H342" s="77" t="str">
        <f>IF(AW342&gt;0, "1", "0")</f>
        <v>1</v>
      </c>
      <c r="I342" s="77" t="str">
        <f>IF(CC342&gt;0, "1", "0")</f>
        <v>0</v>
      </c>
      <c r="J342" s="77" t="str">
        <f>IF(DJ342&gt;0, "1", "0")</f>
        <v>0</v>
      </c>
      <c r="K342" s="77" t="str">
        <f>CONCATENATE(G342,H342,I342,J342)</f>
        <v>0100</v>
      </c>
      <c r="L342" s="77" t="str">
        <f>IFERROR(VLOOKUP(K342,Sheet2!$A$20:$B$23,2,FALSE),"X")</f>
        <v>02</v>
      </c>
      <c r="M342" s="77" t="str">
        <f t="shared" si="430"/>
        <v>08802183School Turnaround Leaders Program</v>
      </c>
      <c r="O342" s="76" t="s">
        <v>160</v>
      </c>
      <c r="P342" s="45" t="s">
        <v>168</v>
      </c>
      <c r="Q342" s="78"/>
      <c r="R342" s="78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158" t="s">
        <v>336</v>
      </c>
      <c r="AV342" s="44"/>
      <c r="AW342" s="44">
        <v>94153</v>
      </c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>
        <f>SUMIF($AX$2:$BU$2,$BV$2,$AX342:$BU342)</f>
        <v>0</v>
      </c>
      <c r="BW342" s="44">
        <f>SUMIF($AX$2:$BU$2,$BW$2,$AX342:$BU342)</f>
        <v>0</v>
      </c>
      <c r="BX342" s="44">
        <f>AT342+AV342+AW342+(BV342+BW342)</f>
        <v>94153</v>
      </c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79">
        <f>SUMIF($CD$2:$DA$2,$DB$2,$CD342:$DA342)</f>
        <v>0</v>
      </c>
      <c r="DC342" s="79">
        <f>SUMIF($CD$2:$DA$2,$DC$2,$CD342:$DA342)</f>
        <v>0</v>
      </c>
      <c r="DD342" s="79">
        <f>SUMIF($CD$2:$DA$2,$DD$2,$CD342:$DA342)</f>
        <v>0</v>
      </c>
      <c r="DE342" s="79">
        <f>BX342+CA342+BZ342+CC342+(DB342+DC342+DD342)</f>
        <v>94153</v>
      </c>
      <c r="DG342" s="44"/>
      <c r="DH342" s="44"/>
      <c r="DI342" s="44"/>
      <c r="DJ342" s="44"/>
      <c r="DK342" s="44"/>
      <c r="DL342" s="44"/>
      <c r="DM342" s="44"/>
      <c r="DN342" s="44"/>
      <c r="DO342" s="44"/>
      <c r="DP342" s="13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134"/>
      <c r="EH342" s="44"/>
      <c r="EI342" s="44"/>
      <c r="EJ342" s="79">
        <f>SUMIF($DK$2:$EI$2,$EJ$2,$DK342:$EI342)</f>
        <v>0</v>
      </c>
      <c r="EK342" s="79">
        <f>SUMIF($DK$2:$EI$2,$EK$2,$DK342:$EI342)</f>
        <v>0</v>
      </c>
      <c r="EL342" s="79">
        <f>SUMIF($DK$2:$EI$2,$EL$2,$DK342:$EI342)</f>
        <v>0</v>
      </c>
      <c r="EM342" s="79">
        <f t="shared" si="431"/>
        <v>94153</v>
      </c>
      <c r="FI342" s="66">
        <f t="shared" si="432"/>
        <v>0</v>
      </c>
      <c r="FJ342" s="66">
        <f t="shared" si="433"/>
        <v>0</v>
      </c>
      <c r="FK342" s="66">
        <f t="shared" si="434"/>
        <v>0</v>
      </c>
      <c r="FL342" s="173">
        <f t="shared" si="435"/>
        <v>94153</v>
      </c>
    </row>
    <row r="343" spans="1:169" hidden="1" outlineLevel="1" x14ac:dyDescent="0.2">
      <c r="A343" s="76" t="s">
        <v>23</v>
      </c>
      <c r="B343" s="76" t="s">
        <v>60</v>
      </c>
      <c r="C343" s="76" t="s">
        <v>507</v>
      </c>
      <c r="D343" s="76" t="s">
        <v>512</v>
      </c>
      <c r="E343" s="76" t="s">
        <v>509</v>
      </c>
      <c r="F343" s="76" t="s">
        <v>715</v>
      </c>
      <c r="G343" s="77" t="str">
        <f>IF(S343&gt;0, "1", "0")</f>
        <v>0</v>
      </c>
      <c r="H343" s="77" t="str">
        <f>IF(AW343&gt;0, "1", "0")</f>
        <v>1</v>
      </c>
      <c r="I343" s="77" t="str">
        <f>IF(CC343&gt;0, "1", "0")</f>
        <v>0</v>
      </c>
      <c r="J343" s="77" t="str">
        <f>IF(DJ343&gt;0, "1", "0")</f>
        <v>0</v>
      </c>
      <c r="K343" s="77" t="str">
        <f>CONCATENATE(G343,H343,I343,J343)</f>
        <v>0100</v>
      </c>
      <c r="L343" s="77" t="str">
        <f>IFERROR(VLOOKUP(K343,Sheet2!$A$20:$B$23,2,FALSE),"X")</f>
        <v>02</v>
      </c>
      <c r="M343" s="77" t="str">
        <f t="shared" si="430"/>
        <v>08802209School Turnaround Leaders Program</v>
      </c>
      <c r="O343" s="76" t="s">
        <v>160</v>
      </c>
      <c r="P343" s="45" t="s">
        <v>168</v>
      </c>
      <c r="Q343" s="78"/>
      <c r="R343" s="78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158" t="s">
        <v>336</v>
      </c>
      <c r="AV343" s="44"/>
      <c r="AW343" s="44">
        <v>94153</v>
      </c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>
        <f>SUMIF($AX$2:$BU$2,$BV$2,$AX343:$BU343)</f>
        <v>0</v>
      </c>
      <c r="BW343" s="44">
        <f>SUMIF($AX$2:$BU$2,$BW$2,$AX343:$BU343)</f>
        <v>0</v>
      </c>
      <c r="BX343" s="44">
        <f>AT343+AV343+AW343+(BV343+BW343)</f>
        <v>94153</v>
      </c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>
        <v>-9702</v>
      </c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79">
        <f>SUMIF($CD$2:$DA$2,$DB$2,$CD343:$DA343)</f>
        <v>0</v>
      </c>
      <c r="DC343" s="79">
        <f>SUMIF($CD$2:$DA$2,$DC$2,$CD343:$DA343)</f>
        <v>-9702</v>
      </c>
      <c r="DD343" s="79">
        <f>SUMIF($CD$2:$DA$2,$DD$2,$CD343:$DA343)</f>
        <v>0</v>
      </c>
      <c r="DE343" s="79">
        <f>BX343+CA343+BZ343+CC343+(DB343+DC343+DD343)</f>
        <v>84451</v>
      </c>
      <c r="DG343" s="44"/>
      <c r="DH343" s="44"/>
      <c r="DI343" s="44"/>
      <c r="DJ343" s="44"/>
      <c r="DK343" s="44"/>
      <c r="DL343" s="44"/>
      <c r="DM343" s="44"/>
      <c r="DN343" s="44"/>
      <c r="DO343" s="44"/>
      <c r="DP343" s="13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134"/>
      <c r="EH343" s="44"/>
      <c r="EI343" s="44"/>
      <c r="EJ343" s="79">
        <f>SUMIF($DK$2:$EI$2,$EJ$2,$DK343:$EI343)</f>
        <v>0</v>
      </c>
      <c r="EK343" s="79">
        <f>SUMIF($DK$2:$EI$2,$EK$2,$DK343:$EI343)</f>
        <v>0</v>
      </c>
      <c r="EL343" s="79">
        <f>SUMIF($DK$2:$EI$2,$EL$2,$DK343:$EI343)</f>
        <v>0</v>
      </c>
      <c r="EM343" s="79">
        <f t="shared" si="431"/>
        <v>84451</v>
      </c>
      <c r="EX343" s="144">
        <v>-23872.94</v>
      </c>
      <c r="FI343" s="66">
        <f t="shared" si="432"/>
        <v>0</v>
      </c>
      <c r="FJ343" s="66">
        <f t="shared" si="433"/>
        <v>0</v>
      </c>
      <c r="FK343" s="66">
        <f t="shared" si="434"/>
        <v>-23872.94</v>
      </c>
      <c r="FL343" s="173">
        <f t="shared" si="435"/>
        <v>60578.06</v>
      </c>
    </row>
    <row r="344" spans="1:169" s="118" customFormat="1" hidden="1" outlineLevel="1" x14ac:dyDescent="0.2">
      <c r="A344" s="118" t="s">
        <v>23</v>
      </c>
      <c r="B344" s="118" t="s">
        <v>60</v>
      </c>
      <c r="C344" s="118" t="s">
        <v>507</v>
      </c>
      <c r="D344" s="118" t="s">
        <v>512</v>
      </c>
      <c r="E344" s="118" t="s">
        <v>509</v>
      </c>
      <c r="G344" s="119"/>
      <c r="H344" s="119"/>
      <c r="I344" s="119"/>
      <c r="J344" s="119"/>
      <c r="K344" s="119"/>
      <c r="L344" s="119"/>
      <c r="M344" s="119" t="str">
        <f t="shared" si="430"/>
        <v>08802209School Turnaround Leaders Program</v>
      </c>
      <c r="O344" s="118" t="s">
        <v>160</v>
      </c>
      <c r="P344" s="125"/>
      <c r="Q344" s="121"/>
      <c r="R344" s="121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60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4"/>
      <c r="BQ344" s="124"/>
      <c r="BR344" s="124"/>
      <c r="BS344" s="124"/>
      <c r="BT344" s="124"/>
      <c r="BU344" s="124"/>
      <c r="BV344" s="124"/>
      <c r="BW344" s="124"/>
      <c r="BX344" s="124"/>
      <c r="BY344" s="160"/>
      <c r="BZ344" s="124"/>
      <c r="CA344" s="124"/>
      <c r="CB344" s="124"/>
      <c r="CC344" s="124"/>
      <c r="CD344" s="124"/>
      <c r="CE344" s="124"/>
      <c r="CF344" s="124"/>
      <c r="CG344" s="124"/>
      <c r="CH344" s="124"/>
      <c r="CI344" s="124"/>
      <c r="CJ344" s="124"/>
      <c r="CK344" s="124"/>
      <c r="CL344" s="124"/>
      <c r="CM344" s="124"/>
      <c r="CN344" s="124"/>
      <c r="CO344" s="124"/>
      <c r="CP344" s="124"/>
      <c r="CQ344" s="124"/>
      <c r="CR344" s="124"/>
      <c r="CS344" s="124"/>
      <c r="CT344" s="124"/>
      <c r="CU344" s="124"/>
      <c r="CV344" s="124"/>
      <c r="CW344" s="124"/>
      <c r="CX344" s="124"/>
      <c r="CY344" s="124"/>
      <c r="CZ344" s="124"/>
      <c r="DA344" s="124"/>
      <c r="DB344" s="122"/>
      <c r="DC344" s="122"/>
      <c r="DD344" s="122"/>
      <c r="DE344" s="122"/>
      <c r="DF344" s="160"/>
      <c r="DG344" s="124"/>
      <c r="DH344" s="124"/>
      <c r="DI344" s="124"/>
      <c r="DJ344" s="124">
        <v>24000</v>
      </c>
      <c r="DK344" s="124"/>
      <c r="DL344" s="124"/>
      <c r="DM344" s="124"/>
      <c r="DN344" s="124"/>
      <c r="DO344" s="124"/>
      <c r="DP344" s="124"/>
      <c r="DQ344" s="124"/>
      <c r="DR344" s="124"/>
      <c r="DS344" s="124"/>
      <c r="DT344" s="124"/>
      <c r="DU344" s="124"/>
      <c r="DV344" s="124"/>
      <c r="DW344" s="124"/>
      <c r="DX344" s="124"/>
      <c r="DY344" s="124"/>
      <c r="DZ344" s="124"/>
      <c r="EA344" s="124"/>
      <c r="EB344" s="124"/>
      <c r="EC344" s="124"/>
      <c r="ED344" s="124"/>
      <c r="EE344" s="124"/>
      <c r="EF344" s="124"/>
      <c r="EG344" s="134"/>
      <c r="EH344" s="124"/>
      <c r="EI344" s="124"/>
      <c r="EJ344" s="122"/>
      <c r="EK344" s="122"/>
      <c r="EL344" s="122"/>
      <c r="EM344" s="122">
        <f t="shared" si="431"/>
        <v>24000</v>
      </c>
      <c r="EN344" s="122"/>
      <c r="EO344" s="122"/>
      <c r="EP344" s="122"/>
      <c r="EQ344" s="122">
        <v>5680</v>
      </c>
      <c r="ER344" s="122"/>
      <c r="ES344" s="126"/>
      <c r="ET344" s="126"/>
      <c r="EU344" s="126"/>
      <c r="EV344" s="66"/>
      <c r="EW344" s="126"/>
      <c r="EX344" s="126"/>
      <c r="EY344" s="126"/>
      <c r="EZ344" s="126"/>
      <c r="FA344" s="126"/>
      <c r="FB344" s="126"/>
      <c r="FC344" s="126"/>
      <c r="FD344" s="126"/>
      <c r="FE344" s="126"/>
      <c r="FF344" s="126"/>
      <c r="FG344" s="126"/>
      <c r="FH344" s="126"/>
      <c r="FI344" s="66">
        <f t="shared" si="432"/>
        <v>0</v>
      </c>
      <c r="FJ344" s="66">
        <f t="shared" si="433"/>
        <v>0</v>
      </c>
      <c r="FK344" s="66">
        <f t="shared" si="434"/>
        <v>0</v>
      </c>
      <c r="FL344" s="173">
        <f t="shared" si="435"/>
        <v>29680</v>
      </c>
      <c r="FM344" s="123"/>
    </row>
    <row r="345" spans="1:169" s="118" customFormat="1" hidden="1" outlineLevel="1" x14ac:dyDescent="0.2">
      <c r="A345" s="118" t="s">
        <v>23</v>
      </c>
      <c r="B345" s="119" t="s">
        <v>786</v>
      </c>
      <c r="C345" s="118" t="s">
        <v>507</v>
      </c>
      <c r="D345" s="118" t="s">
        <v>787</v>
      </c>
      <c r="E345" s="118" t="s">
        <v>509</v>
      </c>
      <c r="G345" s="119"/>
      <c r="H345" s="119"/>
      <c r="I345" s="119"/>
      <c r="J345" s="119"/>
      <c r="K345" s="119"/>
      <c r="L345" s="119"/>
      <c r="M345" s="119" t="str">
        <f t="shared" si="430"/>
        <v>08802641School Turnaround Leaders Program</v>
      </c>
      <c r="O345" s="118" t="s">
        <v>160</v>
      </c>
      <c r="P345" s="125"/>
      <c r="Q345" s="121"/>
      <c r="R345" s="121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60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60"/>
      <c r="BZ345" s="124"/>
      <c r="CA345" s="124"/>
      <c r="CB345" s="124"/>
      <c r="CC345" s="124"/>
      <c r="CD345" s="124"/>
      <c r="CE345" s="124"/>
      <c r="CF345" s="124"/>
      <c r="CG345" s="124"/>
      <c r="CH345" s="124"/>
      <c r="CI345" s="124"/>
      <c r="CJ345" s="124"/>
      <c r="CK345" s="124"/>
      <c r="CL345" s="124"/>
      <c r="CM345" s="124"/>
      <c r="CN345" s="124"/>
      <c r="CO345" s="124"/>
      <c r="CP345" s="124"/>
      <c r="CQ345" s="124"/>
      <c r="CR345" s="124"/>
      <c r="CS345" s="124"/>
      <c r="CT345" s="124"/>
      <c r="CU345" s="124"/>
      <c r="CV345" s="124"/>
      <c r="CW345" s="124"/>
      <c r="CX345" s="124"/>
      <c r="CY345" s="124"/>
      <c r="CZ345" s="124"/>
      <c r="DA345" s="124"/>
      <c r="DB345" s="122"/>
      <c r="DC345" s="122"/>
      <c r="DD345" s="122"/>
      <c r="DE345" s="122"/>
      <c r="DF345" s="160"/>
      <c r="DG345" s="124"/>
      <c r="DH345" s="124"/>
      <c r="DI345" s="124"/>
      <c r="DJ345" s="124">
        <v>12000</v>
      </c>
      <c r="DK345" s="124"/>
      <c r="DL345" s="124"/>
      <c r="DM345" s="124"/>
      <c r="DN345" s="124"/>
      <c r="DO345" s="124"/>
      <c r="DP345" s="124"/>
      <c r="DQ345" s="124"/>
      <c r="DR345" s="124"/>
      <c r="DS345" s="124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4"/>
      <c r="EF345" s="124"/>
      <c r="EG345" s="134"/>
      <c r="EH345" s="124"/>
      <c r="EI345" s="124"/>
      <c r="EJ345" s="122"/>
      <c r="EK345" s="122"/>
      <c r="EL345" s="122"/>
      <c r="EM345" s="122">
        <f t="shared" si="431"/>
        <v>12000</v>
      </c>
      <c r="EN345" s="122"/>
      <c r="EO345" s="122"/>
      <c r="EP345" s="122"/>
      <c r="EQ345" s="122">
        <v>2840</v>
      </c>
      <c r="ER345" s="122"/>
      <c r="ES345" s="126"/>
      <c r="ET345" s="126"/>
      <c r="EU345" s="126"/>
      <c r="EV345" s="66"/>
      <c r="EW345" s="126"/>
      <c r="EX345" s="144">
        <v>-11937.01</v>
      </c>
      <c r="EY345" s="126"/>
      <c r="EZ345" s="126"/>
      <c r="FA345" s="126"/>
      <c r="FB345" s="126"/>
      <c r="FC345" s="126"/>
      <c r="FD345" s="126"/>
      <c r="FE345" s="126"/>
      <c r="FF345" s="126"/>
      <c r="FG345" s="126"/>
      <c r="FH345" s="126"/>
      <c r="FI345" s="66">
        <f t="shared" si="432"/>
        <v>0</v>
      </c>
      <c r="FJ345" s="66">
        <f t="shared" si="433"/>
        <v>0</v>
      </c>
      <c r="FK345" s="66">
        <f t="shared" si="434"/>
        <v>-11937.01</v>
      </c>
      <c r="FL345" s="173">
        <f t="shared" si="435"/>
        <v>2902.99</v>
      </c>
      <c r="FM345" s="123"/>
    </row>
    <row r="346" spans="1:169" hidden="1" outlineLevel="1" x14ac:dyDescent="0.2">
      <c r="A346" s="76" t="s">
        <v>23</v>
      </c>
      <c r="B346" s="76" t="s">
        <v>67</v>
      </c>
      <c r="C346" s="76" t="s">
        <v>507</v>
      </c>
      <c r="D346" s="76" t="s">
        <v>140</v>
      </c>
      <c r="E346" s="76" t="s">
        <v>509</v>
      </c>
      <c r="F346" s="76" t="s">
        <v>715</v>
      </c>
      <c r="G346" s="77" t="str">
        <f>IF(S346&gt;0, "1", "0")</f>
        <v>0</v>
      </c>
      <c r="H346" s="77" t="str">
        <f>IF(AW346&gt;0, "1", "0")</f>
        <v>1</v>
      </c>
      <c r="I346" s="77" t="str">
        <f>IF(CC346&gt;0, "1", "0")</f>
        <v>0</v>
      </c>
      <c r="J346" s="77" t="str">
        <f>IF(DJ346&gt;0, "1", "0")</f>
        <v>0</v>
      </c>
      <c r="K346" s="77" t="str">
        <f>CONCATENATE(G346,H346,I346,J346)</f>
        <v>0100</v>
      </c>
      <c r="L346" s="77" t="str">
        <f>IFERROR(VLOOKUP(K346,Sheet2!$A$20:$B$23,2,FALSE),"X")</f>
        <v>02</v>
      </c>
      <c r="M346" s="77" t="str">
        <f t="shared" si="430"/>
        <v>08802757School Turnaround Leaders Program</v>
      </c>
      <c r="O346" s="76" t="s">
        <v>160</v>
      </c>
      <c r="P346" s="45" t="s">
        <v>168</v>
      </c>
      <c r="Q346" s="78"/>
      <c r="R346" s="78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158" t="s">
        <v>336</v>
      </c>
      <c r="AV346" s="44"/>
      <c r="AW346" s="44">
        <v>25053</v>
      </c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>
        <f>SUMIF($AX$2:$BU$2,$BV$2,$AX346:$BU346)</f>
        <v>0</v>
      </c>
      <c r="BW346" s="44">
        <f>SUMIF($AX$2:$BU$2,$BW$2,$AX346:$BU346)</f>
        <v>0</v>
      </c>
      <c r="BX346" s="44">
        <f>AT346+AV346+AW346+(BV346+BW346)</f>
        <v>25053</v>
      </c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>
        <v>-19404</v>
      </c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79">
        <f>SUMIF($CD$2:$DA$2,$DB$2,$CD346:$DA346)</f>
        <v>0</v>
      </c>
      <c r="DC346" s="79">
        <f>SUMIF($CD$2:$DA$2,$DC$2,$CD346:$DA346)</f>
        <v>-19404</v>
      </c>
      <c r="DD346" s="79">
        <f>SUMIF($CD$2:$DA$2,$DD$2,$CD346:$DA346)</f>
        <v>0</v>
      </c>
      <c r="DE346" s="79">
        <f>BX346+CA346+BZ346+CC346+(DB346+DC346+DD346)</f>
        <v>5649</v>
      </c>
      <c r="DG346" s="44"/>
      <c r="DH346" s="44"/>
      <c r="DI346" s="44"/>
      <c r="DJ346" s="44"/>
      <c r="DK346" s="44"/>
      <c r="DL346" s="44"/>
      <c r="DM346" s="44"/>
      <c r="DN346" s="44"/>
      <c r="DO346" s="44"/>
      <c r="DP346" s="13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134"/>
      <c r="EH346" s="44"/>
      <c r="EI346" s="44"/>
      <c r="EJ346" s="79">
        <f>SUMIF($DK$2:$EI$2,$EJ$2,$DK346:$EI346)</f>
        <v>0</v>
      </c>
      <c r="EK346" s="79">
        <f>SUMIF($DK$2:$EI$2,$EK$2,$DK346:$EI346)</f>
        <v>0</v>
      </c>
      <c r="EL346" s="79">
        <f>SUMIF($DK$2:$EI$2,$EL$2,$DK346:$EI346)</f>
        <v>0</v>
      </c>
      <c r="EM346" s="79">
        <f t="shared" si="431"/>
        <v>5649</v>
      </c>
      <c r="FI346" s="66">
        <f t="shared" si="432"/>
        <v>0</v>
      </c>
      <c r="FJ346" s="66">
        <f t="shared" si="433"/>
        <v>0</v>
      </c>
      <c r="FK346" s="66">
        <f t="shared" si="434"/>
        <v>0</v>
      </c>
      <c r="FL346" s="173">
        <f t="shared" si="435"/>
        <v>5649</v>
      </c>
    </row>
    <row r="347" spans="1:169" hidden="1" outlineLevel="1" x14ac:dyDescent="0.2">
      <c r="A347" s="76" t="s">
        <v>23</v>
      </c>
      <c r="B347" s="76" t="s">
        <v>413</v>
      </c>
      <c r="C347" s="76" t="s">
        <v>507</v>
      </c>
      <c r="D347" s="76" t="s">
        <v>515</v>
      </c>
      <c r="E347" s="76" t="s">
        <v>509</v>
      </c>
      <c r="F347" s="76" t="s">
        <v>715</v>
      </c>
      <c r="G347" s="77" t="str">
        <f>IF(S347&gt;0, "1", "0")</f>
        <v>0</v>
      </c>
      <c r="H347" s="77" t="str">
        <f>IF(AW347&gt;0, "1", "0")</f>
        <v>1</v>
      </c>
      <c r="I347" s="77" t="str">
        <f>IF(CC347&gt;0, "1", "0")</f>
        <v>0</v>
      </c>
      <c r="J347" s="77" t="str">
        <f>IF(DJ347&gt;0, "1", "0")</f>
        <v>0</v>
      </c>
      <c r="K347" s="77" t="str">
        <f>CONCATENATE(G347,H347,I347,J347)</f>
        <v>0100</v>
      </c>
      <c r="L347" s="77" t="str">
        <f>IFERROR(VLOOKUP(K347,Sheet2!$A$20:$B$23,2,FALSE),"X")</f>
        <v>02</v>
      </c>
      <c r="M347" s="77" t="str">
        <f t="shared" si="430"/>
        <v>08804444School Turnaround Leaders Program</v>
      </c>
      <c r="O347" s="76" t="s">
        <v>160</v>
      </c>
      <c r="P347" s="45" t="s">
        <v>168</v>
      </c>
      <c r="Q347" s="78"/>
      <c r="R347" s="78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158" t="s">
        <v>336</v>
      </c>
      <c r="AV347" s="44"/>
      <c r="AW347" s="44">
        <v>25053</v>
      </c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>
        <f>SUMIF($AX$2:$BU$2,$BV$2,$AX347:$BU347)</f>
        <v>0</v>
      </c>
      <c r="BW347" s="44">
        <f>SUMIF($AX$2:$BU$2,$BW$2,$AX347:$BU347)</f>
        <v>0</v>
      </c>
      <c r="BX347" s="44">
        <f>AT347+AV347+AW347+(BV347+BW347)</f>
        <v>25053</v>
      </c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>
        <v>-25053</v>
      </c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79">
        <f>SUMIF($CD$2:$DA$2,$DB$2,$CD347:$DA347)</f>
        <v>0</v>
      </c>
      <c r="DC347" s="79">
        <f>SUMIF($CD$2:$DA$2,$DC$2,$CD347:$DA347)</f>
        <v>-25053</v>
      </c>
      <c r="DD347" s="79">
        <f>SUMIF($CD$2:$DA$2,$DD$2,$CD347:$DA347)</f>
        <v>0</v>
      </c>
      <c r="DE347" s="79">
        <f>BX347+CA347+BZ347+CC347+(DB347+DC347+DD347)</f>
        <v>0</v>
      </c>
      <c r="DG347" s="44"/>
      <c r="DH347" s="44"/>
      <c r="DI347" s="44"/>
      <c r="DJ347" s="44"/>
      <c r="DK347" s="44"/>
      <c r="DL347" s="44"/>
      <c r="DM347" s="44"/>
      <c r="DN347" s="44"/>
      <c r="DO347" s="44"/>
      <c r="DP347" s="13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134"/>
      <c r="EH347" s="44"/>
      <c r="EI347" s="44"/>
      <c r="EJ347" s="79">
        <f>SUMIF($DK$2:$EI$2,$EJ$2,$DK347:$EI347)</f>
        <v>0</v>
      </c>
      <c r="EK347" s="79">
        <f>SUMIF($DK$2:$EI$2,$EK$2,$DK347:$EI347)</f>
        <v>0</v>
      </c>
      <c r="EL347" s="79">
        <f>SUMIF($DK$2:$EI$2,$EL$2,$DK347:$EI347)</f>
        <v>0</v>
      </c>
      <c r="EM347" s="79">
        <f t="shared" si="431"/>
        <v>0</v>
      </c>
      <c r="EX347" s="144">
        <f>11113.83-11113.83</f>
        <v>0</v>
      </c>
      <c r="FI347" s="66">
        <f t="shared" si="432"/>
        <v>0</v>
      </c>
      <c r="FJ347" s="66">
        <f t="shared" si="433"/>
        <v>0</v>
      </c>
      <c r="FK347" s="66">
        <f t="shared" si="434"/>
        <v>0</v>
      </c>
      <c r="FL347" s="173">
        <f t="shared" si="435"/>
        <v>0</v>
      </c>
    </row>
    <row r="348" spans="1:169" hidden="1" outlineLevel="1" x14ac:dyDescent="0.2">
      <c r="A348" s="76" t="s">
        <v>23</v>
      </c>
      <c r="B348" s="76" t="s">
        <v>415</v>
      </c>
      <c r="C348" s="76" t="s">
        <v>507</v>
      </c>
      <c r="D348" s="76" t="s">
        <v>517</v>
      </c>
      <c r="E348" s="76" t="s">
        <v>509</v>
      </c>
      <c r="F348" s="76" t="s">
        <v>715</v>
      </c>
      <c r="G348" s="77" t="str">
        <f>IF(S348&gt;0, "1", "0")</f>
        <v>0</v>
      </c>
      <c r="H348" s="77" t="str">
        <f>IF(AW348&gt;0, "1", "0")</f>
        <v>1</v>
      </c>
      <c r="I348" s="77" t="str">
        <f>IF(CC348&gt;0, "1", "0")</f>
        <v>0</v>
      </c>
      <c r="J348" s="77" t="str">
        <f>IF(DJ348&gt;0, "1", "0")</f>
        <v>0</v>
      </c>
      <c r="K348" s="77" t="str">
        <f>CONCATENATE(G348,H348,I348,J348)</f>
        <v>0100</v>
      </c>
      <c r="L348" s="77" t="str">
        <f>IFERROR(VLOOKUP(K348,Sheet2!$A$20:$B$23,2,FALSE),"X")</f>
        <v>02</v>
      </c>
      <c r="M348" s="77" t="str">
        <f t="shared" si="430"/>
        <v>08804795School Turnaround Leaders Program</v>
      </c>
      <c r="O348" s="76" t="s">
        <v>160</v>
      </c>
      <c r="P348" s="45" t="s">
        <v>168</v>
      </c>
      <c r="Q348" s="78"/>
      <c r="R348" s="78"/>
      <c r="AU348" s="158" t="s">
        <v>336</v>
      </c>
      <c r="AV348" s="79"/>
      <c r="AW348" s="79">
        <v>7837</v>
      </c>
      <c r="BV348" s="79">
        <f>SUMIF($AX$2:$BU$2,$BV$2,$AX348:$BU348)</f>
        <v>0</v>
      </c>
      <c r="BW348" s="79">
        <f>SUMIF($AX$2:$BU$2,$BW$2,$AX348:$BU348)</f>
        <v>0</v>
      </c>
      <c r="BX348" s="79">
        <f>AT348+AV348+AW348+(BV348+BW348)</f>
        <v>7837</v>
      </c>
      <c r="DB348" s="79">
        <f>SUMIF($CD$2:$DA$2,$DB$2,$CD348:$DA348)</f>
        <v>0</v>
      </c>
      <c r="DC348" s="79">
        <f>SUMIF($CD$2:$DA$2,$DC$2,$CD348:$DA348)</f>
        <v>0</v>
      </c>
      <c r="DD348" s="79">
        <f>SUMIF($CD$2:$DA$2,$DD$2,$CD348:$DA348)</f>
        <v>0</v>
      </c>
      <c r="DE348" s="79">
        <f>BX348+CA348+BZ348+CC348+(DB348+DC348+DD348)</f>
        <v>7837</v>
      </c>
      <c r="EJ348" s="79">
        <f>SUMIF($DK$2:$EI$2,$EJ$2,$DK348:$EI348)</f>
        <v>0</v>
      </c>
      <c r="EK348" s="79">
        <f>SUMIF($DK$2:$EI$2,$EK$2,$DK348:$EI348)</f>
        <v>0</v>
      </c>
      <c r="EL348" s="79">
        <f>SUMIF($DK$2:$EI$2,$EL$2,$DK348:$EI348)</f>
        <v>0</v>
      </c>
      <c r="EM348" s="79">
        <f t="shared" si="431"/>
        <v>7837</v>
      </c>
      <c r="FI348" s="66">
        <f t="shared" si="432"/>
        <v>0</v>
      </c>
      <c r="FJ348" s="66">
        <f t="shared" si="433"/>
        <v>0</v>
      </c>
      <c r="FK348" s="66">
        <f t="shared" si="434"/>
        <v>0</v>
      </c>
      <c r="FL348" s="173">
        <f t="shared" si="435"/>
        <v>7837</v>
      </c>
    </row>
    <row r="349" spans="1:169" hidden="1" outlineLevel="1" x14ac:dyDescent="0.2">
      <c r="A349" s="88" t="s">
        <v>23</v>
      </c>
      <c r="B349" s="88" t="s">
        <v>416</v>
      </c>
      <c r="C349" s="88" t="s">
        <v>507</v>
      </c>
      <c r="D349" s="88" t="s">
        <v>539</v>
      </c>
      <c r="E349" s="88" t="s">
        <v>509</v>
      </c>
      <c r="F349" s="88" t="s">
        <v>715</v>
      </c>
      <c r="G349" s="77" t="str">
        <f>IF(S349&gt;0, "1", "0")</f>
        <v>0</v>
      </c>
      <c r="H349" s="77" t="str">
        <f>IF(AW349&gt;0, "1", "0")</f>
        <v>0</v>
      </c>
      <c r="I349" s="77" t="str">
        <f>IF(CC349&gt;0, "1", "0")</f>
        <v>1</v>
      </c>
      <c r="J349" s="77" t="str">
        <f>IF(DJ349&gt;0, "1", "0")</f>
        <v>0</v>
      </c>
      <c r="K349" s="77" t="str">
        <f>CONCATENATE(G349,H349,I349,J349)</f>
        <v>0010</v>
      </c>
      <c r="L349" s="77" t="str">
        <f>IFERROR(VLOOKUP(K349,Sheet2!$A$20:$B$23,2,FALSE),"X")</f>
        <v>03</v>
      </c>
      <c r="M349" s="77" t="str">
        <f t="shared" si="430"/>
        <v>08805255School Turnaround Leaders Program</v>
      </c>
      <c r="N349" s="88"/>
      <c r="O349" s="88" t="s">
        <v>160</v>
      </c>
      <c r="P349" s="94" t="s">
        <v>168</v>
      </c>
      <c r="Q349" s="91"/>
      <c r="R349" s="91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161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>
        <f>SUMIF($AX$2:$BU$2,$BV$2,$AX349:$BU349)</f>
        <v>0</v>
      </c>
      <c r="BW349" s="95">
        <f>SUMIF($AX$2:$BU$2,$BW$2,$AX349:$BU349)</f>
        <v>0</v>
      </c>
      <c r="BX349" s="95">
        <f>AT349+AV349+AW349+(BV349+BW349)</f>
        <v>0</v>
      </c>
      <c r="BY349" s="161"/>
      <c r="BZ349" s="95"/>
      <c r="CA349" s="95"/>
      <c r="CB349" s="95"/>
      <c r="CC349" s="95">
        <v>38617.199999999997</v>
      </c>
      <c r="CD349" s="95"/>
      <c r="CE349" s="95"/>
      <c r="CF349" s="95"/>
      <c r="CG349" s="95"/>
      <c r="CH349" s="95"/>
      <c r="CI349" s="95"/>
      <c r="CJ349" s="95"/>
      <c r="CK349" s="95"/>
      <c r="CL349" s="95"/>
      <c r="CM349" s="95"/>
      <c r="CN349" s="95"/>
      <c r="CO349" s="95"/>
      <c r="CP349" s="95"/>
      <c r="CQ349" s="95"/>
      <c r="CR349" s="95"/>
      <c r="CS349" s="95"/>
      <c r="CT349" s="95"/>
      <c r="CU349" s="95"/>
      <c r="CV349" s="95"/>
      <c r="CW349" s="95"/>
      <c r="CX349" s="95"/>
      <c r="CY349" s="95"/>
      <c r="CZ349" s="95"/>
      <c r="DA349" s="95"/>
      <c r="DB349" s="92">
        <f>SUMIF($CD$2:$DA$2,$DB$2,$CD349:$DA349)</f>
        <v>0</v>
      </c>
      <c r="DC349" s="92">
        <f>SUMIF($CD$2:$DA$2,$DC$2,$CD349:$DA349)</f>
        <v>0</v>
      </c>
      <c r="DD349" s="92">
        <f>SUMIF($CD$2:$DA$2,$DD$2,$CD349:$DA349)</f>
        <v>0</v>
      </c>
      <c r="DE349" s="92">
        <f>BX349+CA349+BZ349+CC349+(DB349+DC349+DD349)</f>
        <v>38617.199999999997</v>
      </c>
      <c r="DG349" s="44"/>
      <c r="DH349" s="44"/>
      <c r="DI349" s="44"/>
      <c r="DJ349" s="44"/>
      <c r="DK349" s="44"/>
      <c r="DL349" s="44"/>
      <c r="DM349" s="44"/>
      <c r="DN349" s="44"/>
      <c r="DO349" s="44"/>
      <c r="DP349" s="13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134"/>
      <c r="EH349" s="44"/>
      <c r="EI349" s="44"/>
      <c r="EJ349" s="79">
        <f>SUMIF($DK$2:$EI$2,$EJ$2,$DK349:$EI349)</f>
        <v>0</v>
      </c>
      <c r="EK349" s="79">
        <f>SUMIF($DK$2:$EI$2,$EK$2,$DK349:$EI349)</f>
        <v>0</v>
      </c>
      <c r="EL349" s="79">
        <f>SUMIF($DK$2:$EI$2,$EL$2,$DK349:$EI349)</f>
        <v>0</v>
      </c>
      <c r="EM349" s="79">
        <f t="shared" si="431"/>
        <v>38617.199999999997</v>
      </c>
      <c r="EX349" s="144">
        <v>-23872.94</v>
      </c>
      <c r="FI349" s="66">
        <f t="shared" si="432"/>
        <v>0</v>
      </c>
      <c r="FJ349" s="66">
        <f t="shared" si="433"/>
        <v>0</v>
      </c>
      <c r="FK349" s="66">
        <f t="shared" si="434"/>
        <v>-23872.94</v>
      </c>
      <c r="FL349" s="173">
        <f t="shared" si="435"/>
        <v>14744.259999999998</v>
      </c>
    </row>
    <row r="350" spans="1:169" s="118" customFormat="1" hidden="1" outlineLevel="1" x14ac:dyDescent="0.2">
      <c r="A350" s="118" t="s">
        <v>23</v>
      </c>
      <c r="B350" s="118" t="s">
        <v>416</v>
      </c>
      <c r="C350" s="118" t="s">
        <v>507</v>
      </c>
      <c r="D350" s="118" t="s">
        <v>539</v>
      </c>
      <c r="E350" s="118" t="s">
        <v>509</v>
      </c>
      <c r="G350" s="119"/>
      <c r="H350" s="119"/>
      <c r="I350" s="119"/>
      <c r="J350" s="119"/>
      <c r="K350" s="119"/>
      <c r="L350" s="119"/>
      <c r="M350" s="119" t="str">
        <f t="shared" si="430"/>
        <v>08805255School Turnaround Leaders Program</v>
      </c>
      <c r="O350" s="118" t="s">
        <v>160</v>
      </c>
      <c r="P350" s="125"/>
      <c r="Q350" s="121"/>
      <c r="R350" s="121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60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60"/>
      <c r="BZ350" s="124"/>
      <c r="CA350" s="124"/>
      <c r="CB350" s="124"/>
      <c r="CC350" s="124"/>
      <c r="CD350" s="124"/>
      <c r="CE350" s="124"/>
      <c r="CF350" s="124"/>
      <c r="CG350" s="124"/>
      <c r="CH350" s="124"/>
      <c r="CI350" s="124"/>
      <c r="CJ350" s="124"/>
      <c r="CK350" s="124"/>
      <c r="CL350" s="124"/>
      <c r="CM350" s="124"/>
      <c r="CN350" s="124"/>
      <c r="CO350" s="124"/>
      <c r="CP350" s="124"/>
      <c r="CQ350" s="124"/>
      <c r="CR350" s="124"/>
      <c r="CS350" s="124"/>
      <c r="CT350" s="124"/>
      <c r="CU350" s="124"/>
      <c r="CV350" s="124"/>
      <c r="CW350" s="124"/>
      <c r="CX350" s="124"/>
      <c r="CY350" s="124"/>
      <c r="CZ350" s="124"/>
      <c r="DA350" s="124"/>
      <c r="DB350" s="122"/>
      <c r="DC350" s="122"/>
      <c r="DD350" s="122"/>
      <c r="DE350" s="122"/>
      <c r="DF350" s="160"/>
      <c r="DG350" s="124"/>
      <c r="DH350" s="124"/>
      <c r="DI350" s="124"/>
      <c r="DJ350" s="124">
        <v>24000</v>
      </c>
      <c r="DK350" s="124"/>
      <c r="DL350" s="124"/>
      <c r="DM350" s="124"/>
      <c r="DN350" s="124"/>
      <c r="DO350" s="124"/>
      <c r="DP350" s="124"/>
      <c r="DQ350" s="124"/>
      <c r="DR350" s="124"/>
      <c r="DS350" s="124"/>
      <c r="DT350" s="124"/>
      <c r="DU350" s="124"/>
      <c r="DV350" s="124"/>
      <c r="DW350" s="124"/>
      <c r="DX350" s="124"/>
      <c r="DY350" s="124"/>
      <c r="DZ350" s="124"/>
      <c r="EA350" s="124"/>
      <c r="EB350" s="124"/>
      <c r="EC350" s="124"/>
      <c r="ED350" s="124"/>
      <c r="EE350" s="124"/>
      <c r="EF350" s="124"/>
      <c r="EG350" s="134"/>
      <c r="EH350" s="124"/>
      <c r="EI350" s="124"/>
      <c r="EJ350" s="122"/>
      <c r="EK350" s="122"/>
      <c r="EL350" s="122"/>
      <c r="EM350" s="122">
        <f t="shared" si="431"/>
        <v>24000</v>
      </c>
      <c r="EN350" s="122"/>
      <c r="EO350" s="122"/>
      <c r="EP350" s="122"/>
      <c r="EQ350" s="122">
        <v>5680</v>
      </c>
      <c r="ER350" s="122"/>
      <c r="ES350" s="126"/>
      <c r="ET350" s="126"/>
      <c r="EU350" s="126"/>
      <c r="EV350" s="66"/>
      <c r="EW350" s="126"/>
      <c r="EX350" s="126"/>
      <c r="EY350" s="126"/>
      <c r="EZ350" s="126"/>
      <c r="FA350" s="126"/>
      <c r="FB350" s="126"/>
      <c r="FC350" s="126"/>
      <c r="FD350" s="126"/>
      <c r="FE350" s="126"/>
      <c r="FF350" s="126"/>
      <c r="FG350" s="126"/>
      <c r="FH350" s="126"/>
      <c r="FI350" s="66">
        <f t="shared" si="432"/>
        <v>0</v>
      </c>
      <c r="FJ350" s="66">
        <f t="shared" si="433"/>
        <v>0</v>
      </c>
      <c r="FK350" s="66">
        <f t="shared" si="434"/>
        <v>0</v>
      </c>
      <c r="FL350" s="173">
        <f t="shared" si="435"/>
        <v>29680</v>
      </c>
      <c r="FM350" s="123"/>
    </row>
    <row r="351" spans="1:169" hidden="1" outlineLevel="1" x14ac:dyDescent="0.2">
      <c r="A351" s="76" t="s">
        <v>23</v>
      </c>
      <c r="B351" s="76" t="s">
        <v>435</v>
      </c>
      <c r="C351" s="76" t="s">
        <v>507</v>
      </c>
      <c r="D351" s="76" t="s">
        <v>518</v>
      </c>
      <c r="E351" s="76" t="s">
        <v>509</v>
      </c>
      <c r="F351" s="76" t="s">
        <v>715</v>
      </c>
      <c r="G351" s="77" t="str">
        <f>IF(S351&gt;0, "1", "0")</f>
        <v>0</v>
      </c>
      <c r="H351" s="77" t="str">
        <f>IF(AW351&gt;0, "1", "0")</f>
        <v>1</v>
      </c>
      <c r="I351" s="77" t="str">
        <f>IF(CC351&gt;0, "1", "0")</f>
        <v>0</v>
      </c>
      <c r="J351" s="77" t="str">
        <f>IF(DJ351&gt;0, "1", "0")</f>
        <v>0</v>
      </c>
      <c r="K351" s="77" t="str">
        <f>CONCATENATE(G351,H351,I351,J351)</f>
        <v>0100</v>
      </c>
      <c r="L351" s="77" t="str">
        <f>IFERROR(VLOOKUP(K351,Sheet2!$A$20:$B$23,2,FALSE),"X")</f>
        <v>02</v>
      </c>
      <c r="M351" s="77" t="str">
        <f t="shared" si="430"/>
        <v>08805448School Turnaround Leaders Program</v>
      </c>
      <c r="O351" s="76" t="s">
        <v>160</v>
      </c>
      <c r="P351" s="45" t="s">
        <v>168</v>
      </c>
      <c r="Q351" s="78"/>
      <c r="R351" s="78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158" t="s">
        <v>336</v>
      </c>
      <c r="AV351" s="44"/>
      <c r="AW351" s="44">
        <v>94153</v>
      </c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>
        <f>SUMIF($AX$2:$BU$2,$BV$2,$AX351:$BU351)</f>
        <v>0</v>
      </c>
      <c r="BW351" s="44">
        <f>SUMIF($AX$2:$BU$2,$BW$2,$AX351:$BU351)</f>
        <v>0</v>
      </c>
      <c r="BX351" s="44">
        <f>AT351+AV351+AW351+(BV351+BW351)</f>
        <v>94153</v>
      </c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>
        <v>-9702</v>
      </c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79">
        <f>SUMIF($CD$2:$DA$2,$DB$2,$CD351:$DA351)</f>
        <v>0</v>
      </c>
      <c r="DC351" s="79">
        <f>SUMIF($CD$2:$DA$2,$DC$2,$CD351:$DA351)</f>
        <v>-9702</v>
      </c>
      <c r="DD351" s="79">
        <f>SUMIF($CD$2:$DA$2,$DD$2,$CD351:$DA351)</f>
        <v>0</v>
      </c>
      <c r="DE351" s="79">
        <f>BX351+CA351+BZ351+CC351+(DB351+DC351+DD351)</f>
        <v>84451</v>
      </c>
      <c r="DG351" s="44"/>
      <c r="DH351" s="44"/>
      <c r="DI351" s="44"/>
      <c r="DJ351" s="44"/>
      <c r="DK351" s="44"/>
      <c r="DL351" s="44"/>
      <c r="DM351" s="44"/>
      <c r="DN351" s="44"/>
      <c r="DO351" s="44"/>
      <c r="DP351" s="13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134"/>
      <c r="EH351" s="44"/>
      <c r="EI351" s="44"/>
      <c r="EJ351" s="79">
        <f>SUMIF($DK$2:$EI$2,$EJ$2,$DK351:$EI351)</f>
        <v>0</v>
      </c>
      <c r="EK351" s="79">
        <f>SUMIF($DK$2:$EI$2,$EK$2,$DK351:$EI351)</f>
        <v>0</v>
      </c>
      <c r="EL351" s="79">
        <f>SUMIF($DK$2:$EI$2,$EL$2,$DK351:$EI351)</f>
        <v>0</v>
      </c>
      <c r="EM351" s="79">
        <f t="shared" si="431"/>
        <v>84451</v>
      </c>
      <c r="FI351" s="66">
        <f t="shared" si="432"/>
        <v>0</v>
      </c>
      <c r="FJ351" s="66">
        <f t="shared" si="433"/>
        <v>0</v>
      </c>
      <c r="FK351" s="66">
        <f t="shared" si="434"/>
        <v>0</v>
      </c>
      <c r="FL351" s="173">
        <f t="shared" si="435"/>
        <v>84451</v>
      </c>
    </row>
    <row r="352" spans="1:169" hidden="1" outlineLevel="1" x14ac:dyDescent="0.2">
      <c r="A352" s="76" t="s">
        <v>23</v>
      </c>
      <c r="B352" s="76" t="s">
        <v>436</v>
      </c>
      <c r="C352" s="76" t="s">
        <v>507</v>
      </c>
      <c r="D352" s="76" t="s">
        <v>519</v>
      </c>
      <c r="E352" s="76" t="s">
        <v>509</v>
      </c>
      <c r="F352" s="76" t="s">
        <v>715</v>
      </c>
      <c r="G352" s="77" t="str">
        <f>IF(S352&gt;0, "1", "0")</f>
        <v>0</v>
      </c>
      <c r="H352" s="77" t="str">
        <f>IF(AW352&gt;0, "1", "0")</f>
        <v>1</v>
      </c>
      <c r="I352" s="77" t="str">
        <f>IF(CC352&gt;0, "1", "0")</f>
        <v>0</v>
      </c>
      <c r="J352" s="77" t="str">
        <f>IF(DJ352&gt;0, "1", "0")</f>
        <v>0</v>
      </c>
      <c r="K352" s="77" t="str">
        <f>CONCATENATE(G352,H352,I352,J352)</f>
        <v>0100</v>
      </c>
      <c r="L352" s="77" t="str">
        <f>IFERROR(VLOOKUP(K352,Sheet2!$A$20:$B$23,2,FALSE),"X")</f>
        <v>02</v>
      </c>
      <c r="M352" s="77" t="str">
        <f t="shared" si="430"/>
        <v>08806239School Turnaround Leaders Program</v>
      </c>
      <c r="O352" s="76" t="s">
        <v>160</v>
      </c>
      <c r="P352" s="45" t="s">
        <v>168</v>
      </c>
      <c r="Q352" s="78"/>
      <c r="R352" s="78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158" t="s">
        <v>336</v>
      </c>
      <c r="AV352" s="44"/>
      <c r="AW352" s="44">
        <v>94153</v>
      </c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>
        <f>SUMIF($AX$2:$BU$2,$BV$2,$AX352:$BU352)</f>
        <v>0</v>
      </c>
      <c r="BW352" s="44">
        <f>SUMIF($AX$2:$BU$2,$BW$2,$AX352:$BU352)</f>
        <v>0</v>
      </c>
      <c r="BX352" s="44">
        <f>AT352+AV352+AW352+(BV352+BW352)</f>
        <v>94153</v>
      </c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>
        <v>-9702</v>
      </c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79">
        <f>SUMIF($CD$2:$DA$2,$DB$2,$CD352:$DA352)</f>
        <v>0</v>
      </c>
      <c r="DC352" s="79">
        <f>SUMIF($CD$2:$DA$2,$DC$2,$CD352:$DA352)</f>
        <v>-9702</v>
      </c>
      <c r="DD352" s="79">
        <f>SUMIF($CD$2:$DA$2,$DD$2,$CD352:$DA352)</f>
        <v>0</v>
      </c>
      <c r="DE352" s="79">
        <f>BX352+CA352+BZ352+CC352+(DB352+DC352+DD352)</f>
        <v>84451</v>
      </c>
      <c r="DG352" s="44"/>
      <c r="DH352" s="44"/>
      <c r="DI352" s="44"/>
      <c r="DJ352" s="44"/>
      <c r="DK352" s="44"/>
      <c r="DL352" s="44"/>
      <c r="DM352" s="44"/>
      <c r="DN352" s="44"/>
      <c r="DO352" s="44"/>
      <c r="DP352" s="13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134"/>
      <c r="EH352" s="44"/>
      <c r="EI352" s="44"/>
      <c r="EJ352" s="79">
        <f>SUMIF($DK$2:$EI$2,$EJ$2,$DK352:$EI352)</f>
        <v>0</v>
      </c>
      <c r="EK352" s="79">
        <f>SUMIF($DK$2:$EI$2,$EK$2,$DK352:$EI352)</f>
        <v>0</v>
      </c>
      <c r="EL352" s="79">
        <f>SUMIF($DK$2:$EI$2,$EL$2,$DK352:$EI352)</f>
        <v>0</v>
      </c>
      <c r="EM352" s="79">
        <f t="shared" si="431"/>
        <v>84451</v>
      </c>
      <c r="FI352" s="66">
        <f t="shared" si="432"/>
        <v>0</v>
      </c>
      <c r="FJ352" s="66">
        <f t="shared" si="433"/>
        <v>0</v>
      </c>
      <c r="FK352" s="66">
        <f t="shared" si="434"/>
        <v>0</v>
      </c>
      <c r="FL352" s="173">
        <f t="shared" si="435"/>
        <v>84451</v>
      </c>
    </row>
    <row r="353" spans="1:169" hidden="1" outlineLevel="1" x14ac:dyDescent="0.2">
      <c r="A353" s="76" t="s">
        <v>23</v>
      </c>
      <c r="B353" s="76" t="s">
        <v>437</v>
      </c>
      <c r="C353" s="76" t="s">
        <v>507</v>
      </c>
      <c r="D353" s="76" t="s">
        <v>520</v>
      </c>
      <c r="E353" s="76" t="s">
        <v>509</v>
      </c>
      <c r="F353" s="76" t="s">
        <v>715</v>
      </c>
      <c r="G353" s="77" t="str">
        <f>IF(S353&gt;0, "1", "0")</f>
        <v>0</v>
      </c>
      <c r="H353" s="77" t="str">
        <f>IF(AW353&gt;0, "1", "0")</f>
        <v>1</v>
      </c>
      <c r="I353" s="77" t="str">
        <f>IF(CC353&gt;0, "1", "0")</f>
        <v>0</v>
      </c>
      <c r="J353" s="77" t="str">
        <f>IF(DJ353&gt;0, "1", "0")</f>
        <v>0</v>
      </c>
      <c r="K353" s="77" t="str">
        <f>CONCATENATE(G353,H353,I353,J353)</f>
        <v>0100</v>
      </c>
      <c r="L353" s="77" t="str">
        <f>IFERROR(VLOOKUP(K353,Sheet2!$A$20:$B$23,2,FALSE),"X")</f>
        <v>02</v>
      </c>
      <c r="M353" s="77" t="str">
        <f t="shared" si="430"/>
        <v>08806508School Turnaround Leaders Program</v>
      </c>
      <c r="O353" s="76" t="s">
        <v>160</v>
      </c>
      <c r="P353" s="45" t="s">
        <v>168</v>
      </c>
      <c r="Q353" s="78"/>
      <c r="R353" s="78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158" t="s">
        <v>336</v>
      </c>
      <c r="AV353" s="44"/>
      <c r="AW353" s="44">
        <v>48510</v>
      </c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>
        <f>SUMIF($AX$2:$BU$2,$BV$2,$AX353:$BU353)</f>
        <v>0</v>
      </c>
      <c r="BW353" s="44">
        <f>SUMIF($AX$2:$BU$2,$BW$2,$AX353:$BU353)</f>
        <v>0</v>
      </c>
      <c r="BX353" s="44">
        <f>AT353+AV353+AW353+(BV353+BW353)</f>
        <v>48510</v>
      </c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79">
        <f>SUMIF($CD$2:$DA$2,$DB$2,$CD353:$DA353)</f>
        <v>0</v>
      </c>
      <c r="DC353" s="79">
        <f>SUMIF($CD$2:$DA$2,$DC$2,$CD353:$DA353)</f>
        <v>0</v>
      </c>
      <c r="DD353" s="79">
        <f>SUMIF($CD$2:$DA$2,$DD$2,$CD353:$DA353)</f>
        <v>0</v>
      </c>
      <c r="DE353" s="79">
        <f>BX353+CA353+BZ353+CC353+(DB353+DC353+DD353)</f>
        <v>48510</v>
      </c>
      <c r="DG353" s="44">
        <v>35983.200000000004</v>
      </c>
      <c r="DH353" s="44"/>
      <c r="DI353" s="44"/>
      <c r="DJ353" s="44"/>
      <c r="DK353" s="44"/>
      <c r="DL353" s="44"/>
      <c r="DM353" s="44"/>
      <c r="DN353" s="44"/>
      <c r="DO353" s="44"/>
      <c r="DP353" s="13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134"/>
      <c r="EH353" s="44"/>
      <c r="EI353" s="44"/>
      <c r="EJ353" s="79">
        <f>SUMIF($DK$2:$EI$2,$EJ$2,$DK353:$EI353)</f>
        <v>0</v>
      </c>
      <c r="EK353" s="79">
        <f>SUMIF($DK$2:$EI$2,$EK$2,$DK353:$EI353)</f>
        <v>0</v>
      </c>
      <c r="EL353" s="79">
        <f>SUMIF($DK$2:$EI$2,$EL$2,$DK353:$EI353)</f>
        <v>0</v>
      </c>
      <c r="EM353" s="79">
        <f t="shared" si="431"/>
        <v>84493.200000000012</v>
      </c>
      <c r="FI353" s="66">
        <f t="shared" si="432"/>
        <v>0</v>
      </c>
      <c r="FJ353" s="66">
        <f t="shared" si="433"/>
        <v>0</v>
      </c>
      <c r="FK353" s="66">
        <f t="shared" si="434"/>
        <v>0</v>
      </c>
      <c r="FL353" s="173">
        <f t="shared" si="435"/>
        <v>84493.200000000012</v>
      </c>
    </row>
    <row r="354" spans="1:169" s="118" customFormat="1" hidden="1" outlineLevel="1" x14ac:dyDescent="0.2">
      <c r="A354" s="118" t="s">
        <v>23</v>
      </c>
      <c r="B354" s="118" t="s">
        <v>419</v>
      </c>
      <c r="C354" s="118" t="s">
        <v>507</v>
      </c>
      <c r="D354" s="118" t="s">
        <v>536</v>
      </c>
      <c r="E354" s="118" t="s">
        <v>509</v>
      </c>
      <c r="G354" s="119"/>
      <c r="H354" s="119"/>
      <c r="I354" s="119"/>
      <c r="J354" s="119"/>
      <c r="K354" s="119"/>
      <c r="L354" s="119"/>
      <c r="M354" s="119" t="str">
        <f t="shared" si="430"/>
        <v>08806970School Turnaround Leaders Program</v>
      </c>
      <c r="O354" s="118" t="s">
        <v>160</v>
      </c>
      <c r="P354" s="125"/>
      <c r="Q354" s="121"/>
      <c r="R354" s="121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60"/>
      <c r="AV354" s="124"/>
      <c r="AW354" s="124"/>
      <c r="AX354" s="124"/>
      <c r="AY354" s="124"/>
      <c r="AZ354" s="124"/>
      <c r="BA354" s="124"/>
      <c r="BB354" s="124"/>
      <c r="BC354" s="124"/>
      <c r="BD354" s="124"/>
      <c r="BE354" s="124"/>
      <c r="BF354" s="124"/>
      <c r="BG354" s="124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60"/>
      <c r="BZ354" s="124"/>
      <c r="CA354" s="124"/>
      <c r="CB354" s="124"/>
      <c r="CC354" s="124"/>
      <c r="CD354" s="124"/>
      <c r="CE354" s="124"/>
      <c r="CF354" s="124"/>
      <c r="CG354" s="124"/>
      <c r="CH354" s="124"/>
      <c r="CI354" s="124"/>
      <c r="CJ354" s="124"/>
      <c r="CK354" s="124"/>
      <c r="CL354" s="124"/>
      <c r="CM354" s="124"/>
      <c r="CN354" s="124"/>
      <c r="CO354" s="124"/>
      <c r="CP354" s="124"/>
      <c r="CQ354" s="124"/>
      <c r="CR354" s="124"/>
      <c r="CS354" s="124"/>
      <c r="CT354" s="124"/>
      <c r="CU354" s="124"/>
      <c r="CV354" s="124"/>
      <c r="CW354" s="124"/>
      <c r="CX354" s="124"/>
      <c r="CY354" s="124"/>
      <c r="CZ354" s="124"/>
      <c r="DA354" s="124"/>
      <c r="DB354" s="122"/>
      <c r="DC354" s="122"/>
      <c r="DD354" s="122"/>
      <c r="DE354" s="122"/>
      <c r="DF354" s="160"/>
      <c r="DG354" s="124"/>
      <c r="DH354" s="124"/>
      <c r="DI354" s="124"/>
      <c r="DJ354" s="124">
        <v>12000</v>
      </c>
      <c r="DK354" s="124"/>
      <c r="DL354" s="124"/>
      <c r="DM354" s="124"/>
      <c r="DN354" s="124"/>
      <c r="DO354" s="124"/>
      <c r="DP354" s="124"/>
      <c r="DQ354" s="124"/>
      <c r="DR354" s="124"/>
      <c r="DS354" s="124"/>
      <c r="DT354" s="124"/>
      <c r="DU354" s="124"/>
      <c r="DV354" s="124"/>
      <c r="DW354" s="124"/>
      <c r="DX354" s="124"/>
      <c r="DY354" s="124"/>
      <c r="DZ354" s="124"/>
      <c r="EA354" s="124"/>
      <c r="EB354" s="124"/>
      <c r="EC354" s="124"/>
      <c r="ED354" s="124"/>
      <c r="EE354" s="124"/>
      <c r="EF354" s="124"/>
      <c r="EG354" s="134"/>
      <c r="EH354" s="124"/>
      <c r="EI354" s="124"/>
      <c r="EJ354" s="122"/>
      <c r="EK354" s="122"/>
      <c r="EL354" s="122"/>
      <c r="EM354" s="122">
        <f t="shared" si="431"/>
        <v>12000</v>
      </c>
      <c r="EN354" s="122"/>
      <c r="EO354" s="122"/>
      <c r="EP354" s="122"/>
      <c r="EQ354" s="122">
        <v>2840</v>
      </c>
      <c r="ER354" s="122"/>
      <c r="ES354" s="126"/>
      <c r="ET354" s="126"/>
      <c r="EU354" s="126"/>
      <c r="EV354" s="66"/>
      <c r="EW354" s="126"/>
      <c r="EX354" s="144">
        <v>-11937.01</v>
      </c>
      <c r="EY354" s="126"/>
      <c r="EZ354" s="126"/>
      <c r="FA354" s="126"/>
      <c r="FB354" s="126"/>
      <c r="FC354" s="126"/>
      <c r="FD354" s="126"/>
      <c r="FE354" s="126"/>
      <c r="FF354" s="126"/>
      <c r="FG354" s="126"/>
      <c r="FH354" s="126"/>
      <c r="FI354" s="66">
        <f t="shared" si="432"/>
        <v>0</v>
      </c>
      <c r="FJ354" s="66">
        <f t="shared" si="433"/>
        <v>0</v>
      </c>
      <c r="FK354" s="66">
        <f t="shared" si="434"/>
        <v>-11937.01</v>
      </c>
      <c r="FL354" s="173">
        <f t="shared" si="435"/>
        <v>2902.99</v>
      </c>
      <c r="FM354" s="123"/>
    </row>
    <row r="355" spans="1:169" s="118" customFormat="1" hidden="1" outlineLevel="1" x14ac:dyDescent="0.2">
      <c r="A355" s="118" t="s">
        <v>23</v>
      </c>
      <c r="B355" s="118" t="s">
        <v>421</v>
      </c>
      <c r="C355" s="118" t="s">
        <v>507</v>
      </c>
      <c r="D355" s="118" t="s">
        <v>546</v>
      </c>
      <c r="E355" s="118" t="s">
        <v>509</v>
      </c>
      <c r="G355" s="119"/>
      <c r="H355" s="119"/>
      <c r="I355" s="119"/>
      <c r="J355" s="119"/>
      <c r="K355" s="119"/>
      <c r="L355" s="119"/>
      <c r="M355" s="119" t="str">
        <f t="shared" si="430"/>
        <v>08807361School Turnaround Leaders Program</v>
      </c>
      <c r="O355" s="118" t="s">
        <v>160</v>
      </c>
      <c r="P355" s="125"/>
      <c r="Q355" s="121"/>
      <c r="R355" s="121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4"/>
      <c r="AL355" s="124"/>
      <c r="AM355" s="124"/>
      <c r="AN355" s="124"/>
      <c r="AO355" s="124"/>
      <c r="AP355" s="124"/>
      <c r="AQ355" s="124"/>
      <c r="AR355" s="124"/>
      <c r="AS355" s="124"/>
      <c r="AT355" s="124"/>
      <c r="AU355" s="160"/>
      <c r="AV355" s="124"/>
      <c r="AW355" s="124"/>
      <c r="AX355" s="124"/>
      <c r="AY355" s="124"/>
      <c r="AZ355" s="124"/>
      <c r="BA355" s="124"/>
      <c r="BB355" s="124"/>
      <c r="BC355" s="124"/>
      <c r="BD355" s="124"/>
      <c r="BE355" s="124"/>
      <c r="BF355" s="124"/>
      <c r="BG355" s="124"/>
      <c r="BH355" s="124"/>
      <c r="BI355" s="124"/>
      <c r="BJ355" s="124"/>
      <c r="BK355" s="124"/>
      <c r="BL355" s="124"/>
      <c r="BM355" s="124"/>
      <c r="BN355" s="124"/>
      <c r="BO355" s="124"/>
      <c r="BP355" s="124"/>
      <c r="BQ355" s="124"/>
      <c r="BR355" s="124"/>
      <c r="BS355" s="124"/>
      <c r="BT355" s="124"/>
      <c r="BU355" s="124"/>
      <c r="BV355" s="124"/>
      <c r="BW355" s="124"/>
      <c r="BX355" s="124"/>
      <c r="BY355" s="160"/>
      <c r="BZ355" s="124"/>
      <c r="CA355" s="124"/>
      <c r="CB355" s="124"/>
      <c r="CC355" s="124"/>
      <c r="CD355" s="124"/>
      <c r="CE355" s="124"/>
      <c r="CF355" s="124"/>
      <c r="CG355" s="124"/>
      <c r="CH355" s="124"/>
      <c r="CI355" s="124"/>
      <c r="CJ355" s="124"/>
      <c r="CK355" s="124"/>
      <c r="CL355" s="124"/>
      <c r="CM355" s="124"/>
      <c r="CN355" s="124"/>
      <c r="CO355" s="124"/>
      <c r="CP355" s="124"/>
      <c r="CQ355" s="124"/>
      <c r="CR355" s="124"/>
      <c r="CS355" s="124"/>
      <c r="CT355" s="124"/>
      <c r="CU355" s="124"/>
      <c r="CV355" s="124"/>
      <c r="CW355" s="124"/>
      <c r="CX355" s="124"/>
      <c r="CY355" s="124"/>
      <c r="CZ355" s="124"/>
      <c r="DA355" s="124"/>
      <c r="DB355" s="122"/>
      <c r="DC355" s="122"/>
      <c r="DD355" s="122"/>
      <c r="DE355" s="122"/>
      <c r="DF355" s="160"/>
      <c r="DG355" s="124"/>
      <c r="DH355" s="124"/>
      <c r="DI355" s="124"/>
      <c r="DJ355" s="124">
        <v>60000</v>
      </c>
      <c r="DK355" s="124"/>
      <c r="DL355" s="124"/>
      <c r="DM355" s="124"/>
      <c r="DN355" s="124"/>
      <c r="DO355" s="124"/>
      <c r="DP355" s="124"/>
      <c r="DQ355" s="124"/>
      <c r="DR355" s="124"/>
      <c r="DS355" s="124"/>
      <c r="DT355" s="124"/>
      <c r="DU355" s="124"/>
      <c r="DV355" s="124"/>
      <c r="DW355" s="124"/>
      <c r="DX355" s="124"/>
      <c r="DY355" s="124"/>
      <c r="DZ355" s="124"/>
      <c r="EA355" s="124"/>
      <c r="EB355" s="124"/>
      <c r="EC355" s="124"/>
      <c r="ED355" s="124"/>
      <c r="EE355" s="124"/>
      <c r="EF355" s="124"/>
      <c r="EG355" s="134"/>
      <c r="EH355" s="124"/>
      <c r="EI355" s="124"/>
      <c r="EJ355" s="122"/>
      <c r="EK355" s="122"/>
      <c r="EL355" s="122"/>
      <c r="EM355" s="122">
        <f t="shared" si="431"/>
        <v>60000</v>
      </c>
      <c r="EN355" s="122"/>
      <c r="EO355" s="122"/>
      <c r="EP355" s="122"/>
      <c r="EQ355" s="122">
        <v>40000</v>
      </c>
      <c r="ER355" s="122"/>
      <c r="ES355" s="126"/>
      <c r="ET355" s="126"/>
      <c r="EU355" s="126"/>
      <c r="EV355" s="66"/>
      <c r="EW355" s="126"/>
      <c r="EX355" s="126"/>
      <c r="EY355" s="126"/>
      <c r="EZ355" s="126"/>
      <c r="FA355" s="126"/>
      <c r="FB355" s="126"/>
      <c r="FC355" s="126"/>
      <c r="FD355" s="126"/>
      <c r="FE355" s="126"/>
      <c r="FF355" s="126"/>
      <c r="FG355" s="126"/>
      <c r="FH355" s="126"/>
      <c r="FI355" s="66">
        <f t="shared" si="432"/>
        <v>0</v>
      </c>
      <c r="FJ355" s="66">
        <f t="shared" si="433"/>
        <v>0</v>
      </c>
      <c r="FK355" s="66">
        <f t="shared" si="434"/>
        <v>0</v>
      </c>
      <c r="FL355" s="173">
        <f t="shared" si="435"/>
        <v>100000</v>
      </c>
      <c r="FM355" s="123"/>
    </row>
    <row r="356" spans="1:169" hidden="1" outlineLevel="1" x14ac:dyDescent="0.2">
      <c r="A356" s="76" t="s">
        <v>23</v>
      </c>
      <c r="B356" s="76" t="s">
        <v>422</v>
      </c>
      <c r="C356" s="76" t="s">
        <v>507</v>
      </c>
      <c r="D356" s="76" t="s">
        <v>511</v>
      </c>
      <c r="E356" s="76" t="s">
        <v>509</v>
      </c>
      <c r="F356" s="76" t="s">
        <v>715</v>
      </c>
      <c r="G356" s="77" t="str">
        <f>IF(S356&gt;0, "1", "0")</f>
        <v>0</v>
      </c>
      <c r="H356" s="77" t="str">
        <f>IF(AW356&gt;0, "1", "0")</f>
        <v>1</v>
      </c>
      <c r="I356" s="77" t="str">
        <f>IF(CC356&gt;0, "1", "0")</f>
        <v>0</v>
      </c>
      <c r="J356" s="77" t="str">
        <f>IF(DJ356&gt;0, "1", "0")</f>
        <v>0</v>
      </c>
      <c r="K356" s="77" t="str">
        <f>CONCATENATE(G356,H356,I356,J356)</f>
        <v>0100</v>
      </c>
      <c r="L356" s="77" t="str">
        <f>IFERROR(VLOOKUP(K356,Sheet2!$A$20:$B$23,2,FALSE),"X")</f>
        <v>02</v>
      </c>
      <c r="M356" s="77" t="str">
        <f t="shared" si="430"/>
        <v>08807694School Turnaround Leaders Program</v>
      </c>
      <c r="O356" s="76" t="s">
        <v>160</v>
      </c>
      <c r="P356" s="45" t="s">
        <v>168</v>
      </c>
      <c r="Q356" s="78"/>
      <c r="R356" s="78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158" t="s">
        <v>336</v>
      </c>
      <c r="AV356" s="44"/>
      <c r="AW356" s="44">
        <v>50105</v>
      </c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>
        <f>SUMIF($AX$2:$BU$2,$BV$2,$AX356:$BU356)</f>
        <v>0</v>
      </c>
      <c r="BW356" s="44">
        <f>SUMIF($AX$2:$BU$2,$BW$2,$AX356:$BU356)</f>
        <v>0</v>
      </c>
      <c r="BX356" s="44">
        <f>AT356+AV356+AW356+(BV356+BW356)</f>
        <v>50105</v>
      </c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>
        <v>-19404</v>
      </c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79">
        <f>SUMIF($CD$2:$DA$2,$DB$2,$CD356:$DA356)</f>
        <v>0</v>
      </c>
      <c r="DC356" s="79">
        <f>SUMIF($CD$2:$DA$2,$DC$2,$CD356:$DA356)</f>
        <v>-19404</v>
      </c>
      <c r="DD356" s="79">
        <f>SUMIF($CD$2:$DA$2,$DD$2,$CD356:$DA356)</f>
        <v>0</v>
      </c>
      <c r="DE356" s="79">
        <f>BX356+CA356+BZ356+CC356+(DB356+DC356+DD356)</f>
        <v>30701</v>
      </c>
      <c r="DG356" s="44"/>
      <c r="DH356" s="44"/>
      <c r="DI356" s="44"/>
      <c r="DJ356" s="44"/>
      <c r="DK356" s="44"/>
      <c r="DL356" s="44"/>
      <c r="DM356" s="44"/>
      <c r="DN356" s="44"/>
      <c r="DO356" s="44"/>
      <c r="DP356" s="13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134"/>
      <c r="EH356" s="44"/>
      <c r="EI356" s="44"/>
      <c r="EJ356" s="79">
        <f>SUMIF($DK$2:$EI$2,$EJ$2,$DK356:$EI356)</f>
        <v>0</v>
      </c>
      <c r="EK356" s="79">
        <f>SUMIF($DK$2:$EI$2,$EK$2,$DK356:$EI356)</f>
        <v>0</v>
      </c>
      <c r="EL356" s="79">
        <f>SUMIF($DK$2:$EI$2,$EL$2,$DK356:$EI356)</f>
        <v>0</v>
      </c>
      <c r="EM356" s="79">
        <f t="shared" si="431"/>
        <v>30701</v>
      </c>
      <c r="FI356" s="66">
        <f t="shared" si="432"/>
        <v>0</v>
      </c>
      <c r="FJ356" s="66">
        <f t="shared" si="433"/>
        <v>0</v>
      </c>
      <c r="FK356" s="66">
        <f t="shared" si="434"/>
        <v>0</v>
      </c>
      <c r="FL356" s="173">
        <f t="shared" si="435"/>
        <v>30701</v>
      </c>
    </row>
    <row r="357" spans="1:169" hidden="1" outlineLevel="1" x14ac:dyDescent="0.2">
      <c r="A357" s="76" t="s">
        <v>23</v>
      </c>
      <c r="B357" s="76" t="s">
        <v>70</v>
      </c>
      <c r="C357" s="76" t="s">
        <v>507</v>
      </c>
      <c r="D357" s="76" t="s">
        <v>143</v>
      </c>
      <c r="E357" s="76" t="s">
        <v>509</v>
      </c>
      <c r="F357" s="76" t="s">
        <v>715</v>
      </c>
      <c r="G357" s="77" t="str">
        <f>IF(S357&gt;0, "1", "0")</f>
        <v>0</v>
      </c>
      <c r="H357" s="77" t="str">
        <f>IF(AW357&gt;0, "1", "0")</f>
        <v>1</v>
      </c>
      <c r="I357" s="77" t="str">
        <f>IF(CC357&gt;0, "1", "0")</f>
        <v>0</v>
      </c>
      <c r="J357" s="77" t="str">
        <f>IF(DJ357&gt;0, "1", "0")</f>
        <v>0</v>
      </c>
      <c r="K357" s="77" t="str">
        <f>CONCATENATE(G357,H357,I357,J357)</f>
        <v>0100</v>
      </c>
      <c r="L357" s="77" t="str">
        <f>IFERROR(VLOOKUP(K357,Sheet2!$A$20:$B$23,2,FALSE),"X")</f>
        <v>02</v>
      </c>
      <c r="M357" s="77" t="str">
        <f t="shared" si="430"/>
        <v>08807698School Turnaround Leaders Program</v>
      </c>
      <c r="O357" s="76" t="s">
        <v>160</v>
      </c>
      <c r="P357" s="45" t="s">
        <v>168</v>
      </c>
      <c r="Q357" s="78"/>
      <c r="R357" s="78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158" t="s">
        <v>336</v>
      </c>
      <c r="AV357" s="44"/>
      <c r="AW357" s="44">
        <v>25053</v>
      </c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>
        <f>SUMIF($AX$2:$BU$2,$BV$2,$AX357:$BU357)</f>
        <v>0</v>
      </c>
      <c r="BW357" s="44">
        <f>SUMIF($AX$2:$BU$2,$BW$2,$AX357:$BU357)</f>
        <v>0</v>
      </c>
      <c r="BX357" s="44">
        <f>AT357+AV357+AW357+(BV357+BW357)</f>
        <v>25053</v>
      </c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>
        <v>-19404</v>
      </c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79">
        <f>SUMIF($CD$2:$DA$2,$DB$2,$CD357:$DA357)</f>
        <v>0</v>
      </c>
      <c r="DC357" s="79">
        <f>SUMIF($CD$2:$DA$2,$DC$2,$CD357:$DA357)</f>
        <v>-19404</v>
      </c>
      <c r="DD357" s="79">
        <f>SUMIF($CD$2:$DA$2,$DD$2,$CD357:$DA357)</f>
        <v>0</v>
      </c>
      <c r="DE357" s="79">
        <f>BX357+CA357+BZ357+CC357+(DB357+DC357+DD357)</f>
        <v>5649</v>
      </c>
      <c r="DG357" s="44"/>
      <c r="DH357" s="44"/>
      <c r="DI357" s="44"/>
      <c r="DJ357" s="44"/>
      <c r="DK357" s="44"/>
      <c r="DL357" s="44"/>
      <c r="DM357" s="44"/>
      <c r="DN357" s="44"/>
      <c r="DO357" s="44"/>
      <c r="DP357" s="13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134"/>
      <c r="EH357" s="44"/>
      <c r="EI357" s="44"/>
      <c r="EJ357" s="79">
        <f>SUMIF($DK$2:$EI$2,$EJ$2,$DK357:$EI357)</f>
        <v>0</v>
      </c>
      <c r="EK357" s="79">
        <f>SUMIF($DK$2:$EI$2,$EK$2,$DK357:$EI357)</f>
        <v>0</v>
      </c>
      <c r="EL357" s="79">
        <f>SUMIF($DK$2:$EI$2,$EL$2,$DK357:$EI357)</f>
        <v>0</v>
      </c>
      <c r="EM357" s="79">
        <f t="shared" si="431"/>
        <v>5649</v>
      </c>
      <c r="FI357" s="66">
        <f t="shared" si="432"/>
        <v>0</v>
      </c>
      <c r="FJ357" s="66">
        <f t="shared" si="433"/>
        <v>0</v>
      </c>
      <c r="FK357" s="66">
        <f t="shared" si="434"/>
        <v>0</v>
      </c>
      <c r="FL357" s="173">
        <f t="shared" si="435"/>
        <v>5649</v>
      </c>
    </row>
    <row r="358" spans="1:169" hidden="1" outlineLevel="1" x14ac:dyDescent="0.2">
      <c r="A358" s="88" t="s">
        <v>23</v>
      </c>
      <c r="B358" s="88" t="s">
        <v>71</v>
      </c>
      <c r="C358" s="88" t="s">
        <v>507</v>
      </c>
      <c r="D358" s="88" t="s">
        <v>144</v>
      </c>
      <c r="E358" s="88" t="s">
        <v>509</v>
      </c>
      <c r="F358" s="88" t="s">
        <v>715</v>
      </c>
      <c r="G358" s="77" t="str">
        <f>IF(S358&gt;0, "1", "0")</f>
        <v>0</v>
      </c>
      <c r="H358" s="77" t="str">
        <f>IF(AW358&gt;0, "1", "0")</f>
        <v>0</v>
      </c>
      <c r="I358" s="77" t="str">
        <f>IF(CC358&gt;0, "1", "0")</f>
        <v>1</v>
      </c>
      <c r="J358" s="77" t="str">
        <f>IF(DJ358&gt;0, "1", "0")</f>
        <v>0</v>
      </c>
      <c r="K358" s="77" t="str">
        <f>CONCATENATE(G358,H358,I358,J358)</f>
        <v>0010</v>
      </c>
      <c r="L358" s="77" t="str">
        <f>IFERROR(VLOOKUP(K358,Sheet2!$A$20:$B$23,2,FALSE),"X")</f>
        <v>03</v>
      </c>
      <c r="M358" s="77" t="str">
        <f t="shared" si="430"/>
        <v>08808006School Turnaround Leaders Program</v>
      </c>
      <c r="N358" s="88"/>
      <c r="O358" s="88" t="s">
        <v>160</v>
      </c>
      <c r="P358" s="94" t="s">
        <v>168</v>
      </c>
      <c r="Q358" s="91"/>
      <c r="R358" s="91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161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>
        <f>SUMIF($AX$2:$BU$2,$BV$2,$AX358:$BU358)</f>
        <v>0</v>
      </c>
      <c r="BW358" s="95">
        <f>SUMIF($AX$2:$BU$2,$BW$2,$AX358:$BU358)</f>
        <v>0</v>
      </c>
      <c r="BX358" s="95">
        <f>AT358+AV358+AW358+(BV358+BW358)</f>
        <v>0</v>
      </c>
      <c r="BY358" s="161"/>
      <c r="BZ358" s="95"/>
      <c r="CA358" s="95"/>
      <c r="CB358" s="95"/>
      <c r="CC358" s="95">
        <v>33253.699999999997</v>
      </c>
      <c r="CD358" s="95"/>
      <c r="CE358" s="95"/>
      <c r="CF358" s="95"/>
      <c r="CG358" s="95"/>
      <c r="CH358" s="95"/>
      <c r="CI358" s="95"/>
      <c r="CJ358" s="95"/>
      <c r="CK358" s="95"/>
      <c r="CL358" s="95"/>
      <c r="CM358" s="95"/>
      <c r="CN358" s="95"/>
      <c r="CO358" s="95"/>
      <c r="CP358" s="95"/>
      <c r="CQ358" s="95"/>
      <c r="CR358" s="95"/>
      <c r="CS358" s="95"/>
      <c r="CT358" s="95"/>
      <c r="CU358" s="95"/>
      <c r="CV358" s="95"/>
      <c r="CW358" s="95"/>
      <c r="CX358" s="95"/>
      <c r="CY358" s="95"/>
      <c r="CZ358" s="95"/>
      <c r="DA358" s="95"/>
      <c r="DB358" s="92">
        <f>SUMIF($CD$2:$DA$2,$DB$2,$CD358:$DA358)</f>
        <v>0</v>
      </c>
      <c r="DC358" s="92">
        <f>SUMIF($CD$2:$DA$2,$DC$2,$CD358:$DA358)</f>
        <v>0</v>
      </c>
      <c r="DD358" s="92">
        <f>SUMIF($CD$2:$DA$2,$DD$2,$CD358:$DA358)</f>
        <v>0</v>
      </c>
      <c r="DE358" s="92">
        <f>BX358+CA358+BZ358+CC358+(DB358+DC358+DD358)</f>
        <v>33253.699999999997</v>
      </c>
      <c r="DG358" s="44"/>
      <c r="DH358" s="44"/>
      <c r="DI358" s="44"/>
      <c r="DJ358" s="44"/>
      <c r="DK358" s="44"/>
      <c r="DL358" s="44"/>
      <c r="DM358" s="44"/>
      <c r="DN358" s="44"/>
      <c r="DO358" s="44"/>
      <c r="DP358" s="13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134"/>
      <c r="EH358" s="44"/>
      <c r="EI358" s="44"/>
      <c r="EJ358" s="79">
        <f>SUMIF($DK$2:$EI$2,$EJ$2,$DK358:$EI358)</f>
        <v>0</v>
      </c>
      <c r="EK358" s="79">
        <f>SUMIF($DK$2:$EI$2,$EK$2,$DK358:$EI358)</f>
        <v>0</v>
      </c>
      <c r="EL358" s="79">
        <f>SUMIF($DK$2:$EI$2,$EL$2,$DK358:$EI358)</f>
        <v>0</v>
      </c>
      <c r="EM358" s="79">
        <f t="shared" si="431"/>
        <v>33253.699999999997</v>
      </c>
      <c r="FI358" s="66">
        <f t="shared" si="432"/>
        <v>0</v>
      </c>
      <c r="FJ358" s="66">
        <f t="shared" si="433"/>
        <v>0</v>
      </c>
      <c r="FK358" s="66">
        <f t="shared" si="434"/>
        <v>0</v>
      </c>
      <c r="FL358" s="173">
        <f t="shared" si="435"/>
        <v>33253.699999999997</v>
      </c>
    </row>
    <row r="359" spans="1:169" hidden="1" outlineLevel="1" x14ac:dyDescent="0.2">
      <c r="A359" s="76" t="s">
        <v>23</v>
      </c>
      <c r="B359" s="76" t="s">
        <v>71</v>
      </c>
      <c r="C359" s="76" t="s">
        <v>507</v>
      </c>
      <c r="D359" s="76" t="s">
        <v>144</v>
      </c>
      <c r="E359" s="76" t="s">
        <v>509</v>
      </c>
      <c r="F359" s="76" t="s">
        <v>715</v>
      </c>
      <c r="G359" s="77" t="str">
        <f>IF(S359&gt;0, "1", "0")</f>
        <v>0</v>
      </c>
      <c r="H359" s="77" t="str">
        <f>IF(AW359&gt;0, "1", "0")</f>
        <v>1</v>
      </c>
      <c r="I359" s="77" t="str">
        <f>IF(CC359&gt;0, "1", "0")</f>
        <v>0</v>
      </c>
      <c r="J359" s="77" t="str">
        <f>IF(DJ359&gt;0, "1", "0")</f>
        <v>0</v>
      </c>
      <c r="K359" s="77" t="str">
        <f>CONCATENATE(G359,H359,I359,J359)</f>
        <v>0100</v>
      </c>
      <c r="L359" s="77" t="str">
        <f>IFERROR(VLOOKUP(K359,Sheet2!$A$20:$B$23,2,FALSE),"X")</f>
        <v>02</v>
      </c>
      <c r="M359" s="77" t="str">
        <f t="shared" si="430"/>
        <v>08808006School Turnaround Leaders Program</v>
      </c>
      <c r="O359" s="76" t="s">
        <v>160</v>
      </c>
      <c r="P359" s="45" t="s">
        <v>168</v>
      </c>
      <c r="Q359" s="78"/>
      <c r="R359" s="78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158" t="s">
        <v>336</v>
      </c>
      <c r="AV359" s="44"/>
      <c r="AW359" s="44">
        <v>25053</v>
      </c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>
        <f>SUMIF($AX$2:$BU$2,$BV$2,$AX359:$BU359)</f>
        <v>0</v>
      </c>
      <c r="BW359" s="44">
        <f>SUMIF($AX$2:$BU$2,$BW$2,$AX359:$BU359)</f>
        <v>0</v>
      </c>
      <c r="BX359" s="44">
        <f>AT359+AV359+AW359+(BV359+BW359)</f>
        <v>25053</v>
      </c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79">
        <f>SUMIF($CD$2:$DA$2,$DB$2,$CD359:$DA359)</f>
        <v>0</v>
      </c>
      <c r="DC359" s="79">
        <f>SUMIF($CD$2:$DA$2,$DC$2,$CD359:$DA359)</f>
        <v>0</v>
      </c>
      <c r="DD359" s="79">
        <f>SUMIF($CD$2:$DA$2,$DD$2,$CD359:$DA359)</f>
        <v>0</v>
      </c>
      <c r="DE359" s="79">
        <f>BX359+CA359+BZ359+CC359+(DB359+DC359+DD359)</f>
        <v>25053</v>
      </c>
      <c r="DG359" s="44"/>
      <c r="DH359" s="44"/>
      <c r="DI359" s="44"/>
      <c r="DJ359" s="44"/>
      <c r="DK359" s="44"/>
      <c r="DL359" s="44"/>
      <c r="DM359" s="44"/>
      <c r="DN359" s="44"/>
      <c r="DO359" s="44"/>
      <c r="DP359" s="13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134"/>
      <c r="EH359" s="44"/>
      <c r="EI359" s="44"/>
      <c r="EJ359" s="79">
        <f>SUMIF($DK$2:$EI$2,$EJ$2,$DK359:$EI359)</f>
        <v>0</v>
      </c>
      <c r="EK359" s="79">
        <f>SUMIF($DK$2:$EI$2,$EK$2,$DK359:$EI359)</f>
        <v>0</v>
      </c>
      <c r="EL359" s="79">
        <f>SUMIF($DK$2:$EI$2,$EL$2,$DK359:$EI359)</f>
        <v>0</v>
      </c>
      <c r="EM359" s="79">
        <f t="shared" si="431"/>
        <v>25053</v>
      </c>
      <c r="FI359" s="66">
        <f t="shared" si="432"/>
        <v>0</v>
      </c>
      <c r="FJ359" s="66">
        <f t="shared" si="433"/>
        <v>0</v>
      </c>
      <c r="FK359" s="66">
        <f t="shared" si="434"/>
        <v>0</v>
      </c>
      <c r="FL359" s="173">
        <f t="shared" si="435"/>
        <v>25053</v>
      </c>
    </row>
    <row r="360" spans="1:169" hidden="1" outlineLevel="1" x14ac:dyDescent="0.2">
      <c r="A360" s="76" t="s">
        <v>23</v>
      </c>
      <c r="B360" s="76" t="s">
        <v>398</v>
      </c>
      <c r="C360" s="76" t="s">
        <v>507</v>
      </c>
      <c r="D360" s="76" t="s">
        <v>521</v>
      </c>
      <c r="E360" s="76" t="s">
        <v>509</v>
      </c>
      <c r="F360" s="76" t="s">
        <v>715</v>
      </c>
      <c r="G360" s="77" t="str">
        <f>IF(S360&gt;0, "1", "0")</f>
        <v>0</v>
      </c>
      <c r="H360" s="77" t="str">
        <f>IF(AW360&gt;0, "1", "0")</f>
        <v>1</v>
      </c>
      <c r="I360" s="77" t="str">
        <f>IF(CC360&gt;0, "1", "0")</f>
        <v>0</v>
      </c>
      <c r="J360" s="77" t="str">
        <f>IF(DJ360&gt;0, "1", "0")</f>
        <v>0</v>
      </c>
      <c r="K360" s="77" t="str">
        <f>CONCATENATE(G360,H360,I360,J360)</f>
        <v>0100</v>
      </c>
      <c r="L360" s="77" t="str">
        <f>IFERROR(VLOOKUP(K360,Sheet2!$A$20:$B$23,2,FALSE),"X")</f>
        <v>02</v>
      </c>
      <c r="M360" s="77" t="str">
        <f t="shared" si="430"/>
        <v>08808145School Turnaround Leaders Program</v>
      </c>
      <c r="O360" s="76" t="s">
        <v>160</v>
      </c>
      <c r="P360" s="45" t="s">
        <v>168</v>
      </c>
      <c r="Q360" s="78"/>
      <c r="R360" s="78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158" t="s">
        <v>336</v>
      </c>
      <c r="AV360" s="44"/>
      <c r="AW360" s="44">
        <v>25053</v>
      </c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>
        <f>SUMIF($AX$2:$BU$2,$BV$2,$AX360:$BU360)</f>
        <v>0</v>
      </c>
      <c r="BW360" s="44">
        <f>SUMIF($AX$2:$BU$2,$BW$2,$AX360:$BU360)</f>
        <v>0</v>
      </c>
      <c r="BX360" s="44">
        <f>AT360+AV360+AW360+(BV360+BW360)</f>
        <v>25053</v>
      </c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>
        <v>-19404</v>
      </c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79">
        <f>SUMIF($CD$2:$DA$2,$DB$2,$CD360:$DA360)</f>
        <v>0</v>
      </c>
      <c r="DC360" s="79">
        <f>SUMIF($CD$2:$DA$2,$DC$2,$CD360:$DA360)</f>
        <v>-19404</v>
      </c>
      <c r="DD360" s="79">
        <f>SUMIF($CD$2:$DA$2,$DD$2,$CD360:$DA360)</f>
        <v>0</v>
      </c>
      <c r="DE360" s="79">
        <f>BX360+CA360+BZ360+CC360+(DB360+DC360+DD360)</f>
        <v>5649</v>
      </c>
      <c r="DG360" s="44"/>
      <c r="DH360" s="44"/>
      <c r="DI360" s="44"/>
      <c r="DJ360" s="44"/>
      <c r="DK360" s="44"/>
      <c r="DL360" s="44"/>
      <c r="DM360" s="44"/>
      <c r="DN360" s="44"/>
      <c r="DO360" s="44"/>
      <c r="DP360" s="13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134"/>
      <c r="EH360" s="44"/>
      <c r="EI360" s="44"/>
      <c r="EJ360" s="79">
        <f>SUMIF($DK$2:$EI$2,$EJ$2,$DK360:$EI360)</f>
        <v>0</v>
      </c>
      <c r="EK360" s="79">
        <f>SUMIF($DK$2:$EI$2,$EK$2,$DK360:$EI360)</f>
        <v>0</v>
      </c>
      <c r="EL360" s="79">
        <f>SUMIF($DK$2:$EI$2,$EL$2,$DK360:$EI360)</f>
        <v>0</v>
      </c>
      <c r="EM360" s="79">
        <f t="shared" si="431"/>
        <v>5649</v>
      </c>
      <c r="FI360" s="66">
        <f t="shared" si="432"/>
        <v>0</v>
      </c>
      <c r="FJ360" s="66">
        <f t="shared" si="433"/>
        <v>0</v>
      </c>
      <c r="FK360" s="66">
        <f t="shared" si="434"/>
        <v>0</v>
      </c>
      <c r="FL360" s="173">
        <f t="shared" si="435"/>
        <v>5649</v>
      </c>
    </row>
    <row r="361" spans="1:169" s="118" customFormat="1" hidden="1" outlineLevel="1" x14ac:dyDescent="0.2">
      <c r="A361" s="118" t="s">
        <v>23</v>
      </c>
      <c r="B361" s="119" t="s">
        <v>788</v>
      </c>
      <c r="C361" s="118" t="s">
        <v>507</v>
      </c>
      <c r="D361" s="118" t="s">
        <v>789</v>
      </c>
      <c r="E361" s="118" t="s">
        <v>509</v>
      </c>
      <c r="G361" s="119"/>
      <c r="H361" s="119"/>
      <c r="I361" s="119"/>
      <c r="J361" s="119"/>
      <c r="K361" s="119"/>
      <c r="L361" s="119"/>
      <c r="M361" s="119" t="str">
        <f t="shared" si="430"/>
        <v>08809693School Turnaround Leaders Program</v>
      </c>
      <c r="O361" s="119" t="s">
        <v>160</v>
      </c>
      <c r="P361" s="125"/>
      <c r="Q361" s="121"/>
      <c r="R361" s="121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24"/>
      <c r="AE361" s="124"/>
      <c r="AF361" s="124"/>
      <c r="AG361" s="124"/>
      <c r="AH361" s="124"/>
      <c r="AI361" s="124"/>
      <c r="AJ361" s="124"/>
      <c r="AK361" s="124"/>
      <c r="AL361" s="124"/>
      <c r="AM361" s="124"/>
      <c r="AN361" s="124"/>
      <c r="AO361" s="124"/>
      <c r="AP361" s="124"/>
      <c r="AQ361" s="124"/>
      <c r="AR361" s="124"/>
      <c r="AS361" s="124"/>
      <c r="AT361" s="124"/>
      <c r="AU361" s="160"/>
      <c r="AV361" s="124"/>
      <c r="AW361" s="124"/>
      <c r="AX361" s="124"/>
      <c r="AY361" s="124"/>
      <c r="AZ361" s="124"/>
      <c r="BA361" s="124"/>
      <c r="BB361" s="124"/>
      <c r="BC361" s="124"/>
      <c r="BD361" s="124"/>
      <c r="BE361" s="124"/>
      <c r="BF361" s="124"/>
      <c r="BG361" s="124"/>
      <c r="BH361" s="124"/>
      <c r="BI361" s="124"/>
      <c r="BJ361" s="124"/>
      <c r="BK361" s="124"/>
      <c r="BL361" s="124"/>
      <c r="BM361" s="124"/>
      <c r="BN361" s="124"/>
      <c r="BO361" s="124"/>
      <c r="BP361" s="124"/>
      <c r="BQ361" s="124"/>
      <c r="BR361" s="124"/>
      <c r="BS361" s="124"/>
      <c r="BT361" s="124"/>
      <c r="BU361" s="124"/>
      <c r="BV361" s="124"/>
      <c r="BW361" s="124"/>
      <c r="BX361" s="124"/>
      <c r="BY361" s="160"/>
      <c r="BZ361" s="124"/>
      <c r="CA361" s="124"/>
      <c r="CB361" s="124"/>
      <c r="CC361" s="124"/>
      <c r="CD361" s="124"/>
      <c r="CE361" s="124"/>
      <c r="CF361" s="124"/>
      <c r="CG361" s="124"/>
      <c r="CH361" s="124"/>
      <c r="CI361" s="124"/>
      <c r="CJ361" s="124"/>
      <c r="CK361" s="124"/>
      <c r="CL361" s="124"/>
      <c r="CM361" s="124"/>
      <c r="CN361" s="124"/>
      <c r="CO361" s="124"/>
      <c r="CP361" s="124"/>
      <c r="CQ361" s="124"/>
      <c r="CR361" s="124"/>
      <c r="CS361" s="124"/>
      <c r="CT361" s="124"/>
      <c r="CU361" s="124"/>
      <c r="CV361" s="124"/>
      <c r="CW361" s="124"/>
      <c r="CX361" s="124"/>
      <c r="CY361" s="124"/>
      <c r="CZ361" s="124"/>
      <c r="DA361" s="124"/>
      <c r="DB361" s="122"/>
      <c r="DC361" s="122"/>
      <c r="DD361" s="122"/>
      <c r="DE361" s="122"/>
      <c r="DF361" s="160"/>
      <c r="DG361" s="124"/>
      <c r="DH361" s="124"/>
      <c r="DI361" s="124"/>
      <c r="DJ361" s="124">
        <v>12000</v>
      </c>
      <c r="DK361" s="124"/>
      <c r="DL361" s="124"/>
      <c r="DM361" s="124"/>
      <c r="DN361" s="124"/>
      <c r="DO361" s="124"/>
      <c r="DP361" s="124"/>
      <c r="DQ361" s="124"/>
      <c r="DR361" s="124"/>
      <c r="DS361" s="124"/>
      <c r="DT361" s="124"/>
      <c r="DU361" s="124"/>
      <c r="DV361" s="124"/>
      <c r="DW361" s="124"/>
      <c r="DX361" s="124"/>
      <c r="DY361" s="124"/>
      <c r="DZ361" s="124"/>
      <c r="EA361" s="124"/>
      <c r="EB361" s="124"/>
      <c r="EC361" s="124"/>
      <c r="ED361" s="124"/>
      <c r="EE361" s="124"/>
      <c r="EF361" s="124"/>
      <c r="EG361" s="134"/>
      <c r="EH361" s="124"/>
      <c r="EI361" s="124"/>
      <c r="EJ361" s="122"/>
      <c r="EK361" s="122"/>
      <c r="EL361" s="122"/>
      <c r="EM361" s="122">
        <f t="shared" si="431"/>
        <v>12000</v>
      </c>
      <c r="EN361" s="122"/>
      <c r="EO361" s="122"/>
      <c r="EP361" s="122"/>
      <c r="EQ361" s="122">
        <v>2840</v>
      </c>
      <c r="ER361" s="122"/>
      <c r="ES361" s="126"/>
      <c r="ET361" s="126"/>
      <c r="EU361" s="126"/>
      <c r="EV361" s="66"/>
      <c r="EW361" s="126"/>
      <c r="EX361" s="144">
        <v>-11937.01</v>
      </c>
      <c r="EY361" s="126"/>
      <c r="EZ361" s="126"/>
      <c r="FA361" s="126"/>
      <c r="FB361" s="126"/>
      <c r="FC361" s="126"/>
      <c r="FD361" s="126"/>
      <c r="FE361" s="126"/>
      <c r="FF361" s="126"/>
      <c r="FG361" s="126"/>
      <c r="FH361" s="126"/>
      <c r="FI361" s="66">
        <f t="shared" si="432"/>
        <v>0</v>
      </c>
      <c r="FJ361" s="66">
        <f t="shared" si="433"/>
        <v>0</v>
      </c>
      <c r="FK361" s="66">
        <f t="shared" si="434"/>
        <v>-11937.01</v>
      </c>
      <c r="FL361" s="173">
        <f t="shared" si="435"/>
        <v>2902.99</v>
      </c>
      <c r="FM361" s="123"/>
    </row>
    <row r="362" spans="1:169" s="118" customFormat="1" hidden="1" outlineLevel="1" x14ac:dyDescent="0.2">
      <c r="A362" s="118" t="s">
        <v>23</v>
      </c>
      <c r="B362" s="119" t="s">
        <v>790</v>
      </c>
      <c r="C362" s="118" t="s">
        <v>507</v>
      </c>
      <c r="D362" s="118" t="s">
        <v>791</v>
      </c>
      <c r="E362" s="118" t="s">
        <v>509</v>
      </c>
      <c r="G362" s="119"/>
      <c r="H362" s="119"/>
      <c r="I362" s="119"/>
      <c r="J362" s="119"/>
      <c r="K362" s="119"/>
      <c r="L362" s="119"/>
      <c r="M362" s="119" t="str">
        <f t="shared" si="430"/>
        <v>08809702School Turnaround Leaders Program</v>
      </c>
      <c r="O362" s="119" t="s">
        <v>160</v>
      </c>
      <c r="P362" s="125"/>
      <c r="Q362" s="121"/>
      <c r="R362" s="121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  <c r="AD362" s="124"/>
      <c r="AE362" s="124"/>
      <c r="AF362" s="124"/>
      <c r="AG362" s="124"/>
      <c r="AH362" s="124"/>
      <c r="AI362" s="124"/>
      <c r="AJ362" s="124"/>
      <c r="AK362" s="124"/>
      <c r="AL362" s="124"/>
      <c r="AM362" s="124"/>
      <c r="AN362" s="124"/>
      <c r="AO362" s="124"/>
      <c r="AP362" s="124"/>
      <c r="AQ362" s="124"/>
      <c r="AR362" s="124"/>
      <c r="AS362" s="124"/>
      <c r="AT362" s="124"/>
      <c r="AU362" s="160"/>
      <c r="AV362" s="124"/>
      <c r="AW362" s="124"/>
      <c r="AX362" s="124"/>
      <c r="AY362" s="124"/>
      <c r="AZ362" s="124"/>
      <c r="BA362" s="124"/>
      <c r="BB362" s="124"/>
      <c r="BC362" s="124"/>
      <c r="BD362" s="124"/>
      <c r="BE362" s="124"/>
      <c r="BF362" s="124"/>
      <c r="BG362" s="124"/>
      <c r="BH362" s="124"/>
      <c r="BI362" s="124"/>
      <c r="BJ362" s="124"/>
      <c r="BK362" s="124"/>
      <c r="BL362" s="124"/>
      <c r="BM362" s="124"/>
      <c r="BN362" s="124"/>
      <c r="BO362" s="124"/>
      <c r="BP362" s="124"/>
      <c r="BQ362" s="124"/>
      <c r="BR362" s="124"/>
      <c r="BS362" s="124"/>
      <c r="BT362" s="124"/>
      <c r="BU362" s="124"/>
      <c r="BV362" s="124"/>
      <c r="BW362" s="124"/>
      <c r="BX362" s="124"/>
      <c r="BY362" s="160"/>
      <c r="BZ362" s="124"/>
      <c r="CA362" s="124"/>
      <c r="CB362" s="124"/>
      <c r="CC362" s="124"/>
      <c r="CD362" s="124"/>
      <c r="CE362" s="124"/>
      <c r="CF362" s="124"/>
      <c r="CG362" s="124"/>
      <c r="CH362" s="124"/>
      <c r="CI362" s="124"/>
      <c r="CJ362" s="124"/>
      <c r="CK362" s="124"/>
      <c r="CL362" s="124"/>
      <c r="CM362" s="124"/>
      <c r="CN362" s="124"/>
      <c r="CO362" s="124"/>
      <c r="CP362" s="124"/>
      <c r="CQ362" s="124"/>
      <c r="CR362" s="124"/>
      <c r="CS362" s="124"/>
      <c r="CT362" s="124"/>
      <c r="CU362" s="124"/>
      <c r="CV362" s="124"/>
      <c r="CW362" s="124"/>
      <c r="CX362" s="124"/>
      <c r="CY362" s="124"/>
      <c r="CZ362" s="124"/>
      <c r="DA362" s="124"/>
      <c r="DB362" s="122"/>
      <c r="DC362" s="122"/>
      <c r="DD362" s="122"/>
      <c r="DE362" s="122"/>
      <c r="DF362" s="160"/>
      <c r="DG362" s="124"/>
      <c r="DH362" s="124"/>
      <c r="DI362" s="124"/>
      <c r="DJ362" s="124">
        <v>12000</v>
      </c>
      <c r="DK362" s="124"/>
      <c r="DL362" s="124"/>
      <c r="DM362" s="124"/>
      <c r="DN362" s="124"/>
      <c r="DO362" s="124"/>
      <c r="DP362" s="124"/>
      <c r="DQ362" s="124"/>
      <c r="DR362" s="124"/>
      <c r="DS362" s="124"/>
      <c r="DT362" s="124"/>
      <c r="DU362" s="124"/>
      <c r="DV362" s="124"/>
      <c r="DW362" s="124"/>
      <c r="DX362" s="124"/>
      <c r="DY362" s="124"/>
      <c r="DZ362" s="124"/>
      <c r="EA362" s="124"/>
      <c r="EB362" s="124"/>
      <c r="EC362" s="124"/>
      <c r="ED362" s="124"/>
      <c r="EE362" s="124"/>
      <c r="EF362" s="124"/>
      <c r="EG362" s="134"/>
      <c r="EH362" s="124"/>
      <c r="EI362" s="124"/>
      <c r="EJ362" s="122"/>
      <c r="EK362" s="122"/>
      <c r="EL362" s="122"/>
      <c r="EM362" s="122">
        <f t="shared" si="431"/>
        <v>12000</v>
      </c>
      <c r="EN362" s="122"/>
      <c r="EO362" s="122"/>
      <c r="EP362" s="122"/>
      <c r="EQ362" s="122">
        <v>2840</v>
      </c>
      <c r="ER362" s="122"/>
      <c r="ES362" s="126"/>
      <c r="ET362" s="126"/>
      <c r="EU362" s="126"/>
      <c r="EV362" s="66"/>
      <c r="EW362" s="126"/>
      <c r="EX362" s="144">
        <v>-11937.01</v>
      </c>
      <c r="EY362" s="126"/>
      <c r="EZ362" s="126"/>
      <c r="FA362" s="126"/>
      <c r="FB362" s="126"/>
      <c r="FC362" s="126"/>
      <c r="FD362" s="126"/>
      <c r="FE362" s="126"/>
      <c r="FF362" s="126"/>
      <c r="FG362" s="126"/>
      <c r="FH362" s="126"/>
      <c r="FI362" s="66">
        <f t="shared" si="432"/>
        <v>0</v>
      </c>
      <c r="FJ362" s="66">
        <f t="shared" si="433"/>
        <v>0</v>
      </c>
      <c r="FK362" s="66">
        <f t="shared" si="434"/>
        <v>-11937.01</v>
      </c>
      <c r="FL362" s="173">
        <f t="shared" si="435"/>
        <v>2902.99</v>
      </c>
      <c r="FM362" s="123"/>
    </row>
    <row r="363" spans="1:169" hidden="1" outlineLevel="1" x14ac:dyDescent="0.2">
      <c r="A363" s="76" t="s">
        <v>23</v>
      </c>
      <c r="B363" s="76" t="s">
        <v>34</v>
      </c>
      <c r="C363" s="76" t="s">
        <v>507</v>
      </c>
      <c r="D363" s="76" t="s">
        <v>111</v>
      </c>
      <c r="E363" s="76" t="s">
        <v>509</v>
      </c>
      <c r="F363" s="76" t="s">
        <v>715</v>
      </c>
      <c r="G363" s="77" t="str">
        <f t="shared" ref="G363:G368" si="436">IF(S363&gt;0, "1", "0")</f>
        <v>0</v>
      </c>
      <c r="H363" s="77" t="str">
        <f t="shared" ref="H363:H368" si="437">IF(AW363&gt;0, "1", "0")</f>
        <v>0</v>
      </c>
      <c r="I363" s="77" t="str">
        <f t="shared" ref="I363:I368" si="438">IF(CC363&gt;0, "1", "0")</f>
        <v>0</v>
      </c>
      <c r="J363" s="77" t="str">
        <f t="shared" ref="J363:J368" si="439">IF(DJ363&gt;0, "1", "0")</f>
        <v>0</v>
      </c>
      <c r="K363" s="77" t="str">
        <f t="shared" ref="K363:K368" si="440">CONCATENATE(G363,H363,I363,J363)</f>
        <v>0000</v>
      </c>
      <c r="L363" s="77" t="str">
        <f>IFERROR(VLOOKUP(K363,Sheet2!$A$20:$B$23,2,FALSE),"X")</f>
        <v>X</v>
      </c>
      <c r="M363" s="77" t="str">
        <f t="shared" si="430"/>
        <v>0880N/ASchool Turnaround Leaders Program</v>
      </c>
      <c r="O363" s="76" t="s">
        <v>160</v>
      </c>
      <c r="P363" s="45" t="s">
        <v>168</v>
      </c>
      <c r="Q363" s="78"/>
      <c r="R363" s="78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>
        <f>SUMIF($AX$2:$BU$2,$BV$2,$AX363:$BU363)</f>
        <v>0</v>
      </c>
      <c r="BW363" s="44">
        <f>SUMIF($AX$2:$BU$2,$BW$2,$AX363:$BU363)</f>
        <v>0</v>
      </c>
      <c r="BX363" s="44">
        <f>AT363+AV363+AW363+(BV363+BW363)</f>
        <v>0</v>
      </c>
      <c r="BY363" s="158" t="s">
        <v>341</v>
      </c>
      <c r="BZ363" s="44"/>
      <c r="CA363" s="44">
        <v>421897</v>
      </c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79">
        <f>SUMIF($CD$2:$DA$2,$DB$2,$CD363:$DA363)</f>
        <v>0</v>
      </c>
      <c r="DC363" s="79">
        <f>SUMIF($CD$2:$DA$2,$DC$2,$CD363:$DA363)</f>
        <v>0</v>
      </c>
      <c r="DD363" s="79">
        <f>SUMIF($CD$2:$DA$2,$DD$2,$CD363:$DA363)</f>
        <v>0</v>
      </c>
      <c r="DE363" s="79">
        <f>BX363+CA363+BZ363+CC363+(DB363+DC363+DD363)</f>
        <v>421897</v>
      </c>
      <c r="DG363" s="44"/>
      <c r="DH363" s="44"/>
      <c r="DI363" s="44"/>
      <c r="DJ363" s="44"/>
      <c r="DK363" s="44"/>
      <c r="DL363" s="44"/>
      <c r="DM363" s="44"/>
      <c r="DN363" s="44"/>
      <c r="DO363" s="44"/>
      <c r="DP363" s="13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>
        <f>-(79098.57+172786.54)</f>
        <v>-251885.11000000002</v>
      </c>
      <c r="EB363" s="44"/>
      <c r="EC363" s="44"/>
      <c r="ED363" s="44"/>
      <c r="EE363" s="44"/>
      <c r="EF363" s="44"/>
      <c r="EG363" s="134"/>
      <c r="EH363" s="44"/>
      <c r="EI363" s="44"/>
      <c r="EJ363" s="79">
        <f>SUMIF($DK$2:$EI$2,$EJ$2,$DK363:$EI363)</f>
        <v>0</v>
      </c>
      <c r="EK363" s="79">
        <f>SUMIF($DK$2:$EI$2,$EK$2,$DK363:$EI363)</f>
        <v>-251885.11000000002</v>
      </c>
      <c r="EL363" s="79">
        <f>SUMIF($DK$2:$EI$2,$EL$2,$DK363:$EI363)</f>
        <v>0</v>
      </c>
      <c r="EM363" s="79">
        <f t="shared" si="431"/>
        <v>170011.88999999998</v>
      </c>
      <c r="EX363" s="144">
        <f>-35399.1+5899.85+48077.86</f>
        <v>18578.61</v>
      </c>
      <c r="FI363" s="66">
        <f t="shared" si="432"/>
        <v>0</v>
      </c>
      <c r="FJ363" s="66">
        <f t="shared" si="433"/>
        <v>0</v>
      </c>
      <c r="FK363" s="66">
        <f t="shared" si="434"/>
        <v>18578.61</v>
      </c>
      <c r="FL363" s="173">
        <f t="shared" si="435"/>
        <v>188590.5</v>
      </c>
    </row>
    <row r="364" spans="1:169" hidden="1" outlineLevel="1" x14ac:dyDescent="0.2">
      <c r="A364" s="76" t="s">
        <v>431</v>
      </c>
      <c r="B364" s="76" t="s">
        <v>438</v>
      </c>
      <c r="C364" s="76" t="s">
        <v>508</v>
      </c>
      <c r="D364" s="76" t="s">
        <v>522</v>
      </c>
      <c r="E364" s="76" t="s">
        <v>509</v>
      </c>
      <c r="F364" s="76" t="s">
        <v>715</v>
      </c>
      <c r="G364" s="77" t="str">
        <f t="shared" si="436"/>
        <v>0</v>
      </c>
      <c r="H364" s="77" t="str">
        <f t="shared" si="437"/>
        <v>1</v>
      </c>
      <c r="I364" s="77" t="str">
        <f t="shared" si="438"/>
        <v>0</v>
      </c>
      <c r="J364" s="77" t="str">
        <f t="shared" si="439"/>
        <v>0</v>
      </c>
      <c r="K364" s="77" t="str">
        <f t="shared" si="440"/>
        <v>0100</v>
      </c>
      <c r="L364" s="77" t="str">
        <f>IFERROR(VLOOKUP(K364,Sheet2!$A$20:$B$23,2,FALSE),"X")</f>
        <v>02</v>
      </c>
      <c r="M364" s="77" t="str">
        <f t="shared" si="430"/>
        <v>09003863School Turnaround Leaders Program</v>
      </c>
      <c r="O364" s="76" t="s">
        <v>160</v>
      </c>
      <c r="P364" s="45" t="s">
        <v>168</v>
      </c>
      <c r="Q364" s="78"/>
      <c r="R364" s="78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158" t="s">
        <v>336</v>
      </c>
      <c r="AV364" s="44"/>
      <c r="AW364" s="44">
        <v>139010</v>
      </c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>
        <v>-118735</v>
      </c>
      <c r="BU364" s="44"/>
      <c r="BV364" s="44">
        <f>SUMIF($AX$2:$BU$2,$BV$2,$AX364:$BU364)</f>
        <v>-118735</v>
      </c>
      <c r="BW364" s="44">
        <f>SUMIF($AX$2:$BU$2,$BW$2,$AX364:$BU364)</f>
        <v>0</v>
      </c>
      <c r="BX364" s="44">
        <f>AT364+AV364+AW364+(BV364+BW364)</f>
        <v>20275</v>
      </c>
      <c r="BZ364" s="44"/>
      <c r="CA364" s="44"/>
      <c r="CB364" s="44"/>
      <c r="CC364" s="44"/>
      <c r="CD364" s="44">
        <v>-20275</v>
      </c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79">
        <f>SUMIF($CD$2:$DA$2,$DB$2,$CD364:$DA364)</f>
        <v>-20275</v>
      </c>
      <c r="DC364" s="79">
        <f>SUMIF($CD$2:$DA$2,$DC$2,$CD364:$DA364)</f>
        <v>0</v>
      </c>
      <c r="DD364" s="79">
        <f>SUMIF($CD$2:$DA$2,$DD$2,$CD364:$DA364)</f>
        <v>0</v>
      </c>
      <c r="DE364" s="79">
        <f>BX364+CA364+BZ364+CC364+(DB364+DC364+DD364)</f>
        <v>0</v>
      </c>
      <c r="DG364" s="44"/>
      <c r="DH364" s="44"/>
      <c r="DI364" s="44"/>
      <c r="DJ364" s="44"/>
      <c r="DK364" s="44"/>
      <c r="DL364" s="44"/>
      <c r="DM364" s="44"/>
      <c r="DN364" s="44"/>
      <c r="DO364" s="44"/>
      <c r="DP364" s="13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134"/>
      <c r="EH364" s="44"/>
      <c r="EI364" s="44"/>
      <c r="EJ364" s="79">
        <f>SUMIF($DK$2:$EI$2,$EJ$2,$DK364:$EI364)</f>
        <v>0</v>
      </c>
      <c r="EK364" s="79">
        <f>SUMIF($DK$2:$EI$2,$EK$2,$DK364:$EI364)</f>
        <v>0</v>
      </c>
      <c r="EL364" s="79">
        <f>SUMIF($DK$2:$EI$2,$EL$2,$DK364:$EI364)</f>
        <v>0</v>
      </c>
      <c r="EM364" s="79">
        <f t="shared" si="431"/>
        <v>0</v>
      </c>
      <c r="FI364" s="66">
        <f t="shared" si="432"/>
        <v>0</v>
      </c>
      <c r="FJ364" s="66">
        <f t="shared" si="433"/>
        <v>0</v>
      </c>
      <c r="FK364" s="66">
        <f t="shared" si="434"/>
        <v>0</v>
      </c>
      <c r="FL364" s="173">
        <f t="shared" si="435"/>
        <v>0</v>
      </c>
    </row>
    <row r="365" spans="1:169" hidden="1" outlineLevel="1" x14ac:dyDescent="0.2">
      <c r="A365" s="76" t="s">
        <v>25</v>
      </c>
      <c r="B365" s="76" t="s">
        <v>34</v>
      </c>
      <c r="C365" s="76" t="s">
        <v>103</v>
      </c>
      <c r="D365" s="76" t="s">
        <v>111</v>
      </c>
      <c r="E365" s="76" t="s">
        <v>509</v>
      </c>
      <c r="F365" s="76" t="s">
        <v>715</v>
      </c>
      <c r="G365" s="77" t="str">
        <f t="shared" si="436"/>
        <v>0</v>
      </c>
      <c r="H365" s="77" t="str">
        <f t="shared" si="437"/>
        <v>1</v>
      </c>
      <c r="I365" s="77" t="str">
        <f t="shared" si="438"/>
        <v>0</v>
      </c>
      <c r="J365" s="77" t="str">
        <f t="shared" si="439"/>
        <v>0</v>
      </c>
      <c r="K365" s="77" t="str">
        <f t="shared" si="440"/>
        <v>0100</v>
      </c>
      <c r="L365" s="77" t="str">
        <f>IFERROR(VLOOKUP(K365,Sheet2!$A$20:$B$23,2,FALSE),"X")</f>
        <v>02</v>
      </c>
      <c r="M365" s="77" t="str">
        <f t="shared" si="430"/>
        <v>1420N/ASchool Turnaround Leaders Program</v>
      </c>
      <c r="O365" s="76" t="s">
        <v>160</v>
      </c>
      <c r="P365" s="45" t="s">
        <v>168</v>
      </c>
      <c r="Q365" s="78"/>
      <c r="R365" s="78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158" t="s">
        <v>336</v>
      </c>
      <c r="AV365" s="44"/>
      <c r="AW365" s="44">
        <v>362794</v>
      </c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>
        <f>SUMIF($AX$2:$BU$2,$BV$2,$AX365:$BU365)</f>
        <v>0</v>
      </c>
      <c r="BW365" s="44">
        <f>SUMIF($AX$2:$BU$2,$BW$2,$AX365:$BU365)</f>
        <v>0</v>
      </c>
      <c r="BX365" s="44">
        <f>AT365+AV365+AW365+(BV365+BW365)</f>
        <v>362794</v>
      </c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>
        <v>-246350.06</v>
      </c>
      <c r="CM365" s="44"/>
      <c r="CN365" s="44"/>
      <c r="CO365" s="44"/>
      <c r="CP365" s="44">
        <v>-116443.94</v>
      </c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79">
        <f>SUMIF($CD$2:$DA$2,$DB$2,$CD365:$DA365)</f>
        <v>0</v>
      </c>
      <c r="DC365" s="79">
        <f>SUMIF($CD$2:$DA$2,$DC$2,$CD365:$DA365)</f>
        <v>-362794</v>
      </c>
      <c r="DD365" s="79">
        <f>SUMIF($CD$2:$DA$2,$DD$2,$CD365:$DA365)</f>
        <v>0</v>
      </c>
      <c r="DE365" s="79">
        <f>BX365+CA365+BZ365+CC365+(DB365+DC365+DD365)</f>
        <v>0</v>
      </c>
      <c r="DG365" s="44"/>
      <c r="DH365" s="44"/>
      <c r="DI365" s="44"/>
      <c r="DJ365" s="44"/>
      <c r="DK365" s="44"/>
      <c r="DL365" s="44"/>
      <c r="DM365" s="44"/>
      <c r="DN365" s="44"/>
      <c r="DO365" s="44"/>
      <c r="DP365" s="13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134"/>
      <c r="EH365" s="44"/>
      <c r="EI365" s="44"/>
      <c r="EJ365" s="79">
        <f>SUMIF($DK$2:$EI$2,$EJ$2,$DK365:$EI365)</f>
        <v>0</v>
      </c>
      <c r="EK365" s="79">
        <f>SUMIF($DK$2:$EI$2,$EK$2,$DK365:$EI365)</f>
        <v>0</v>
      </c>
      <c r="EL365" s="79">
        <f>SUMIF($DK$2:$EI$2,$EL$2,$DK365:$EI365)</f>
        <v>0</v>
      </c>
      <c r="EM365" s="79">
        <f t="shared" si="431"/>
        <v>0</v>
      </c>
      <c r="FI365" s="66">
        <f t="shared" si="432"/>
        <v>0</v>
      </c>
      <c r="FJ365" s="66">
        <f t="shared" si="433"/>
        <v>0</v>
      </c>
      <c r="FK365" s="66">
        <f t="shared" si="434"/>
        <v>0</v>
      </c>
      <c r="FL365" s="173">
        <f t="shared" si="435"/>
        <v>0</v>
      </c>
    </row>
    <row r="366" spans="1:169" s="118" customFormat="1" hidden="1" outlineLevel="1" x14ac:dyDescent="0.2">
      <c r="A366" s="119" t="s">
        <v>381</v>
      </c>
      <c r="B366" s="119" t="s">
        <v>800</v>
      </c>
      <c r="C366" s="118" t="s">
        <v>465</v>
      </c>
      <c r="D366" s="118" t="s">
        <v>503</v>
      </c>
      <c r="E366" s="118" t="s">
        <v>509</v>
      </c>
      <c r="F366" s="118" t="s">
        <v>716</v>
      </c>
      <c r="G366" s="119" t="str">
        <f t="shared" si="436"/>
        <v>0</v>
      </c>
      <c r="H366" s="119" t="str">
        <f t="shared" si="437"/>
        <v>0</v>
      </c>
      <c r="I366" s="119" t="str">
        <f t="shared" si="438"/>
        <v>0</v>
      </c>
      <c r="J366" s="119" t="str">
        <f t="shared" si="439"/>
        <v>1</v>
      </c>
      <c r="K366" s="119" t="str">
        <f t="shared" si="440"/>
        <v>0001</v>
      </c>
      <c r="L366" s="119" t="str">
        <f>IFERROR(VLOOKUP(K366,Sheet2!$A$20:$B$23,2,FALSE),"X")</f>
        <v>04</v>
      </c>
      <c r="M366" s="119" t="str">
        <f t="shared" si="430"/>
        <v>20001450School Turnaround Leaders Program</v>
      </c>
      <c r="O366" s="118" t="s">
        <v>160</v>
      </c>
      <c r="P366" s="125"/>
      <c r="Q366" s="121"/>
      <c r="R366" s="121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  <c r="AE366" s="124"/>
      <c r="AF366" s="124"/>
      <c r="AG366" s="124"/>
      <c r="AH366" s="124"/>
      <c r="AI366" s="124"/>
      <c r="AJ366" s="124"/>
      <c r="AK366" s="124"/>
      <c r="AL366" s="124"/>
      <c r="AM366" s="124"/>
      <c r="AN366" s="124"/>
      <c r="AO366" s="124"/>
      <c r="AP366" s="124"/>
      <c r="AQ366" s="124"/>
      <c r="AR366" s="124"/>
      <c r="AS366" s="124"/>
      <c r="AT366" s="124"/>
      <c r="AU366" s="160"/>
      <c r="AV366" s="124"/>
      <c r="AW366" s="124"/>
      <c r="AX366" s="124"/>
      <c r="AY366" s="124"/>
      <c r="AZ366" s="124"/>
      <c r="BA366" s="124"/>
      <c r="BB366" s="124"/>
      <c r="BC366" s="124"/>
      <c r="BD366" s="124"/>
      <c r="BE366" s="124"/>
      <c r="BF366" s="124"/>
      <c r="BG366" s="124"/>
      <c r="BH366" s="124"/>
      <c r="BI366" s="124"/>
      <c r="BJ366" s="124"/>
      <c r="BK366" s="124"/>
      <c r="BL366" s="124"/>
      <c r="BM366" s="124"/>
      <c r="BN366" s="124"/>
      <c r="BO366" s="124"/>
      <c r="BP366" s="124"/>
      <c r="BQ366" s="124"/>
      <c r="BR366" s="124"/>
      <c r="BS366" s="124"/>
      <c r="BT366" s="124"/>
      <c r="BU366" s="124"/>
      <c r="BV366" s="124"/>
      <c r="BW366" s="124"/>
      <c r="BX366" s="124"/>
      <c r="BY366" s="160"/>
      <c r="BZ366" s="124"/>
      <c r="CA366" s="124"/>
      <c r="CB366" s="124"/>
      <c r="CC366" s="124"/>
      <c r="CD366" s="124"/>
      <c r="CE366" s="124"/>
      <c r="CF366" s="124"/>
      <c r="CG366" s="124"/>
      <c r="CH366" s="124"/>
      <c r="CI366" s="124"/>
      <c r="CJ366" s="124"/>
      <c r="CK366" s="124"/>
      <c r="CL366" s="124"/>
      <c r="CM366" s="124"/>
      <c r="CN366" s="124"/>
      <c r="CO366" s="124"/>
      <c r="CP366" s="124"/>
      <c r="CQ366" s="124"/>
      <c r="CR366" s="124"/>
      <c r="CS366" s="124"/>
      <c r="CT366" s="124"/>
      <c r="CU366" s="124"/>
      <c r="CV366" s="124"/>
      <c r="CW366" s="124"/>
      <c r="CX366" s="124"/>
      <c r="CY366" s="124"/>
      <c r="CZ366" s="124"/>
      <c r="DA366" s="124"/>
      <c r="DB366" s="122"/>
      <c r="DC366" s="122"/>
      <c r="DD366" s="122"/>
      <c r="DE366" s="122"/>
      <c r="DF366" s="160"/>
      <c r="DG366" s="124"/>
      <c r="DH366" s="124"/>
      <c r="DI366" s="124"/>
      <c r="DJ366" s="124">
        <v>23000</v>
      </c>
      <c r="DK366" s="124"/>
      <c r="DL366" s="124"/>
      <c r="DM366" s="124"/>
      <c r="DN366" s="124"/>
      <c r="DO366" s="124"/>
      <c r="DP366" s="124"/>
      <c r="DQ366" s="124"/>
      <c r="DR366" s="124"/>
      <c r="DS366" s="124"/>
      <c r="DT366" s="124"/>
      <c r="DU366" s="124"/>
      <c r="DV366" s="124"/>
      <c r="DW366" s="124"/>
      <c r="DX366" s="124"/>
      <c r="DY366" s="124"/>
      <c r="DZ366" s="124"/>
      <c r="EA366" s="124"/>
      <c r="EB366" s="124"/>
      <c r="EC366" s="124"/>
      <c r="ED366" s="124"/>
      <c r="EE366" s="124"/>
      <c r="EF366" s="124"/>
      <c r="EG366" s="134"/>
      <c r="EH366" s="124"/>
      <c r="EI366" s="124"/>
      <c r="EJ366" s="122"/>
      <c r="EK366" s="122"/>
      <c r="EL366" s="122"/>
      <c r="EM366" s="122">
        <f t="shared" si="431"/>
        <v>23000</v>
      </c>
      <c r="EN366" s="122"/>
      <c r="EO366" s="122"/>
      <c r="EP366" s="122"/>
      <c r="EQ366" s="122"/>
      <c r="ER366" s="122"/>
      <c r="ES366" s="126"/>
      <c r="ET366" s="126"/>
      <c r="EU366" s="126"/>
      <c r="EV366" s="66"/>
      <c r="EW366" s="144">
        <v>-23000</v>
      </c>
      <c r="EX366" s="126"/>
      <c r="EY366" s="126"/>
      <c r="EZ366" s="126"/>
      <c r="FA366" s="126"/>
      <c r="FB366" s="126"/>
      <c r="FC366" s="126"/>
      <c r="FD366" s="126"/>
      <c r="FE366" s="126"/>
      <c r="FF366" s="126"/>
      <c r="FG366" s="126"/>
      <c r="FH366" s="126"/>
      <c r="FI366" s="66">
        <f t="shared" si="432"/>
        <v>0</v>
      </c>
      <c r="FJ366" s="66">
        <f t="shared" si="433"/>
        <v>0</v>
      </c>
      <c r="FK366" s="66">
        <f t="shared" si="434"/>
        <v>-23000</v>
      </c>
      <c r="FL366" s="173">
        <f t="shared" si="435"/>
        <v>0</v>
      </c>
      <c r="FM366" s="123"/>
    </row>
    <row r="367" spans="1:169" hidden="1" outlineLevel="1" x14ac:dyDescent="0.2">
      <c r="A367" s="88" t="s">
        <v>381</v>
      </c>
      <c r="B367" s="88" t="s">
        <v>17</v>
      </c>
      <c r="C367" s="88" t="s">
        <v>465</v>
      </c>
      <c r="D367" s="88" t="s">
        <v>683</v>
      </c>
      <c r="E367" s="88" t="s">
        <v>509</v>
      </c>
      <c r="F367" s="88" t="s">
        <v>715</v>
      </c>
      <c r="G367" s="77" t="str">
        <f t="shared" si="436"/>
        <v>0</v>
      </c>
      <c r="H367" s="77" t="str">
        <f t="shared" si="437"/>
        <v>0</v>
      </c>
      <c r="I367" s="77" t="str">
        <f t="shared" si="438"/>
        <v>1</v>
      </c>
      <c r="J367" s="77" t="str">
        <f t="shared" si="439"/>
        <v>0</v>
      </c>
      <c r="K367" s="77" t="str">
        <f t="shared" si="440"/>
        <v>0010</v>
      </c>
      <c r="L367" s="77" t="str">
        <f>IFERROR(VLOOKUP(K367,Sheet2!$A$20:$B$23,2,FALSE),"X")</f>
        <v>03</v>
      </c>
      <c r="M367" s="77" t="str">
        <f t="shared" si="430"/>
        <v>20001520School Turnaround Leaders Program</v>
      </c>
      <c r="N367" s="88"/>
      <c r="O367" s="88" t="s">
        <v>160</v>
      </c>
      <c r="P367" s="94" t="s">
        <v>168</v>
      </c>
      <c r="Q367" s="91"/>
      <c r="R367" s="91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161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>
        <f>SUMIF($AX$2:$BU$2,$BV$2,$AX367:$BU367)</f>
        <v>0</v>
      </c>
      <c r="BW367" s="95">
        <f>SUMIF($AX$2:$BU$2,$BW$2,$AX367:$BU367)</f>
        <v>0</v>
      </c>
      <c r="BX367" s="95">
        <f>AT367+AV367+AW367+(BV367+BW367)</f>
        <v>0</v>
      </c>
      <c r="BY367" s="161"/>
      <c r="BZ367" s="95"/>
      <c r="CA367" s="95"/>
      <c r="CB367" s="95"/>
      <c r="CC367" s="95">
        <v>31780.268</v>
      </c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/>
      <c r="CO367" s="95"/>
      <c r="CP367" s="95"/>
      <c r="CQ367" s="95"/>
      <c r="CR367" s="95"/>
      <c r="CS367" s="95"/>
      <c r="CT367" s="95"/>
      <c r="CU367" s="95"/>
      <c r="CV367" s="95"/>
      <c r="CW367" s="95"/>
      <c r="CX367" s="95"/>
      <c r="CY367" s="95"/>
      <c r="CZ367" s="95"/>
      <c r="DA367" s="95"/>
      <c r="DB367" s="92">
        <f>SUMIF($CD$2:$DA$2,$DB$2,$CD367:$DA367)</f>
        <v>0</v>
      </c>
      <c r="DC367" s="92">
        <f>SUMIF($CD$2:$DA$2,$DC$2,$CD367:$DA367)</f>
        <v>0</v>
      </c>
      <c r="DD367" s="92">
        <f>SUMIF($CD$2:$DA$2,$DD$2,$CD367:$DA367)</f>
        <v>0</v>
      </c>
      <c r="DE367" s="92">
        <f>BX367+CA367+BZ367+CC367+(DB367+DC367+DD367)</f>
        <v>31780.268</v>
      </c>
      <c r="DG367" s="44"/>
      <c r="DH367" s="44"/>
      <c r="DI367" s="44"/>
      <c r="DJ367" s="44"/>
      <c r="DK367" s="44"/>
      <c r="DL367" s="44"/>
      <c r="DM367" s="44"/>
      <c r="DN367" s="44"/>
      <c r="DO367" s="44"/>
      <c r="DP367" s="134"/>
      <c r="DQ367" s="44"/>
      <c r="DR367" s="44"/>
      <c r="DS367" s="44"/>
      <c r="DT367" s="44"/>
      <c r="DU367" s="44"/>
      <c r="DV367" s="44"/>
      <c r="DW367" s="44"/>
      <c r="DX367" s="44"/>
      <c r="DY367" s="44">
        <v>-1430</v>
      </c>
      <c r="DZ367" s="44"/>
      <c r="EA367" s="44">
        <v>-12870</v>
      </c>
      <c r="EB367" s="44"/>
      <c r="EC367" s="44">
        <f>-(3910.4+1957.42)</f>
        <v>-5867.82</v>
      </c>
      <c r="ED367" s="44"/>
      <c r="EE367" s="44">
        <v>-8042.83</v>
      </c>
      <c r="EF367" s="44"/>
      <c r="EG367" s="134"/>
      <c r="EH367" s="44"/>
      <c r="EI367" s="44"/>
      <c r="EJ367" s="79">
        <f>SUMIF($DK$2:$EI$2,$EJ$2,$DK367:$EI367)</f>
        <v>0</v>
      </c>
      <c r="EK367" s="79">
        <f>SUMIF($DK$2:$EI$2,$EK$2,$DK367:$EI367)</f>
        <v>-28210.65</v>
      </c>
      <c r="EL367" s="79">
        <f>SUMIF($DK$2:$EI$2,$EL$2,$DK367:$EI367)</f>
        <v>0</v>
      </c>
      <c r="EM367" s="79">
        <f t="shared" si="431"/>
        <v>3569.6179999999986</v>
      </c>
      <c r="EY367" s="144">
        <v>-3380.14</v>
      </c>
      <c r="FI367" s="66">
        <f t="shared" si="432"/>
        <v>0</v>
      </c>
      <c r="FJ367" s="66">
        <f t="shared" si="433"/>
        <v>0</v>
      </c>
      <c r="FK367" s="66">
        <f t="shared" si="434"/>
        <v>-3380.14</v>
      </c>
      <c r="FL367" s="173">
        <f t="shared" si="435"/>
        <v>189.4779999999987</v>
      </c>
    </row>
    <row r="368" spans="1:169" hidden="1" outlineLevel="1" x14ac:dyDescent="0.2">
      <c r="A368" s="88" t="s">
        <v>224</v>
      </c>
      <c r="B368" s="88" t="s">
        <v>226</v>
      </c>
      <c r="C368" s="88" t="s">
        <v>225</v>
      </c>
      <c r="D368" s="88" t="s">
        <v>227</v>
      </c>
      <c r="E368" s="88" t="s">
        <v>509</v>
      </c>
      <c r="F368" s="88" t="s">
        <v>715</v>
      </c>
      <c r="G368" s="77" t="str">
        <f t="shared" si="436"/>
        <v>0</v>
      </c>
      <c r="H368" s="77" t="str">
        <f t="shared" si="437"/>
        <v>0</v>
      </c>
      <c r="I368" s="77" t="str">
        <f t="shared" si="438"/>
        <v>1</v>
      </c>
      <c r="J368" s="77" t="str">
        <f t="shared" si="439"/>
        <v>0</v>
      </c>
      <c r="K368" s="77" t="str">
        <f t="shared" si="440"/>
        <v>0010</v>
      </c>
      <c r="L368" s="77" t="str">
        <f>IFERROR(VLOOKUP(K368,Sheet2!$A$20:$B$23,2,FALSE),"X")</f>
        <v>03</v>
      </c>
      <c r="M368" s="77" t="str">
        <f t="shared" si="430"/>
        <v>21809149School Turnaround Leaders Program</v>
      </c>
      <c r="N368" s="88"/>
      <c r="O368" s="88" t="s">
        <v>160</v>
      </c>
      <c r="P368" s="94" t="s">
        <v>168</v>
      </c>
      <c r="Q368" s="91"/>
      <c r="R368" s="91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161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>
        <f>SUMIF($AX$2:$BU$2,$BV$2,$AX368:$BU368)</f>
        <v>0</v>
      </c>
      <c r="BW368" s="95">
        <f>SUMIF($AX$2:$BU$2,$BW$2,$AX368:$BU368)</f>
        <v>0</v>
      </c>
      <c r="BX368" s="95">
        <f>AT368+AV368+AW368+(BV368+BW368)</f>
        <v>0</v>
      </c>
      <c r="BY368" s="161"/>
      <c r="BZ368" s="95"/>
      <c r="CA368" s="95"/>
      <c r="CB368" s="95"/>
      <c r="CC368" s="95">
        <v>148512</v>
      </c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/>
      <c r="CO368" s="95"/>
      <c r="CP368" s="95"/>
      <c r="CQ368" s="95"/>
      <c r="CR368" s="95"/>
      <c r="CS368" s="95"/>
      <c r="CT368" s="95"/>
      <c r="CU368" s="95"/>
      <c r="CV368" s="95"/>
      <c r="CW368" s="95"/>
      <c r="CX368" s="95"/>
      <c r="CY368" s="95"/>
      <c r="CZ368" s="95"/>
      <c r="DA368" s="95"/>
      <c r="DB368" s="92">
        <f>SUMIF($CD$2:$DA$2,$DB$2,$CD368:$DA368)</f>
        <v>0</v>
      </c>
      <c r="DC368" s="92">
        <f>SUMIF($CD$2:$DA$2,$DC$2,$CD368:$DA368)</f>
        <v>0</v>
      </c>
      <c r="DD368" s="92">
        <f>SUMIF($CD$2:$DA$2,$DD$2,$CD368:$DA368)</f>
        <v>0</v>
      </c>
      <c r="DE368" s="92">
        <f>BX368+CA368+BZ368+CC368+(DB368+DC368+DD368)</f>
        <v>148512</v>
      </c>
      <c r="DG368" s="44"/>
      <c r="DH368" s="44"/>
      <c r="DI368" s="44"/>
      <c r="DJ368" s="44"/>
      <c r="DK368" s="44"/>
      <c r="DL368" s="44"/>
      <c r="DM368" s="44"/>
      <c r="DN368" s="44"/>
      <c r="DO368" s="44"/>
      <c r="DP368" s="134"/>
      <c r="DQ368" s="44"/>
      <c r="DR368" s="44"/>
      <c r="DS368" s="44"/>
      <c r="DT368" s="44"/>
      <c r="DU368" s="44"/>
      <c r="DV368" s="44"/>
      <c r="DW368" s="44"/>
      <c r="DX368" s="44"/>
      <c r="DY368" s="44">
        <f>-(18000+20000)</f>
        <v>-38000</v>
      </c>
      <c r="DZ368" s="44"/>
      <c r="EA368" s="44"/>
      <c r="EB368" s="44"/>
      <c r="EC368" s="44"/>
      <c r="ED368" s="44"/>
      <c r="EE368" s="44"/>
      <c r="EF368" s="44"/>
      <c r="EG368" s="134"/>
      <c r="EH368" s="44"/>
      <c r="EI368" s="44"/>
      <c r="EJ368" s="79">
        <f>SUMIF($DK$2:$EI$2,$EJ$2,$DK368:$EI368)</f>
        <v>0</v>
      </c>
      <c r="EK368" s="79">
        <f>SUMIF($DK$2:$EI$2,$EK$2,$DK368:$EI368)</f>
        <v>-38000</v>
      </c>
      <c r="EL368" s="79">
        <f>SUMIF($DK$2:$EI$2,$EL$2,$DK368:$EI368)</f>
        <v>0</v>
      </c>
      <c r="EM368" s="79">
        <f t="shared" si="431"/>
        <v>110512</v>
      </c>
      <c r="FC368" s="224">
        <v>-16248.08</v>
      </c>
      <c r="FD368" s="66">
        <v>-76248.08</v>
      </c>
      <c r="FI368" s="66">
        <f t="shared" si="432"/>
        <v>0</v>
      </c>
      <c r="FJ368" s="66">
        <f t="shared" si="433"/>
        <v>0</v>
      </c>
      <c r="FK368" s="66">
        <f t="shared" si="434"/>
        <v>-92496.16</v>
      </c>
      <c r="FL368" s="173">
        <f t="shared" si="435"/>
        <v>18015.839999999997</v>
      </c>
    </row>
    <row r="369" spans="1:169" s="118" customFormat="1" hidden="1" outlineLevel="1" x14ac:dyDescent="0.2">
      <c r="A369" s="118" t="s">
        <v>19</v>
      </c>
      <c r="B369" s="119" t="s">
        <v>668</v>
      </c>
      <c r="C369" s="118" t="s">
        <v>98</v>
      </c>
      <c r="D369" s="118" t="s">
        <v>678</v>
      </c>
      <c r="E369" s="118" t="s">
        <v>509</v>
      </c>
      <c r="G369" s="119"/>
      <c r="H369" s="119"/>
      <c r="I369" s="119"/>
      <c r="J369" s="119"/>
      <c r="K369" s="119"/>
      <c r="L369" s="119"/>
      <c r="M369" s="119" t="str">
        <f t="shared" si="430"/>
        <v>26907481School Turnaround Leaders Program</v>
      </c>
      <c r="O369" s="119" t="s">
        <v>160</v>
      </c>
      <c r="P369" s="125"/>
      <c r="Q369" s="121"/>
      <c r="R369" s="121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4"/>
      <c r="AP369" s="124"/>
      <c r="AQ369" s="124"/>
      <c r="AR369" s="124"/>
      <c r="AS369" s="124"/>
      <c r="AT369" s="124"/>
      <c r="AU369" s="160"/>
      <c r="AV369" s="124"/>
      <c r="AW369" s="124"/>
      <c r="AX369" s="124"/>
      <c r="AY369" s="124"/>
      <c r="AZ369" s="124"/>
      <c r="BA369" s="124"/>
      <c r="BB369" s="124"/>
      <c r="BC369" s="124"/>
      <c r="BD369" s="124"/>
      <c r="BE369" s="124"/>
      <c r="BF369" s="124"/>
      <c r="BG369" s="124"/>
      <c r="BH369" s="124"/>
      <c r="BI369" s="124"/>
      <c r="BJ369" s="124"/>
      <c r="BK369" s="124"/>
      <c r="BL369" s="124"/>
      <c r="BM369" s="124"/>
      <c r="BN369" s="124"/>
      <c r="BO369" s="124"/>
      <c r="BP369" s="124"/>
      <c r="BQ369" s="124"/>
      <c r="BR369" s="124"/>
      <c r="BS369" s="124"/>
      <c r="BT369" s="124"/>
      <c r="BU369" s="124"/>
      <c r="BV369" s="124"/>
      <c r="BW369" s="124"/>
      <c r="BX369" s="124"/>
      <c r="BY369" s="160"/>
      <c r="BZ369" s="124"/>
      <c r="CA369" s="124"/>
      <c r="CB369" s="124"/>
      <c r="CC369" s="124"/>
      <c r="CD369" s="124"/>
      <c r="CE369" s="124"/>
      <c r="CF369" s="124"/>
      <c r="CG369" s="124"/>
      <c r="CH369" s="124"/>
      <c r="CI369" s="124"/>
      <c r="CJ369" s="124"/>
      <c r="CK369" s="124"/>
      <c r="CL369" s="124"/>
      <c r="CM369" s="124"/>
      <c r="CN369" s="124"/>
      <c r="CO369" s="124"/>
      <c r="CP369" s="124"/>
      <c r="CQ369" s="124"/>
      <c r="CR369" s="124"/>
      <c r="CS369" s="124"/>
      <c r="CT369" s="124"/>
      <c r="CU369" s="124"/>
      <c r="CV369" s="124"/>
      <c r="CW369" s="124"/>
      <c r="CX369" s="124"/>
      <c r="CY369" s="124"/>
      <c r="CZ369" s="124"/>
      <c r="DA369" s="124"/>
      <c r="DB369" s="122"/>
      <c r="DC369" s="122"/>
      <c r="DD369" s="122"/>
      <c r="DE369" s="122"/>
      <c r="DF369" s="160"/>
      <c r="DG369" s="124"/>
      <c r="DH369" s="124"/>
      <c r="DI369" s="124"/>
      <c r="DJ369" s="124">
        <v>29400</v>
      </c>
      <c r="DK369" s="124"/>
      <c r="DL369" s="124"/>
      <c r="DM369" s="124"/>
      <c r="DN369" s="124"/>
      <c r="DO369" s="124"/>
      <c r="DP369" s="124"/>
      <c r="DQ369" s="124"/>
      <c r="DR369" s="124"/>
      <c r="DS369" s="124"/>
      <c r="DT369" s="124"/>
      <c r="DU369" s="124"/>
      <c r="DV369" s="124"/>
      <c r="DW369" s="124"/>
      <c r="DX369" s="124"/>
      <c r="DY369" s="124"/>
      <c r="DZ369" s="124"/>
      <c r="EA369" s="124"/>
      <c r="EB369" s="124"/>
      <c r="EC369" s="124"/>
      <c r="ED369" s="124"/>
      <c r="EE369" s="124"/>
      <c r="EF369" s="124"/>
      <c r="EG369" s="134"/>
      <c r="EH369" s="124"/>
      <c r="EI369" s="124"/>
      <c r="EJ369" s="122"/>
      <c r="EK369" s="122"/>
      <c r="EL369" s="122"/>
      <c r="EM369" s="122">
        <f t="shared" si="431"/>
        <v>29400</v>
      </c>
      <c r="EN369" s="122"/>
      <c r="EO369" s="122"/>
      <c r="EP369" s="122"/>
      <c r="EQ369" s="122"/>
      <c r="ER369" s="122"/>
      <c r="ES369" s="126"/>
      <c r="ET369" s="126"/>
      <c r="EU369" s="126"/>
      <c r="EV369" s="66"/>
      <c r="EW369" s="144">
        <v>-27069.360000000001</v>
      </c>
      <c r="EX369" s="126"/>
      <c r="EY369" s="126"/>
      <c r="EZ369" s="126"/>
      <c r="FA369" s="126"/>
      <c r="FB369" s="126"/>
      <c r="FC369" s="126"/>
      <c r="FD369" s="126"/>
      <c r="FE369" s="126"/>
      <c r="FF369" s="126"/>
      <c r="FG369" s="126"/>
      <c r="FH369" s="126"/>
      <c r="FI369" s="66">
        <f t="shared" si="432"/>
        <v>0</v>
      </c>
      <c r="FJ369" s="66">
        <f t="shared" si="433"/>
        <v>0</v>
      </c>
      <c r="FK369" s="66">
        <f t="shared" si="434"/>
        <v>-27069.360000000001</v>
      </c>
      <c r="FL369" s="173">
        <f t="shared" si="435"/>
        <v>2330.6399999999994</v>
      </c>
      <c r="FM369" s="123"/>
    </row>
    <row r="370" spans="1:169" s="118" customFormat="1" hidden="1" outlineLevel="1" x14ac:dyDescent="0.2">
      <c r="A370" s="118" t="s">
        <v>19</v>
      </c>
      <c r="B370" s="118" t="s">
        <v>34</v>
      </c>
      <c r="C370" s="118" t="s">
        <v>98</v>
      </c>
      <c r="D370" s="118" t="s">
        <v>111</v>
      </c>
      <c r="E370" s="118" t="s">
        <v>509</v>
      </c>
      <c r="G370" s="119"/>
      <c r="H370" s="119"/>
      <c r="I370" s="119"/>
      <c r="J370" s="119"/>
      <c r="K370" s="119"/>
      <c r="L370" s="119"/>
      <c r="M370" s="119" t="str">
        <f t="shared" si="430"/>
        <v>2690N/ASchool Turnaround Leaders Program</v>
      </c>
      <c r="O370" s="119" t="s">
        <v>160</v>
      </c>
      <c r="P370" s="125"/>
      <c r="Q370" s="121"/>
      <c r="R370" s="121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124"/>
      <c r="AK370" s="124"/>
      <c r="AL370" s="124"/>
      <c r="AM370" s="124"/>
      <c r="AN370" s="124"/>
      <c r="AO370" s="124"/>
      <c r="AP370" s="124"/>
      <c r="AQ370" s="124"/>
      <c r="AR370" s="124"/>
      <c r="AS370" s="124"/>
      <c r="AT370" s="124"/>
      <c r="AU370" s="160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  <c r="BR370" s="124"/>
      <c r="BS370" s="124"/>
      <c r="BT370" s="124"/>
      <c r="BU370" s="124"/>
      <c r="BV370" s="124"/>
      <c r="BW370" s="124"/>
      <c r="BX370" s="124"/>
      <c r="BY370" s="160"/>
      <c r="BZ370" s="124"/>
      <c r="CA370" s="124"/>
      <c r="CB370" s="124"/>
      <c r="CC370" s="124"/>
      <c r="CD370" s="124"/>
      <c r="CE370" s="124"/>
      <c r="CF370" s="124"/>
      <c r="CG370" s="124"/>
      <c r="CH370" s="124"/>
      <c r="CI370" s="124"/>
      <c r="CJ370" s="124"/>
      <c r="CK370" s="124"/>
      <c r="CL370" s="124"/>
      <c r="CM370" s="124"/>
      <c r="CN370" s="124"/>
      <c r="CO370" s="124"/>
      <c r="CP370" s="124"/>
      <c r="CQ370" s="124"/>
      <c r="CR370" s="124"/>
      <c r="CS370" s="124"/>
      <c r="CT370" s="124"/>
      <c r="CU370" s="124"/>
      <c r="CV370" s="124"/>
      <c r="CW370" s="124"/>
      <c r="CX370" s="124"/>
      <c r="CY370" s="124"/>
      <c r="CZ370" s="124"/>
      <c r="DA370" s="124"/>
      <c r="DB370" s="122"/>
      <c r="DC370" s="122"/>
      <c r="DD370" s="122"/>
      <c r="DE370" s="122"/>
      <c r="DF370" s="160"/>
      <c r="DG370" s="124"/>
      <c r="DH370" s="124"/>
      <c r="DI370" s="124"/>
      <c r="DJ370" s="124">
        <v>33400</v>
      </c>
      <c r="DK370" s="124"/>
      <c r="DL370" s="124"/>
      <c r="DM370" s="124"/>
      <c r="DN370" s="124"/>
      <c r="DO370" s="124"/>
      <c r="DP370" s="124"/>
      <c r="DQ370" s="124"/>
      <c r="DR370" s="124"/>
      <c r="DS370" s="124"/>
      <c r="DT370" s="124"/>
      <c r="DU370" s="124"/>
      <c r="DV370" s="124"/>
      <c r="DW370" s="124"/>
      <c r="DX370" s="124"/>
      <c r="DY370" s="124"/>
      <c r="DZ370" s="124"/>
      <c r="EA370" s="124"/>
      <c r="EB370" s="124"/>
      <c r="EC370" s="124"/>
      <c r="ED370" s="124"/>
      <c r="EE370" s="122">
        <v>-4387.5</v>
      </c>
      <c r="EF370" s="124"/>
      <c r="EG370" s="134"/>
      <c r="EH370" s="124"/>
      <c r="EI370" s="124"/>
      <c r="EJ370" s="122"/>
      <c r="EK370" s="122"/>
      <c r="EL370" s="122"/>
      <c r="EM370" s="122">
        <f t="shared" si="431"/>
        <v>33400</v>
      </c>
      <c r="EN370" s="122"/>
      <c r="EO370" s="122"/>
      <c r="EP370" s="122"/>
      <c r="EQ370" s="122"/>
      <c r="ER370" s="122"/>
      <c r="ES370" s="126"/>
      <c r="ET370" s="126"/>
      <c r="EU370" s="126"/>
      <c r="EV370" s="66"/>
      <c r="EW370" s="126"/>
      <c r="EX370" s="126"/>
      <c r="EY370" s="126"/>
      <c r="EZ370" s="126"/>
      <c r="FA370" s="126"/>
      <c r="FB370" s="126"/>
      <c r="FC370" s="224">
        <v>-23278.66</v>
      </c>
      <c r="FD370" s="126"/>
      <c r="FE370" s="126"/>
      <c r="FF370" s="126"/>
      <c r="FG370" s="126"/>
      <c r="FH370" s="126"/>
      <c r="FI370" s="66">
        <f t="shared" si="432"/>
        <v>0</v>
      </c>
      <c r="FJ370" s="66">
        <f t="shared" si="433"/>
        <v>0</v>
      </c>
      <c r="FK370" s="66">
        <f t="shared" si="434"/>
        <v>-23278.66</v>
      </c>
      <c r="FL370" s="173">
        <f t="shared" si="435"/>
        <v>10121.34</v>
      </c>
      <c r="FM370" s="123"/>
    </row>
    <row r="371" spans="1:169" hidden="1" outlineLevel="1" x14ac:dyDescent="0.2">
      <c r="A371" s="76" t="s">
        <v>19</v>
      </c>
      <c r="B371" s="76" t="s">
        <v>34</v>
      </c>
      <c r="C371" s="76" t="s">
        <v>98</v>
      </c>
      <c r="D371" s="76" t="s">
        <v>111</v>
      </c>
      <c r="E371" s="76" t="s">
        <v>509</v>
      </c>
      <c r="F371" s="76" t="s">
        <v>715</v>
      </c>
      <c r="G371" s="77" t="str">
        <f>IF(S371&gt;0, "1", "0")</f>
        <v>0</v>
      </c>
      <c r="H371" s="77" t="str">
        <f>IF(AW371&gt;0, "1", "0")</f>
        <v>1</v>
      </c>
      <c r="I371" s="77" t="str">
        <f>IF(CC371&gt;0, "1", "0")</f>
        <v>0</v>
      </c>
      <c r="J371" s="77" t="str">
        <f>IF(DJ371&gt;0, "1", "0")</f>
        <v>0</v>
      </c>
      <c r="K371" s="77" t="str">
        <f>CONCATENATE(G371,H371,I371,J371)</f>
        <v>0100</v>
      </c>
      <c r="L371" s="77" t="str">
        <f>IFERROR(VLOOKUP(K371,Sheet2!$A$20:$B$23,2,FALSE),"X")</f>
        <v>02</v>
      </c>
      <c r="M371" s="77" t="str">
        <f t="shared" si="430"/>
        <v>2690N/ASchool Turnaround Leaders Program</v>
      </c>
      <c r="O371" s="76" t="s">
        <v>160</v>
      </c>
      <c r="P371" s="45" t="s">
        <v>168</v>
      </c>
      <c r="Q371" s="78"/>
      <c r="R371" s="78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158" t="s">
        <v>336</v>
      </c>
      <c r="AV371" s="44"/>
      <c r="AW371" s="44">
        <v>161110</v>
      </c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>
        <f>SUMIF($AX$2:$BU$2,$BV$2,$AX371:$BU371)</f>
        <v>0</v>
      </c>
      <c r="BW371" s="44">
        <f>SUMIF($AX$2:$BU$2,$BW$2,$AX371:$BU371)</f>
        <v>0</v>
      </c>
      <c r="BX371" s="44">
        <f>AT371+AV371+AW371+(BV371+BW371)</f>
        <v>161110</v>
      </c>
      <c r="BY371" s="158" t="s">
        <v>341</v>
      </c>
      <c r="BZ371" s="44"/>
      <c r="CA371" s="44">
        <v>60000</v>
      </c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79">
        <f>SUMIF($CD$2:$DA$2,$DB$2,$CD371:$DA371)</f>
        <v>0</v>
      </c>
      <c r="DC371" s="79">
        <f>SUMIF($CD$2:$DA$2,$DC$2,$CD371:$DA371)</f>
        <v>0</v>
      </c>
      <c r="DD371" s="79">
        <f>SUMIF($CD$2:$DA$2,$DD$2,$CD371:$DA371)</f>
        <v>0</v>
      </c>
      <c r="DE371" s="79">
        <f>BX371+CA371+BZ371+CC371+(DB371+DC371+DD371)</f>
        <v>221110</v>
      </c>
      <c r="DG371" s="44"/>
      <c r="DH371" s="44"/>
      <c r="DI371" s="44"/>
      <c r="DJ371" s="44"/>
      <c r="DK371" s="44"/>
      <c r="DL371" s="44"/>
      <c r="DM371" s="44"/>
      <c r="DN371" s="44"/>
      <c r="DO371" s="44"/>
      <c r="DP371" s="134"/>
      <c r="DQ371" s="44"/>
      <c r="DR371" s="44"/>
      <c r="DS371" s="44"/>
      <c r="DT371" s="44"/>
      <c r="DU371" s="44"/>
      <c r="DV371" s="44"/>
      <c r="DW371" s="44"/>
      <c r="DX371" s="44"/>
      <c r="DY371" s="44">
        <v>-52108.42</v>
      </c>
      <c r="DZ371" s="44"/>
      <c r="EA371" s="44">
        <v>-4387.5</v>
      </c>
      <c r="EB371" s="44"/>
      <c r="EC371" s="44">
        <v>-8856.5</v>
      </c>
      <c r="ED371" s="44"/>
      <c r="EE371" s="44"/>
      <c r="EF371" s="44"/>
      <c r="EG371" s="134"/>
      <c r="EH371" s="44"/>
      <c r="EI371" s="44"/>
      <c r="EJ371" s="79">
        <f>SUMIF($DK$2:$EI$2,$EJ$2,$DK371:$EI371)</f>
        <v>0</v>
      </c>
      <c r="EK371" s="79">
        <f>SUMIF($DK$2:$EI$2,$EK$2,$DK371:$EI371)</f>
        <v>-65352.42</v>
      </c>
      <c r="EL371" s="79">
        <f>SUMIF($DK$2:$EI$2,$EL$2,$DK371:$EI371)</f>
        <v>0</v>
      </c>
      <c r="EM371" s="79">
        <f t="shared" si="431"/>
        <v>155757.58000000002</v>
      </c>
      <c r="EW371" s="144">
        <v>-83621.570000000007</v>
      </c>
      <c r="FI371" s="66">
        <f t="shared" si="432"/>
        <v>0</v>
      </c>
      <c r="FJ371" s="66">
        <f t="shared" si="433"/>
        <v>0</v>
      </c>
      <c r="FK371" s="66">
        <f t="shared" si="434"/>
        <v>-83621.570000000007</v>
      </c>
      <c r="FL371" s="173">
        <f t="shared" si="435"/>
        <v>72136.010000000009</v>
      </c>
    </row>
    <row r="372" spans="1:169" hidden="1" outlineLevel="1" x14ac:dyDescent="0.2">
      <c r="A372" s="76" t="s">
        <v>20</v>
      </c>
      <c r="B372" s="76" t="s">
        <v>45</v>
      </c>
      <c r="C372" s="76" t="s">
        <v>99</v>
      </c>
      <c r="D372" s="76" t="s">
        <v>121</v>
      </c>
      <c r="E372" s="76" t="s">
        <v>509</v>
      </c>
      <c r="F372" s="76" t="s">
        <v>715</v>
      </c>
      <c r="G372" s="77" t="str">
        <f>IF(S372&gt;0, "1", "0")</f>
        <v>0</v>
      </c>
      <c r="H372" s="77" t="str">
        <f>IF(AW372&gt;0, "1", "0")</f>
        <v>1</v>
      </c>
      <c r="I372" s="77" t="str">
        <f>IF(CC372&gt;0, "1", "0")</f>
        <v>0</v>
      </c>
      <c r="J372" s="77" t="str">
        <f>IF(DJ372&gt;0, "1", "0")</f>
        <v>0</v>
      </c>
      <c r="K372" s="77" t="str">
        <f>CONCATENATE(G372,H372,I372,J372)</f>
        <v>0100</v>
      </c>
      <c r="L372" s="77" t="str">
        <f>IFERROR(VLOOKUP(K372,Sheet2!$A$20:$B$23,2,FALSE),"X")</f>
        <v>02</v>
      </c>
      <c r="M372" s="77" t="str">
        <f t="shared" si="430"/>
        <v>27602522School Turnaround Leaders Program</v>
      </c>
      <c r="O372" s="76" t="s">
        <v>160</v>
      </c>
      <c r="P372" s="45" t="s">
        <v>168</v>
      </c>
      <c r="Q372" s="78"/>
      <c r="R372" s="78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158" t="s">
        <v>336</v>
      </c>
      <c r="AV372" s="44"/>
      <c r="AW372" s="44">
        <v>47520</v>
      </c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>
        <v>-38190</v>
      </c>
      <c r="BS372" s="44"/>
      <c r="BT372" s="44"/>
      <c r="BU372" s="44"/>
      <c r="BV372" s="44">
        <f>SUMIF($AX$2:$BU$2,$BV$2,$AX372:$BU372)</f>
        <v>-38190</v>
      </c>
      <c r="BW372" s="44">
        <f>SUMIF($AX$2:$BU$2,$BW$2,$AX372:$BU372)</f>
        <v>0</v>
      </c>
      <c r="BX372" s="44">
        <f>AT372+AV372+AW372+(BV372+BW372)</f>
        <v>9330</v>
      </c>
      <c r="BY372" s="158" t="s">
        <v>341</v>
      </c>
      <c r="BZ372" s="44"/>
      <c r="CA372" s="44">
        <v>82000</v>
      </c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>
        <f>-9330-82000</f>
        <v>-91330</v>
      </c>
      <c r="DA372" s="44"/>
      <c r="DB372" s="79">
        <f>SUMIF($CD$2:$DA$2,$DB$2,$CD372:$DA372)</f>
        <v>0</v>
      </c>
      <c r="DC372" s="79">
        <f>SUMIF($CD$2:$DA$2,$DC$2,$CD372:$DA372)</f>
        <v>-91330</v>
      </c>
      <c r="DD372" s="79">
        <f>SUMIF($CD$2:$DA$2,$DD$2,$CD372:$DA372)</f>
        <v>0</v>
      </c>
      <c r="DE372" s="79">
        <f>BX372+CA372+BZ372+CC372+(DB372+DC372+DD372)</f>
        <v>0</v>
      </c>
      <c r="DG372" s="44"/>
      <c r="DH372" s="44"/>
      <c r="DI372" s="44"/>
      <c r="DJ372" s="44"/>
      <c r="DK372" s="44"/>
      <c r="DL372" s="44"/>
      <c r="DM372" s="44"/>
      <c r="DN372" s="44"/>
      <c r="DO372" s="44"/>
      <c r="DP372" s="13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134"/>
      <c r="EH372" s="44"/>
      <c r="EI372" s="44"/>
      <c r="EJ372" s="79">
        <f>SUMIF($DK$2:$EI$2,$EJ$2,$DK372:$EI372)</f>
        <v>0</v>
      </c>
      <c r="EK372" s="79">
        <f>SUMIF($DK$2:$EI$2,$EK$2,$DK372:$EI372)</f>
        <v>0</v>
      </c>
      <c r="EL372" s="79">
        <f>SUMIF($DK$2:$EI$2,$EL$2,$DK372:$EI372)</f>
        <v>0</v>
      </c>
      <c r="EM372" s="79">
        <f t="shared" si="431"/>
        <v>0</v>
      </c>
      <c r="FI372" s="66">
        <f t="shared" si="432"/>
        <v>0</v>
      </c>
      <c r="FJ372" s="66">
        <f t="shared" si="433"/>
        <v>0</v>
      </c>
      <c r="FK372" s="66">
        <f t="shared" si="434"/>
        <v>0</v>
      </c>
      <c r="FL372" s="173">
        <f t="shared" si="435"/>
        <v>0</v>
      </c>
    </row>
    <row r="373" spans="1:169" hidden="1" outlineLevel="1" x14ac:dyDescent="0.2">
      <c r="A373" s="76" t="s">
        <v>21</v>
      </c>
      <c r="B373" s="76" t="s">
        <v>439</v>
      </c>
      <c r="C373" s="76" t="s">
        <v>100</v>
      </c>
      <c r="D373" s="76" t="s">
        <v>523</v>
      </c>
      <c r="E373" s="76" t="s">
        <v>509</v>
      </c>
      <c r="F373" s="76" t="s">
        <v>715</v>
      </c>
      <c r="G373" s="77" t="str">
        <f>IF(S373&gt;0, "1", "0")</f>
        <v>0</v>
      </c>
      <c r="H373" s="77" t="str">
        <f>IF(AW373&gt;0, "1", "0")</f>
        <v>1</v>
      </c>
      <c r="I373" s="77" t="str">
        <f>IF(CC373&gt;0, "1", "0")</f>
        <v>0</v>
      </c>
      <c r="J373" s="77" t="str">
        <f>IF(DJ373&gt;0, "1", "0")</f>
        <v>0</v>
      </c>
      <c r="K373" s="77" t="str">
        <f>CONCATENATE(G373,H373,I373,J373)</f>
        <v>0100</v>
      </c>
      <c r="L373" s="77" t="str">
        <f>IFERROR(VLOOKUP(K373,Sheet2!$A$20:$B$23,2,FALSE),"X")</f>
        <v>02</v>
      </c>
      <c r="M373" s="77" t="str">
        <f t="shared" si="430"/>
        <v>31204425School Turnaround Leaders Program</v>
      </c>
      <c r="O373" s="76" t="s">
        <v>160</v>
      </c>
      <c r="P373" s="45" t="s">
        <v>168</v>
      </c>
      <c r="Q373" s="78"/>
      <c r="R373" s="78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158" t="s">
        <v>336</v>
      </c>
      <c r="AV373" s="44"/>
      <c r="AW373" s="44">
        <v>39284</v>
      </c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>
        <f>SUMIF($AX$2:$BU$2,$BV$2,$AX373:$BU373)</f>
        <v>0</v>
      </c>
      <c r="BW373" s="44">
        <f>SUMIF($AX$2:$BU$2,$BW$2,$AX373:$BU373)</f>
        <v>0</v>
      </c>
      <c r="BX373" s="44">
        <f>AT373+AV373+AW373+(BV373+BW373)</f>
        <v>39284</v>
      </c>
      <c r="BY373" s="158" t="s">
        <v>341</v>
      </c>
      <c r="BZ373" s="44"/>
      <c r="CA373" s="44">
        <v>2040</v>
      </c>
      <c r="CB373" s="44"/>
      <c r="CC373" s="44"/>
      <c r="CD373" s="44"/>
      <c r="CE373" s="44"/>
      <c r="CF373" s="44"/>
      <c r="CG373" s="44"/>
      <c r="CH373" s="44">
        <v>-8258.86</v>
      </c>
      <c r="CI373" s="44"/>
      <c r="CJ373" s="44">
        <v>-31025.14</v>
      </c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79">
        <f>SUMIF($CD$2:$DA$2,$DB$2,$CD373:$DA373)</f>
        <v>0</v>
      </c>
      <c r="DC373" s="79">
        <f>SUMIF($CD$2:$DA$2,$DC$2,$CD373:$DA373)</f>
        <v>-39284</v>
      </c>
      <c r="DD373" s="79">
        <f>SUMIF($CD$2:$DA$2,$DD$2,$CD373:$DA373)</f>
        <v>0</v>
      </c>
      <c r="DE373" s="79">
        <f>BX373+CA373+BZ373+CC373+(DB373+DC373+DD373)</f>
        <v>2040</v>
      </c>
      <c r="DG373" s="44"/>
      <c r="DH373" s="44"/>
      <c r="DI373" s="44"/>
      <c r="DJ373" s="44"/>
      <c r="DK373" s="44"/>
      <c r="DL373" s="44"/>
      <c r="DM373" s="44"/>
      <c r="DN373" s="44"/>
      <c r="DO373" s="44"/>
      <c r="DP373" s="13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134"/>
      <c r="EH373" s="44"/>
      <c r="EI373" s="44"/>
      <c r="EJ373" s="79">
        <f>SUMIF($DK$2:$EI$2,$EJ$2,$DK373:$EI373)</f>
        <v>0</v>
      </c>
      <c r="EK373" s="79">
        <f>SUMIF($DK$2:$EI$2,$EK$2,$DK373:$EI373)</f>
        <v>0</v>
      </c>
      <c r="EL373" s="79">
        <f>SUMIF($DK$2:$EI$2,$EL$2,$DK373:$EI373)</f>
        <v>0</v>
      </c>
      <c r="EM373" s="79">
        <f t="shared" si="431"/>
        <v>2040</v>
      </c>
      <c r="FI373" s="66">
        <f t="shared" si="432"/>
        <v>0</v>
      </c>
      <c r="FJ373" s="66">
        <f t="shared" si="433"/>
        <v>0</v>
      </c>
      <c r="FK373" s="66">
        <f t="shared" si="434"/>
        <v>0</v>
      </c>
      <c r="FL373" s="173">
        <f t="shared" si="435"/>
        <v>2040</v>
      </c>
    </row>
    <row r="374" spans="1:169" hidden="1" collapsed="1" x14ac:dyDescent="0.2">
      <c r="G374" s="77"/>
      <c r="H374" s="77"/>
      <c r="I374" s="77"/>
      <c r="J374" s="77"/>
      <c r="K374" s="77"/>
      <c r="L374" s="77" t="s">
        <v>701</v>
      </c>
      <c r="M374" s="77" t="str">
        <f t="shared" si="398"/>
        <v/>
      </c>
      <c r="P374" s="18" t="s">
        <v>432</v>
      </c>
      <c r="Q374" s="78"/>
      <c r="R374" s="78"/>
      <c r="S374" s="14">
        <f t="shared" ref="S374:AT374" si="441">SUM(S330:S373)</f>
        <v>0</v>
      </c>
      <c r="T374" s="14">
        <f t="shared" si="441"/>
        <v>0</v>
      </c>
      <c r="U374" s="14">
        <f t="shared" si="441"/>
        <v>0</v>
      </c>
      <c r="V374" s="14">
        <f t="shared" si="441"/>
        <v>0</v>
      </c>
      <c r="W374" s="14">
        <f t="shared" si="441"/>
        <v>0</v>
      </c>
      <c r="X374" s="14">
        <f t="shared" si="441"/>
        <v>0</v>
      </c>
      <c r="Y374" s="14">
        <f t="shared" si="441"/>
        <v>0</v>
      </c>
      <c r="Z374" s="14">
        <f t="shared" si="441"/>
        <v>0</v>
      </c>
      <c r="AA374" s="14">
        <f t="shared" si="441"/>
        <v>0</v>
      </c>
      <c r="AB374" s="14">
        <f t="shared" si="441"/>
        <v>0</v>
      </c>
      <c r="AC374" s="14">
        <f t="shared" si="441"/>
        <v>0</v>
      </c>
      <c r="AD374" s="14">
        <f t="shared" si="441"/>
        <v>0</v>
      </c>
      <c r="AE374" s="14">
        <f t="shared" si="441"/>
        <v>0</v>
      </c>
      <c r="AF374" s="14">
        <f t="shared" si="441"/>
        <v>0</v>
      </c>
      <c r="AG374" s="14">
        <f t="shared" si="441"/>
        <v>0</v>
      </c>
      <c r="AH374" s="14">
        <f t="shared" si="441"/>
        <v>0</v>
      </c>
      <c r="AI374" s="14">
        <f t="shared" si="441"/>
        <v>0</v>
      </c>
      <c r="AJ374" s="14">
        <f t="shared" si="441"/>
        <v>0</v>
      </c>
      <c r="AK374" s="14">
        <f t="shared" si="441"/>
        <v>0</v>
      </c>
      <c r="AL374" s="14">
        <f t="shared" si="441"/>
        <v>0</v>
      </c>
      <c r="AM374" s="14">
        <f t="shared" si="441"/>
        <v>0</v>
      </c>
      <c r="AN374" s="14">
        <f t="shared" si="441"/>
        <v>0</v>
      </c>
      <c r="AO374" s="14">
        <f t="shared" si="441"/>
        <v>0</v>
      </c>
      <c r="AP374" s="14">
        <f t="shared" si="441"/>
        <v>0</v>
      </c>
      <c r="AQ374" s="14">
        <f t="shared" si="441"/>
        <v>0</v>
      </c>
      <c r="AR374" s="14">
        <f t="shared" si="441"/>
        <v>0</v>
      </c>
      <c r="AS374" s="14">
        <f t="shared" si="441"/>
        <v>0</v>
      </c>
      <c r="AT374" s="14">
        <f t="shared" si="441"/>
        <v>0</v>
      </c>
      <c r="AU374" s="29"/>
      <c r="AV374" s="14">
        <f t="shared" ref="AV374:BX374" si="442">SUM(AV330:AV373)</f>
        <v>0</v>
      </c>
      <c r="AW374" s="14">
        <f t="shared" si="442"/>
        <v>1531150</v>
      </c>
      <c r="AX374" s="14">
        <f t="shared" si="442"/>
        <v>0</v>
      </c>
      <c r="AY374" s="14">
        <f t="shared" si="442"/>
        <v>0</v>
      </c>
      <c r="AZ374" s="14">
        <f t="shared" si="442"/>
        <v>0</v>
      </c>
      <c r="BA374" s="14">
        <f t="shared" si="442"/>
        <v>0</v>
      </c>
      <c r="BB374" s="14">
        <f t="shared" si="442"/>
        <v>0</v>
      </c>
      <c r="BC374" s="14">
        <f t="shared" si="442"/>
        <v>0</v>
      </c>
      <c r="BD374" s="14">
        <f t="shared" si="442"/>
        <v>0</v>
      </c>
      <c r="BE374" s="14">
        <f t="shared" si="442"/>
        <v>0</v>
      </c>
      <c r="BF374" s="14">
        <f t="shared" si="442"/>
        <v>0</v>
      </c>
      <c r="BG374" s="14">
        <f t="shared" si="442"/>
        <v>0</v>
      </c>
      <c r="BH374" s="14">
        <f t="shared" si="442"/>
        <v>0</v>
      </c>
      <c r="BI374" s="14">
        <f t="shared" si="442"/>
        <v>0</v>
      </c>
      <c r="BJ374" s="14">
        <f t="shared" si="442"/>
        <v>0</v>
      </c>
      <c r="BK374" s="14">
        <f t="shared" si="442"/>
        <v>0</v>
      </c>
      <c r="BL374" s="14">
        <f t="shared" si="442"/>
        <v>0</v>
      </c>
      <c r="BM374" s="14">
        <f t="shared" si="442"/>
        <v>0</v>
      </c>
      <c r="BN374" s="14">
        <f t="shared" si="442"/>
        <v>0</v>
      </c>
      <c r="BO374" s="14">
        <f t="shared" si="442"/>
        <v>0</v>
      </c>
      <c r="BP374" s="14">
        <f t="shared" si="442"/>
        <v>0</v>
      </c>
      <c r="BQ374" s="14">
        <f t="shared" si="442"/>
        <v>0</v>
      </c>
      <c r="BR374" s="14">
        <f t="shared" si="442"/>
        <v>-38190</v>
      </c>
      <c r="BS374" s="14">
        <f t="shared" si="442"/>
        <v>0</v>
      </c>
      <c r="BT374" s="14">
        <f t="shared" si="442"/>
        <v>-118735</v>
      </c>
      <c r="BU374" s="14">
        <f t="shared" si="442"/>
        <v>0</v>
      </c>
      <c r="BV374" s="14">
        <f t="shared" si="442"/>
        <v>-156925</v>
      </c>
      <c r="BW374" s="14">
        <f t="shared" si="442"/>
        <v>0</v>
      </c>
      <c r="BX374" s="14">
        <f t="shared" si="442"/>
        <v>1374225</v>
      </c>
      <c r="BY374" s="29"/>
      <c r="BZ374" s="14">
        <f>SUM(BZ330:BZ373)</f>
        <v>0</v>
      </c>
      <c r="CA374" s="14">
        <f>SUM(CA330:CA373)</f>
        <v>662098</v>
      </c>
      <c r="CB374" s="14"/>
      <c r="CC374" s="14">
        <f t="shared" ref="CC374:DE374" si="443">SUM(CC330:CC373)</f>
        <v>309016.26799999998</v>
      </c>
      <c r="CD374" s="14">
        <f t="shared" si="443"/>
        <v>-20275</v>
      </c>
      <c r="CE374" s="14">
        <f t="shared" si="443"/>
        <v>0</v>
      </c>
      <c r="CF374" s="14">
        <f t="shared" si="443"/>
        <v>0</v>
      </c>
      <c r="CG374" s="14">
        <f t="shared" si="443"/>
        <v>0</v>
      </c>
      <c r="CH374" s="14">
        <f t="shared" si="443"/>
        <v>-8258.86</v>
      </c>
      <c r="CI374" s="14">
        <f t="shared" si="443"/>
        <v>0</v>
      </c>
      <c r="CJ374" s="14">
        <f t="shared" si="443"/>
        <v>-31025.14</v>
      </c>
      <c r="CK374" s="14">
        <f t="shared" si="443"/>
        <v>0</v>
      </c>
      <c r="CL374" s="14">
        <f t="shared" si="443"/>
        <v>-397529.06</v>
      </c>
      <c r="CM374" s="14">
        <f t="shared" si="443"/>
        <v>0</v>
      </c>
      <c r="CN374" s="14">
        <f t="shared" si="443"/>
        <v>0</v>
      </c>
      <c r="CO374" s="14">
        <f t="shared" si="443"/>
        <v>0</v>
      </c>
      <c r="CP374" s="14">
        <f t="shared" si="443"/>
        <v>-116443.94</v>
      </c>
      <c r="CQ374" s="14">
        <f t="shared" si="443"/>
        <v>0</v>
      </c>
      <c r="CR374" s="14">
        <f t="shared" si="443"/>
        <v>-14920</v>
      </c>
      <c r="CS374" s="14">
        <f t="shared" si="443"/>
        <v>0</v>
      </c>
      <c r="CT374" s="14">
        <f t="shared" si="443"/>
        <v>0</v>
      </c>
      <c r="CU374" s="14">
        <f t="shared" si="443"/>
        <v>0</v>
      </c>
      <c r="CV374" s="14">
        <f t="shared" si="443"/>
        <v>0</v>
      </c>
      <c r="CW374" s="14">
        <f t="shared" si="443"/>
        <v>0</v>
      </c>
      <c r="CX374" s="14">
        <f t="shared" si="443"/>
        <v>-38005.440000000002</v>
      </c>
      <c r="CY374" s="14">
        <f t="shared" si="443"/>
        <v>0</v>
      </c>
      <c r="CZ374" s="14">
        <f t="shared" si="443"/>
        <v>-91330</v>
      </c>
      <c r="DA374" s="14">
        <f t="shared" si="443"/>
        <v>0</v>
      </c>
      <c r="DB374" s="14">
        <f t="shared" si="443"/>
        <v>-20275</v>
      </c>
      <c r="DC374" s="14">
        <f t="shared" si="443"/>
        <v>-697512.44</v>
      </c>
      <c r="DD374" s="14">
        <f t="shared" si="443"/>
        <v>0</v>
      </c>
      <c r="DE374" s="14">
        <f t="shared" si="443"/>
        <v>1627551.828</v>
      </c>
      <c r="DF374" s="29"/>
      <c r="DG374" s="14">
        <f>SUM(DG330:DG373)</f>
        <v>190986.2</v>
      </c>
      <c r="DH374" s="14">
        <f>SUM(DH330:DH373)</f>
        <v>0</v>
      </c>
      <c r="DI374" s="14"/>
      <c r="DJ374" s="14">
        <f t="shared" ref="DJ374:ER374" si="444">SUM(DJ330:DJ373)</f>
        <v>457280</v>
      </c>
      <c r="DK374" s="14">
        <f t="shared" si="444"/>
        <v>0</v>
      </c>
      <c r="DL374" s="14">
        <f t="shared" si="444"/>
        <v>0</v>
      </c>
      <c r="DM374" s="14">
        <f t="shared" si="444"/>
        <v>-200</v>
      </c>
      <c r="DN374" s="14">
        <f t="shared" si="444"/>
        <v>0</v>
      </c>
      <c r="DO374" s="14">
        <f t="shared" si="444"/>
        <v>0</v>
      </c>
      <c r="DP374" s="132">
        <f t="shared" si="444"/>
        <v>0</v>
      </c>
      <c r="DQ374" s="14">
        <f t="shared" si="444"/>
        <v>-18400</v>
      </c>
      <c r="DR374" s="14">
        <f t="shared" si="444"/>
        <v>0</v>
      </c>
      <c r="DS374" s="14">
        <f t="shared" si="444"/>
        <v>0</v>
      </c>
      <c r="DT374" s="14">
        <f t="shared" si="444"/>
        <v>0</v>
      </c>
      <c r="DU374" s="14">
        <f t="shared" si="444"/>
        <v>-5500</v>
      </c>
      <c r="DV374" s="14">
        <f t="shared" si="444"/>
        <v>0</v>
      </c>
      <c r="DW374" s="14">
        <f t="shared" si="444"/>
        <v>0</v>
      </c>
      <c r="DX374" s="14">
        <f t="shared" si="444"/>
        <v>0</v>
      </c>
      <c r="DY374" s="14">
        <f t="shared" si="444"/>
        <v>-91538.42</v>
      </c>
      <c r="DZ374" s="14">
        <f t="shared" si="444"/>
        <v>0</v>
      </c>
      <c r="EA374" s="14">
        <f t="shared" si="444"/>
        <v>-299442.61</v>
      </c>
      <c r="EB374" s="14">
        <f t="shared" si="444"/>
        <v>0</v>
      </c>
      <c r="EC374" s="14">
        <f t="shared" si="444"/>
        <v>-14724.32</v>
      </c>
      <c r="ED374" s="14">
        <f t="shared" si="444"/>
        <v>0</v>
      </c>
      <c r="EE374" s="14">
        <f t="shared" si="444"/>
        <v>-12430.33</v>
      </c>
      <c r="EF374" s="14">
        <f t="shared" si="444"/>
        <v>0</v>
      </c>
      <c r="EG374" s="132">
        <f t="shared" si="444"/>
        <v>0</v>
      </c>
      <c r="EH374" s="14">
        <f t="shared" si="444"/>
        <v>-3100</v>
      </c>
      <c r="EI374" s="14">
        <f t="shared" si="444"/>
        <v>0</v>
      </c>
      <c r="EJ374" s="14">
        <f t="shared" si="444"/>
        <v>0</v>
      </c>
      <c r="EK374" s="14">
        <f t="shared" si="444"/>
        <v>-440948.18</v>
      </c>
      <c r="EL374" s="14">
        <f t="shared" si="444"/>
        <v>0</v>
      </c>
      <c r="EM374" s="14">
        <f t="shared" si="444"/>
        <v>1834869.848</v>
      </c>
      <c r="EN374" s="14">
        <f t="shared" si="444"/>
        <v>0</v>
      </c>
      <c r="EO374" s="14">
        <f t="shared" si="444"/>
        <v>0</v>
      </c>
      <c r="EP374" s="14">
        <f t="shared" si="444"/>
        <v>0</v>
      </c>
      <c r="EQ374" s="14">
        <f t="shared" si="444"/>
        <v>311250</v>
      </c>
      <c r="ER374" s="14">
        <f t="shared" si="444"/>
        <v>0</v>
      </c>
      <c r="ES374" s="68">
        <f t="shared" ref="ES374:FK374" si="445">SUM(ES330:ES373)</f>
        <v>0</v>
      </c>
      <c r="ET374" s="68">
        <f t="shared" si="445"/>
        <v>-48500</v>
      </c>
      <c r="EU374" s="68">
        <f t="shared" si="445"/>
        <v>-30000</v>
      </c>
      <c r="EV374" s="68">
        <f t="shared" ref="EV374" si="446">SUM(EV330:EV373)</f>
        <v>0</v>
      </c>
      <c r="EW374" s="68">
        <f t="shared" si="445"/>
        <v>-165160.67000000001</v>
      </c>
      <c r="EX374" s="68">
        <f t="shared" si="445"/>
        <v>-161213.42000000004</v>
      </c>
      <c r="EY374" s="68">
        <f t="shared" si="445"/>
        <v>-22577.040000000001</v>
      </c>
      <c r="EZ374" s="68">
        <f t="shared" ref="EZ374:FB374" si="447">SUM(EZ330:EZ373)</f>
        <v>0</v>
      </c>
      <c r="FA374" s="68">
        <f t="shared" si="447"/>
        <v>0</v>
      </c>
      <c r="FB374" s="68">
        <f t="shared" si="447"/>
        <v>0</v>
      </c>
      <c r="FC374" s="68">
        <f t="shared" si="445"/>
        <v>-39526.74</v>
      </c>
      <c r="FD374" s="68">
        <f t="shared" si="445"/>
        <v>-112988.08</v>
      </c>
      <c r="FE374" s="68">
        <f t="shared" si="445"/>
        <v>-78521.2</v>
      </c>
      <c r="FF374" s="68">
        <f t="shared" si="445"/>
        <v>0</v>
      </c>
      <c r="FG374" s="68">
        <f t="shared" si="445"/>
        <v>0</v>
      </c>
      <c r="FH374" s="68">
        <f t="shared" si="445"/>
        <v>0</v>
      </c>
      <c r="FI374" s="68">
        <f t="shared" ref="FI374:FJ374" si="448">SUM(FI330:FI373)</f>
        <v>0</v>
      </c>
      <c r="FJ374" s="68">
        <f t="shared" si="448"/>
        <v>0</v>
      </c>
      <c r="FK374" s="68">
        <f t="shared" si="445"/>
        <v>-658487.15000000014</v>
      </c>
      <c r="FL374" s="14">
        <f>EM374+EO374+EP374+EQ374+FK374</f>
        <v>1487632.6980000001</v>
      </c>
    </row>
    <row r="375" spans="1:169" hidden="1" x14ac:dyDescent="0.2">
      <c r="G375" s="77"/>
      <c r="H375" s="77"/>
      <c r="I375" s="77"/>
      <c r="J375" s="77"/>
      <c r="K375" s="77"/>
      <c r="L375" s="77" t="s">
        <v>701</v>
      </c>
      <c r="M375" s="77" t="str">
        <f t="shared" si="398"/>
        <v/>
      </c>
      <c r="P375" s="43"/>
      <c r="Q375" s="78"/>
      <c r="R375" s="78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133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133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117"/>
      <c r="ET375" s="117"/>
      <c r="EU375" s="117"/>
      <c r="EV375" s="117"/>
      <c r="EW375" s="117"/>
      <c r="EX375" s="117"/>
      <c r="EY375" s="117"/>
      <c r="EZ375" s="117"/>
      <c r="FA375" s="117"/>
      <c r="FB375" s="117"/>
      <c r="FC375" s="117"/>
      <c r="FD375" s="117"/>
      <c r="FE375" s="117"/>
      <c r="FF375" s="117"/>
      <c r="FG375" s="117"/>
      <c r="FH375" s="117"/>
      <c r="FI375" s="117"/>
      <c r="FJ375" s="117"/>
      <c r="FK375" s="117"/>
    </row>
    <row r="376" spans="1:169" hidden="1" outlineLevel="1" x14ac:dyDescent="0.2">
      <c r="A376" s="77" t="s">
        <v>20</v>
      </c>
      <c r="B376" s="76" t="s">
        <v>34</v>
      </c>
      <c r="C376" s="76" t="s">
        <v>99</v>
      </c>
      <c r="D376" s="76" t="s">
        <v>111</v>
      </c>
      <c r="E376" s="76" t="s">
        <v>698</v>
      </c>
      <c r="F376" s="76" t="s">
        <v>729</v>
      </c>
      <c r="G376" s="77" t="str">
        <f>IF(S376&gt;0, "1", "0")</f>
        <v>0</v>
      </c>
      <c r="H376" s="77" t="str">
        <f>IF(AW376&gt;0, "1", "0")</f>
        <v>0</v>
      </c>
      <c r="I376" s="77" t="str">
        <f>IF(CC376&gt;0, "1", "0")</f>
        <v>0</v>
      </c>
      <c r="J376" s="77" t="str">
        <f>IF(DJ376&gt;0, "1", "0")</f>
        <v>1</v>
      </c>
      <c r="K376" s="77" t="str">
        <f>CONCATENATE(G376,H376,I376,J376)</f>
        <v>0001</v>
      </c>
      <c r="L376" s="77" t="str">
        <f>IFERROR(VLOOKUP(K376,Sheet2!$A$20:$B$23,2,FALSE),"X")</f>
        <v>04</v>
      </c>
      <c r="M376" s="77" t="str">
        <f>A376&amp;B376&amp;E376</f>
        <v>2760N/AReallocated Assistance Fund</v>
      </c>
      <c r="O376" s="76" t="s">
        <v>160</v>
      </c>
      <c r="P376" s="45" t="s">
        <v>168</v>
      </c>
      <c r="Q376" s="78"/>
      <c r="R376" s="78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79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>
        <f>SUMIF($AX$2:$BU$2,$BV$2,$AX376:$BU376)</f>
        <v>0</v>
      </c>
      <c r="BW376" s="44">
        <f>SUMIF($AX$2:$BU$2,$BW$2,$AX376:$BU376)</f>
        <v>0</v>
      </c>
      <c r="BX376" s="44">
        <f>AT376+AV376+AW376+(BV376+BW376)</f>
        <v>0</v>
      </c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79">
        <f>SUMIF($CD$2:$DA$2,$DB$2,$CD376:$DA376)</f>
        <v>0</v>
      </c>
      <c r="DC376" s="79">
        <f>SUMIF($CD$2:$DA$2,$DC$2,$CD376:$DA376)</f>
        <v>0</v>
      </c>
      <c r="DD376" s="79">
        <f>SUMIF($CD$2:$DA$2,$DD$2,$CD376:$DA376)</f>
        <v>0</v>
      </c>
      <c r="DE376" s="79">
        <f>BX376+CA376+BZ376+CC376+(DB376+DC376+DD376)</f>
        <v>0</v>
      </c>
      <c r="DF376" s="79"/>
      <c r="DG376" s="44"/>
      <c r="DH376" s="44"/>
      <c r="DI376" s="158" t="s">
        <v>336</v>
      </c>
      <c r="DJ376" s="44">
        <v>25257</v>
      </c>
      <c r="DK376" s="44"/>
      <c r="DL376" s="44"/>
      <c r="DM376" s="44"/>
      <c r="DN376" s="44"/>
      <c r="DO376" s="44"/>
      <c r="DP376" s="13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134"/>
      <c r="EH376" s="44"/>
      <c r="EI376" s="44"/>
      <c r="EJ376" s="79">
        <f>SUMIF($DK$2:$EI$2,$EJ$2,$DK376:$EI376)</f>
        <v>0</v>
      </c>
      <c r="EK376" s="79">
        <f>SUMIF($DK$2:$EI$2,$EK$2,$DK376:$EI376)</f>
        <v>0</v>
      </c>
      <c r="EL376" s="79">
        <f>SUMIF($DK$2:$EI$2,$EL$2,$DK376:$EI376)</f>
        <v>0</v>
      </c>
      <c r="EM376" s="79">
        <f>DE376+DH376+DG376+DJ376+(EJ376+EK376+EL376)</f>
        <v>25257</v>
      </c>
      <c r="FA376" s="220">
        <v>-25257</v>
      </c>
      <c r="FB376" s="220">
        <v>25257</v>
      </c>
      <c r="FI376" s="66">
        <f>SUMIF($ES$2:$FH$2,$FI$2,$ES376:$FH376)</f>
        <v>0</v>
      </c>
      <c r="FJ376" s="66">
        <f>SUMIF($ES$2:$FH$2,$FJ$2,$ES376:$FH376)</f>
        <v>-25257</v>
      </c>
      <c r="FK376" s="66">
        <f>SUMIF($ES$2:$FH$2,$FK$2,$ES376:$FH376)</f>
        <v>25257</v>
      </c>
      <c r="FL376" s="173">
        <f>EM376+EO376+EP376+EQ376+(FK376+FI376+FJ376)</f>
        <v>25257</v>
      </c>
    </row>
    <row r="377" spans="1:169" hidden="1" outlineLevel="1" x14ac:dyDescent="0.2">
      <c r="A377" s="77" t="s">
        <v>706</v>
      </c>
      <c r="B377" s="76" t="s">
        <v>34</v>
      </c>
      <c r="C377" s="76" t="s">
        <v>92</v>
      </c>
      <c r="D377" s="76" t="s">
        <v>111</v>
      </c>
      <c r="E377" s="76" t="s">
        <v>698</v>
      </c>
      <c r="F377" s="76" t="s">
        <v>729</v>
      </c>
      <c r="G377" s="77" t="str">
        <f>IF(S377&gt;0, "1", "0")</f>
        <v>0</v>
      </c>
      <c r="H377" s="77" t="str">
        <f>IF(AW377&gt;0, "1", "0")</f>
        <v>0</v>
      </c>
      <c r="I377" s="77" t="str">
        <f>IF(CC377&gt;0, "1", "0")</f>
        <v>0</v>
      </c>
      <c r="J377" s="77" t="str">
        <f>IF(DJ377&gt;0, "1", "0")</f>
        <v>1</v>
      </c>
      <c r="K377" s="77" t="str">
        <f>CONCATENATE(G377,H377,I377,J377)</f>
        <v>0001</v>
      </c>
      <c r="L377" s="77" t="str">
        <f>IFERROR(VLOOKUP(K377,Sheet2!$A$20:$B$23,2,FALSE),"X")</f>
        <v>04</v>
      </c>
      <c r="M377" s="77" t="str">
        <f>A377&amp;B377&amp;E377</f>
        <v>9025N/AReallocated Assistance Fund</v>
      </c>
      <c r="O377" s="77" t="s">
        <v>160</v>
      </c>
      <c r="P377" s="45" t="s">
        <v>168</v>
      </c>
      <c r="Q377" s="78"/>
      <c r="R377" s="78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79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>
        <f>SUMIF($AX$2:$BU$2,$BV$2,$AX377:$BU377)</f>
        <v>0</v>
      </c>
      <c r="BW377" s="44">
        <f>SUMIF($AX$2:$BU$2,$BW$2,$AX377:$BU377)</f>
        <v>0</v>
      </c>
      <c r="BX377" s="44">
        <f>AT377+AV377+AW377+(BV377+BW377)</f>
        <v>0</v>
      </c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79">
        <f>SUMIF($CD$2:$DA$2,$DB$2,$CD377:$DA377)</f>
        <v>0</v>
      </c>
      <c r="DC377" s="79">
        <f>SUMIF($CD$2:$DA$2,$DC$2,$CD377:$DA377)</f>
        <v>0</v>
      </c>
      <c r="DD377" s="79">
        <f>SUMIF($CD$2:$DA$2,$DD$2,$CD377:$DA377)</f>
        <v>0</v>
      </c>
      <c r="DE377" s="79">
        <f>BX377+CA377+BZ377+CC377+(DB377+DC377+DD377)</f>
        <v>0</v>
      </c>
      <c r="DF377" s="79"/>
      <c r="DG377" s="44"/>
      <c r="DH377" s="44"/>
      <c r="DI377" s="158" t="s">
        <v>336</v>
      </c>
      <c r="DJ377" s="44">
        <v>29486</v>
      </c>
      <c r="DK377" s="44"/>
      <c r="DL377" s="44"/>
      <c r="DM377" s="44"/>
      <c r="DN377" s="44"/>
      <c r="DO377" s="44"/>
      <c r="DP377" s="134"/>
      <c r="DQ377" s="44"/>
      <c r="DR377" s="44"/>
      <c r="DS377" s="44">
        <v>-7371.5</v>
      </c>
      <c r="DT377" s="44"/>
      <c r="DU377" s="44"/>
      <c r="DV377" s="44"/>
      <c r="DW377" s="44"/>
      <c r="DX377" s="44"/>
      <c r="DY377" s="44">
        <v>-7371.5</v>
      </c>
      <c r="DZ377" s="44"/>
      <c r="EA377" s="44"/>
      <c r="EB377" s="44"/>
      <c r="EC377" s="44"/>
      <c r="ED377" s="44"/>
      <c r="EE377" s="44">
        <f>-(7371.5+7371.5)</f>
        <v>-14743</v>
      </c>
      <c r="EF377" s="44"/>
      <c r="EG377" s="134"/>
      <c r="EH377" s="44"/>
      <c r="EI377" s="44"/>
      <c r="EJ377" s="79">
        <f>SUMIF($DK$2:$EI$2,$EJ$2,$DK377:$EI377)</f>
        <v>0</v>
      </c>
      <c r="EK377" s="79">
        <f>SUMIF($DK$2:$EI$2,$EK$2,$DK377:$EI377)</f>
        <v>-29486</v>
      </c>
      <c r="EL377" s="79">
        <f>SUMIF($DK$2:$EI$2,$EL$2,$DK377:$EI377)</f>
        <v>0</v>
      </c>
      <c r="EM377" s="79">
        <f>DE377+DH377+DG377+DJ377+(EJ377+EK377+EL377)</f>
        <v>0</v>
      </c>
      <c r="FA377" s="220">
        <v>-29486</v>
      </c>
      <c r="FB377" s="220">
        <v>29486</v>
      </c>
      <c r="FI377" s="66">
        <f>SUMIF($ES$2:$FH$2,$FI$2,$ES377:$FH377)</f>
        <v>0</v>
      </c>
      <c r="FJ377" s="66">
        <f>SUMIF($ES$2:$FH$2,$FJ$2,$ES377:$FH377)</f>
        <v>-29486</v>
      </c>
      <c r="FK377" s="66">
        <f>SUMIF($ES$2:$FH$2,$FK$2,$ES377:$FH377)</f>
        <v>29486</v>
      </c>
      <c r="FL377" s="173">
        <f>EM377+EO377+EP377+EQ377+(FK377+FI377+FJ377)</f>
        <v>0</v>
      </c>
    </row>
    <row r="378" spans="1:169" hidden="1" collapsed="1" x14ac:dyDescent="0.2">
      <c r="G378" s="77"/>
      <c r="H378" s="77"/>
      <c r="I378" s="77"/>
      <c r="J378" s="77"/>
      <c r="K378" s="77"/>
      <c r="L378" s="77" t="s">
        <v>701</v>
      </c>
      <c r="M378" s="77" t="str">
        <f t="shared" si="398"/>
        <v/>
      </c>
      <c r="P378" s="18" t="s">
        <v>699</v>
      </c>
      <c r="Q378" s="78"/>
      <c r="R378" s="78"/>
      <c r="S378" s="14">
        <f t="shared" ref="S378:AT378" si="449">SUM(S376:S377)</f>
        <v>0</v>
      </c>
      <c r="T378" s="14">
        <f t="shared" si="449"/>
        <v>0</v>
      </c>
      <c r="U378" s="14">
        <f t="shared" si="449"/>
        <v>0</v>
      </c>
      <c r="V378" s="14">
        <f t="shared" si="449"/>
        <v>0</v>
      </c>
      <c r="W378" s="14">
        <f t="shared" si="449"/>
        <v>0</v>
      </c>
      <c r="X378" s="14">
        <f t="shared" si="449"/>
        <v>0</v>
      </c>
      <c r="Y378" s="14">
        <f t="shared" si="449"/>
        <v>0</v>
      </c>
      <c r="Z378" s="14">
        <f t="shared" si="449"/>
        <v>0</v>
      </c>
      <c r="AA378" s="14">
        <f t="shared" si="449"/>
        <v>0</v>
      </c>
      <c r="AB378" s="14">
        <f t="shared" si="449"/>
        <v>0</v>
      </c>
      <c r="AC378" s="14">
        <f t="shared" si="449"/>
        <v>0</v>
      </c>
      <c r="AD378" s="14">
        <f t="shared" si="449"/>
        <v>0</v>
      </c>
      <c r="AE378" s="14">
        <f t="shared" si="449"/>
        <v>0</v>
      </c>
      <c r="AF378" s="14">
        <f t="shared" si="449"/>
        <v>0</v>
      </c>
      <c r="AG378" s="14">
        <f t="shared" si="449"/>
        <v>0</v>
      </c>
      <c r="AH378" s="14">
        <f t="shared" si="449"/>
        <v>0</v>
      </c>
      <c r="AI378" s="14">
        <f t="shared" si="449"/>
        <v>0</v>
      </c>
      <c r="AJ378" s="14">
        <f t="shared" si="449"/>
        <v>0</v>
      </c>
      <c r="AK378" s="14">
        <f t="shared" si="449"/>
        <v>0</v>
      </c>
      <c r="AL378" s="14">
        <f t="shared" si="449"/>
        <v>0</v>
      </c>
      <c r="AM378" s="14">
        <f t="shared" si="449"/>
        <v>0</v>
      </c>
      <c r="AN378" s="14">
        <f t="shared" si="449"/>
        <v>0</v>
      </c>
      <c r="AO378" s="14">
        <f t="shared" si="449"/>
        <v>0</v>
      </c>
      <c r="AP378" s="14">
        <f t="shared" si="449"/>
        <v>0</v>
      </c>
      <c r="AQ378" s="14">
        <f t="shared" si="449"/>
        <v>0</v>
      </c>
      <c r="AR378" s="14">
        <f t="shared" si="449"/>
        <v>0</v>
      </c>
      <c r="AS378" s="14">
        <f t="shared" si="449"/>
        <v>0</v>
      </c>
      <c r="AT378" s="14">
        <f t="shared" si="449"/>
        <v>0</v>
      </c>
      <c r="AU378" s="29"/>
      <c r="AV378" s="14">
        <f t="shared" ref="AV378:BX378" si="450">SUM(AV376:AV377)</f>
        <v>0</v>
      </c>
      <c r="AW378" s="14">
        <f t="shared" si="450"/>
        <v>0</v>
      </c>
      <c r="AX378" s="14">
        <f t="shared" si="450"/>
        <v>0</v>
      </c>
      <c r="AY378" s="14">
        <f t="shared" si="450"/>
        <v>0</v>
      </c>
      <c r="AZ378" s="14">
        <f t="shared" si="450"/>
        <v>0</v>
      </c>
      <c r="BA378" s="14">
        <f t="shared" si="450"/>
        <v>0</v>
      </c>
      <c r="BB378" s="14">
        <f t="shared" si="450"/>
        <v>0</v>
      </c>
      <c r="BC378" s="14">
        <f t="shared" si="450"/>
        <v>0</v>
      </c>
      <c r="BD378" s="14">
        <f t="shared" si="450"/>
        <v>0</v>
      </c>
      <c r="BE378" s="14">
        <f t="shared" si="450"/>
        <v>0</v>
      </c>
      <c r="BF378" s="14">
        <f t="shared" si="450"/>
        <v>0</v>
      </c>
      <c r="BG378" s="14">
        <f t="shared" si="450"/>
        <v>0</v>
      </c>
      <c r="BH378" s="14">
        <f t="shared" si="450"/>
        <v>0</v>
      </c>
      <c r="BI378" s="14">
        <f t="shared" si="450"/>
        <v>0</v>
      </c>
      <c r="BJ378" s="14">
        <f t="shared" si="450"/>
        <v>0</v>
      </c>
      <c r="BK378" s="14">
        <f t="shared" si="450"/>
        <v>0</v>
      </c>
      <c r="BL378" s="14">
        <f t="shared" si="450"/>
        <v>0</v>
      </c>
      <c r="BM378" s="14">
        <f t="shared" si="450"/>
        <v>0</v>
      </c>
      <c r="BN378" s="14">
        <f t="shared" si="450"/>
        <v>0</v>
      </c>
      <c r="BO378" s="14">
        <f t="shared" si="450"/>
        <v>0</v>
      </c>
      <c r="BP378" s="14">
        <f t="shared" si="450"/>
        <v>0</v>
      </c>
      <c r="BQ378" s="14">
        <f t="shared" si="450"/>
        <v>0</v>
      </c>
      <c r="BR378" s="14">
        <f t="shared" si="450"/>
        <v>0</v>
      </c>
      <c r="BS378" s="14">
        <f t="shared" si="450"/>
        <v>0</v>
      </c>
      <c r="BT378" s="14">
        <f t="shared" si="450"/>
        <v>0</v>
      </c>
      <c r="BU378" s="14">
        <f t="shared" si="450"/>
        <v>0</v>
      </c>
      <c r="BV378" s="14">
        <f t="shared" si="450"/>
        <v>0</v>
      </c>
      <c r="BW378" s="14">
        <f t="shared" si="450"/>
        <v>0</v>
      </c>
      <c r="BX378" s="14">
        <f t="shared" si="450"/>
        <v>0</v>
      </c>
      <c r="BY378" s="29"/>
      <c r="BZ378" s="14">
        <f t="shared" ref="BZ378:DE378" si="451">SUM(BZ376:BZ377)</f>
        <v>0</v>
      </c>
      <c r="CA378" s="14">
        <f t="shared" si="451"/>
        <v>0</v>
      </c>
      <c r="CB378" s="14"/>
      <c r="CC378" s="14">
        <f t="shared" si="451"/>
        <v>0</v>
      </c>
      <c r="CD378" s="14">
        <f t="shared" si="451"/>
        <v>0</v>
      </c>
      <c r="CE378" s="14">
        <f t="shared" si="451"/>
        <v>0</v>
      </c>
      <c r="CF378" s="14">
        <f t="shared" si="451"/>
        <v>0</v>
      </c>
      <c r="CG378" s="14">
        <f t="shared" si="451"/>
        <v>0</v>
      </c>
      <c r="CH378" s="14">
        <f t="shared" si="451"/>
        <v>0</v>
      </c>
      <c r="CI378" s="14">
        <f t="shared" si="451"/>
        <v>0</v>
      </c>
      <c r="CJ378" s="14">
        <f t="shared" si="451"/>
        <v>0</v>
      </c>
      <c r="CK378" s="14">
        <f t="shared" si="451"/>
        <v>0</v>
      </c>
      <c r="CL378" s="14">
        <f t="shared" si="451"/>
        <v>0</v>
      </c>
      <c r="CM378" s="14">
        <f t="shared" si="451"/>
        <v>0</v>
      </c>
      <c r="CN378" s="14">
        <f t="shared" si="451"/>
        <v>0</v>
      </c>
      <c r="CO378" s="14">
        <f t="shared" si="451"/>
        <v>0</v>
      </c>
      <c r="CP378" s="14">
        <f t="shared" si="451"/>
        <v>0</v>
      </c>
      <c r="CQ378" s="14">
        <f t="shared" si="451"/>
        <v>0</v>
      </c>
      <c r="CR378" s="14">
        <f t="shared" si="451"/>
        <v>0</v>
      </c>
      <c r="CS378" s="14">
        <f t="shared" si="451"/>
        <v>0</v>
      </c>
      <c r="CT378" s="14">
        <f t="shared" si="451"/>
        <v>0</v>
      </c>
      <c r="CU378" s="14">
        <f t="shared" si="451"/>
        <v>0</v>
      </c>
      <c r="CV378" s="14">
        <f t="shared" si="451"/>
        <v>0</v>
      </c>
      <c r="CW378" s="14">
        <f t="shared" si="451"/>
        <v>0</v>
      </c>
      <c r="CX378" s="14">
        <f t="shared" si="451"/>
        <v>0</v>
      </c>
      <c r="CY378" s="14">
        <f t="shared" si="451"/>
        <v>0</v>
      </c>
      <c r="CZ378" s="14">
        <f t="shared" si="451"/>
        <v>0</v>
      </c>
      <c r="DA378" s="14">
        <f t="shared" si="451"/>
        <v>0</v>
      </c>
      <c r="DB378" s="14">
        <f t="shared" si="451"/>
        <v>0</v>
      </c>
      <c r="DC378" s="14">
        <f t="shared" si="451"/>
        <v>0</v>
      </c>
      <c r="DD378" s="14">
        <f t="shared" si="451"/>
        <v>0</v>
      </c>
      <c r="DE378" s="14">
        <f t="shared" si="451"/>
        <v>0</v>
      </c>
      <c r="DF378" s="29"/>
      <c r="DG378" s="14">
        <f t="shared" ref="DG378:DH378" si="452">SUM(DG376:DG377)</f>
        <v>0</v>
      </c>
      <c r="DH378" s="14">
        <f t="shared" si="452"/>
        <v>0</v>
      </c>
      <c r="DI378" s="14"/>
      <c r="DJ378" s="14">
        <f t="shared" ref="DJ378:FH378" si="453">SUM(DJ376:DJ377)</f>
        <v>54743</v>
      </c>
      <c r="DK378" s="14">
        <f t="shared" si="453"/>
        <v>0</v>
      </c>
      <c r="DL378" s="14">
        <f t="shared" si="453"/>
        <v>0</v>
      </c>
      <c r="DM378" s="14">
        <f t="shared" si="453"/>
        <v>0</v>
      </c>
      <c r="DN378" s="14">
        <f t="shared" si="453"/>
        <v>0</v>
      </c>
      <c r="DO378" s="14">
        <f t="shared" si="453"/>
        <v>0</v>
      </c>
      <c r="DP378" s="132">
        <f t="shared" si="453"/>
        <v>0</v>
      </c>
      <c r="DQ378" s="14">
        <f t="shared" si="453"/>
        <v>0</v>
      </c>
      <c r="DR378" s="14">
        <f t="shared" si="453"/>
        <v>0</v>
      </c>
      <c r="DS378" s="14">
        <f t="shared" si="453"/>
        <v>-7371.5</v>
      </c>
      <c r="DT378" s="14">
        <f t="shared" si="453"/>
        <v>0</v>
      </c>
      <c r="DU378" s="14">
        <f t="shared" si="453"/>
        <v>0</v>
      </c>
      <c r="DV378" s="14">
        <f t="shared" si="453"/>
        <v>0</v>
      </c>
      <c r="DW378" s="14">
        <f t="shared" si="453"/>
        <v>0</v>
      </c>
      <c r="DX378" s="14">
        <f t="shared" si="453"/>
        <v>0</v>
      </c>
      <c r="DY378" s="14">
        <f t="shared" si="453"/>
        <v>-7371.5</v>
      </c>
      <c r="DZ378" s="14">
        <f t="shared" si="453"/>
        <v>0</v>
      </c>
      <c r="EA378" s="14">
        <f t="shared" si="453"/>
        <v>0</v>
      </c>
      <c r="EB378" s="14">
        <f t="shared" si="453"/>
        <v>0</v>
      </c>
      <c r="EC378" s="14">
        <f t="shared" si="453"/>
        <v>0</v>
      </c>
      <c r="ED378" s="14">
        <f t="shared" si="453"/>
        <v>0</v>
      </c>
      <c r="EE378" s="14">
        <f t="shared" si="453"/>
        <v>-14743</v>
      </c>
      <c r="EF378" s="14">
        <f t="shared" si="453"/>
        <v>0</v>
      </c>
      <c r="EG378" s="132">
        <f t="shared" si="453"/>
        <v>0</v>
      </c>
      <c r="EH378" s="14">
        <f t="shared" si="453"/>
        <v>0</v>
      </c>
      <c r="EI378" s="14">
        <f t="shared" si="453"/>
        <v>0</v>
      </c>
      <c r="EJ378" s="14">
        <f t="shared" si="453"/>
        <v>0</v>
      </c>
      <c r="EK378" s="14">
        <f t="shared" ref="EK378" si="454">SUM(EK376:EK377)</f>
        <v>-29486</v>
      </c>
      <c r="EL378" s="14">
        <f t="shared" si="453"/>
        <v>0</v>
      </c>
      <c r="EM378" s="14">
        <f t="shared" si="453"/>
        <v>25257</v>
      </c>
      <c r="EN378" s="14">
        <f t="shared" si="453"/>
        <v>0</v>
      </c>
      <c r="EO378" s="14">
        <f t="shared" si="453"/>
        <v>0</v>
      </c>
      <c r="EP378" s="14">
        <f t="shared" si="453"/>
        <v>0</v>
      </c>
      <c r="EQ378" s="14">
        <f t="shared" si="453"/>
        <v>0</v>
      </c>
      <c r="ER378" s="14">
        <f t="shared" si="453"/>
        <v>0</v>
      </c>
      <c r="ES378" s="68">
        <f t="shared" si="453"/>
        <v>0</v>
      </c>
      <c r="ET378" s="68">
        <f t="shared" si="453"/>
        <v>0</v>
      </c>
      <c r="EU378" s="68">
        <f t="shared" si="453"/>
        <v>0</v>
      </c>
      <c r="EV378" s="68">
        <f t="shared" ref="EV378" si="455">SUM(EV376:EV377)</f>
        <v>0</v>
      </c>
      <c r="EW378" s="68">
        <f t="shared" si="453"/>
        <v>0</v>
      </c>
      <c r="EX378" s="68">
        <f t="shared" si="453"/>
        <v>0</v>
      </c>
      <c r="EY378" s="68">
        <f t="shared" si="453"/>
        <v>0</v>
      </c>
      <c r="EZ378" s="68">
        <f t="shared" ref="EZ378:FB378" si="456">SUM(EZ376:EZ377)</f>
        <v>0</v>
      </c>
      <c r="FA378" s="68">
        <f t="shared" si="456"/>
        <v>-54743</v>
      </c>
      <c r="FB378" s="68">
        <f t="shared" si="456"/>
        <v>54743</v>
      </c>
      <c r="FC378" s="68">
        <f t="shared" si="453"/>
        <v>0</v>
      </c>
      <c r="FD378" s="68">
        <f t="shared" si="453"/>
        <v>0</v>
      </c>
      <c r="FE378" s="68">
        <f t="shared" si="453"/>
        <v>0</v>
      </c>
      <c r="FF378" s="68">
        <f t="shared" si="453"/>
        <v>0</v>
      </c>
      <c r="FG378" s="68">
        <f t="shared" si="453"/>
        <v>0</v>
      </c>
      <c r="FH378" s="68">
        <f t="shared" si="453"/>
        <v>0</v>
      </c>
      <c r="FI378" s="68">
        <f t="shared" ref="FI378:FK378" si="457">SUM(FI376:FI377)</f>
        <v>0</v>
      </c>
      <c r="FJ378" s="68">
        <f t="shared" ref="FJ378" si="458">SUM(FJ376:FJ377)</f>
        <v>-54743</v>
      </c>
      <c r="FK378" s="68">
        <f t="shared" si="457"/>
        <v>54743</v>
      </c>
      <c r="FL378" s="14">
        <f>EM378+EO378+EP378+EQ378+FK378</f>
        <v>80000</v>
      </c>
    </row>
    <row r="379" spans="1:169" hidden="1" x14ac:dyDescent="0.2">
      <c r="E379" s="77"/>
      <c r="F379" s="77"/>
      <c r="G379" s="77"/>
      <c r="H379" s="77"/>
      <c r="I379" s="77"/>
      <c r="J379" s="77"/>
      <c r="K379" s="77"/>
      <c r="L379" s="77" t="s">
        <v>701</v>
      </c>
      <c r="M379" s="77" t="str">
        <f t="shared" si="398"/>
        <v/>
      </c>
      <c r="Q379" s="78"/>
      <c r="R379" s="78"/>
      <c r="AV379" s="79"/>
      <c r="DP379" s="131"/>
    </row>
    <row r="380" spans="1:169" hidden="1" outlineLevel="1" x14ac:dyDescent="0.2">
      <c r="A380" s="77" t="s">
        <v>230</v>
      </c>
      <c r="B380" s="76" t="s">
        <v>34</v>
      </c>
      <c r="C380" s="76" t="s">
        <v>232</v>
      </c>
      <c r="D380" s="76" t="s">
        <v>111</v>
      </c>
      <c r="E380" s="76" t="s">
        <v>476</v>
      </c>
      <c r="F380" s="76" t="s">
        <v>714</v>
      </c>
      <c r="G380" s="77" t="str">
        <f t="shared" ref="G380:G381" si="459">IF(S380&gt;0, "1", "0")</f>
        <v>0</v>
      </c>
      <c r="H380" s="77" t="str">
        <f t="shared" ref="H380:H381" si="460">IF(AW380&gt;0, "1", "0")</f>
        <v>1</v>
      </c>
      <c r="I380" s="77" t="str">
        <f t="shared" ref="I380:I381" si="461">IF(CC380&gt;0, "1", "0")</f>
        <v>0</v>
      </c>
      <c r="J380" s="77" t="str">
        <f t="shared" ref="J380:J381" si="462">IF(DJ380&gt;0, "1", "0")</f>
        <v>0</v>
      </c>
      <c r="K380" s="77" t="str">
        <f t="shared" ref="K380:K381" si="463">CONCATENATE(G380,H380,I380,J380)</f>
        <v>0100</v>
      </c>
      <c r="L380" s="77" t="str">
        <f>IFERROR(VLOOKUP(K380,Sheet2!$A$20:$B$23,2,FALSE),"X")</f>
        <v>02</v>
      </c>
      <c r="M380" s="77" t="str">
        <f t="shared" ref="M380:M383" si="464">A380&amp;B380&amp;E380</f>
        <v>1010N/ASupervisor Pilot</v>
      </c>
      <c r="O380" s="77" t="s">
        <v>160</v>
      </c>
      <c r="P380" s="45" t="s">
        <v>168</v>
      </c>
      <c r="Q380" s="78"/>
      <c r="R380" s="78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158" t="s">
        <v>336</v>
      </c>
      <c r="AV380" s="44"/>
      <c r="AW380" s="44">
        <v>40000</v>
      </c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>
        <f>SUMIF($AX$2:$BU$2,$BV$2,$AX380:$BU380)</f>
        <v>0</v>
      </c>
      <c r="BW380" s="44">
        <f>SUMIF($AX$2:$BU$2,$BW$2,$AX380:$BU380)</f>
        <v>0</v>
      </c>
      <c r="BX380" s="44">
        <f>AT380+AV380+AW380+(BV380+BW380)</f>
        <v>40000</v>
      </c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>
        <f>-300-11867.16-300</f>
        <v>-12467.16</v>
      </c>
      <c r="CQ380" s="44"/>
      <c r="CR380" s="44">
        <v>-6150</v>
      </c>
      <c r="CS380" s="44"/>
      <c r="CT380" s="44"/>
      <c r="CU380" s="44"/>
      <c r="CV380" s="44">
        <v>-1249.06</v>
      </c>
      <c r="CW380" s="44"/>
      <c r="CX380" s="44"/>
      <c r="CY380" s="44"/>
      <c r="CZ380" s="44"/>
      <c r="DA380" s="44"/>
      <c r="DB380" s="79">
        <f>SUMIF($CD$2:$DA$2,$DB$2,$CD380:$DA380)</f>
        <v>0</v>
      </c>
      <c r="DC380" s="79">
        <f>SUMIF($CD$2:$DA$2,$DC$2,$CD380:$DA380)</f>
        <v>-19866.22</v>
      </c>
      <c r="DD380" s="79">
        <f>SUMIF($CD$2:$DA$2,$DD$2,$CD380:$DA380)</f>
        <v>0</v>
      </c>
      <c r="DE380" s="79">
        <f>BX380+CA380+BZ380+CC380+(DB380+DC380+DD380)</f>
        <v>20133.78</v>
      </c>
      <c r="DG380" s="44"/>
      <c r="DH380" s="44"/>
      <c r="DI380" s="44"/>
      <c r="DJ380" s="44"/>
      <c r="DK380" s="44"/>
      <c r="DL380" s="44"/>
      <c r="DM380" s="44"/>
      <c r="DN380" s="44"/>
      <c r="DO380" s="44"/>
      <c r="DP380" s="13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>
        <f>-(130+2123.56)</f>
        <v>-2253.56</v>
      </c>
      <c r="ED380" s="44"/>
      <c r="EE380" s="44"/>
      <c r="EF380" s="44"/>
      <c r="EG380" s="134"/>
      <c r="EH380" s="44"/>
      <c r="EI380" s="44"/>
      <c r="EJ380" s="79">
        <f>SUMIF($DK$2:$EI$2,$EJ$2,$DK380:$EI380)</f>
        <v>0</v>
      </c>
      <c r="EK380" s="79">
        <f>SUMIF($DK$2:$EI$2,$EK$2,$DK380:$EI380)</f>
        <v>-2253.56</v>
      </c>
      <c r="EL380" s="79">
        <f>SUMIF($DK$2:$EI$2,$EL$2,$DK380:$EI380)</f>
        <v>0</v>
      </c>
      <c r="EM380" s="79">
        <f t="shared" ref="EM380:EM381" si="465">DE380+DH380+DG380+DJ380+(EJ380+EK380+EL380)</f>
        <v>17880.219999999998</v>
      </c>
      <c r="FI380" s="66">
        <f>SUMIF($ES$2:$FH$2,$FI$2,$ES380:$FH380)</f>
        <v>0</v>
      </c>
      <c r="FJ380" s="66">
        <f>SUMIF($ES$2:$FH$2,$FJ$2,$ES380:$FH380)</f>
        <v>0</v>
      </c>
      <c r="FK380" s="66">
        <f>SUMIF($ES$2:$FH$2,$FK$2,$ES380:$FH380)</f>
        <v>0</v>
      </c>
      <c r="FL380" s="173">
        <f>EM380+EO380+EP380+EQ380+(FK380+FI380+FJ380)</f>
        <v>17880.219999999998</v>
      </c>
    </row>
    <row r="381" spans="1:169" hidden="1" outlineLevel="1" x14ac:dyDescent="0.2">
      <c r="A381" s="77" t="s">
        <v>21</v>
      </c>
      <c r="B381" s="76" t="s">
        <v>34</v>
      </c>
      <c r="C381" s="76" t="s">
        <v>100</v>
      </c>
      <c r="D381" s="76" t="s">
        <v>111</v>
      </c>
      <c r="E381" s="76" t="s">
        <v>476</v>
      </c>
      <c r="F381" s="76" t="s">
        <v>714</v>
      </c>
      <c r="G381" s="77" t="str">
        <f t="shared" si="459"/>
        <v>0</v>
      </c>
      <c r="H381" s="77" t="str">
        <f t="shared" si="460"/>
        <v>1</v>
      </c>
      <c r="I381" s="77" t="str">
        <f t="shared" si="461"/>
        <v>0</v>
      </c>
      <c r="J381" s="77" t="str">
        <f t="shared" si="462"/>
        <v>0</v>
      </c>
      <c r="K381" s="77" t="str">
        <f t="shared" si="463"/>
        <v>0100</v>
      </c>
      <c r="L381" s="77" t="str">
        <f>IFERROR(VLOOKUP(K381,Sheet2!$A$20:$B$23,2,FALSE),"X")</f>
        <v>02</v>
      </c>
      <c r="M381" s="77" t="str">
        <f t="shared" si="464"/>
        <v>3120N/ASupervisor Pilot</v>
      </c>
      <c r="O381" s="76" t="s">
        <v>160</v>
      </c>
      <c r="P381" s="45" t="s">
        <v>168</v>
      </c>
      <c r="Q381" s="78"/>
      <c r="R381" s="78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158" t="s">
        <v>336</v>
      </c>
      <c r="AV381" s="44"/>
      <c r="AW381" s="44">
        <v>30000</v>
      </c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>
        <f>SUMIF($AX$2:$BU$2,$BV$2,$AX381:$BU381)</f>
        <v>0</v>
      </c>
      <c r="BW381" s="44">
        <f>SUMIF($AX$2:$BU$2,$BW$2,$AX381:$BU381)</f>
        <v>0</v>
      </c>
      <c r="BX381" s="44">
        <f>AT381+AV381+AW381+(BV381+BW381)</f>
        <v>30000</v>
      </c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>
        <v>-8868.7999999999993</v>
      </c>
      <c r="CY381" s="44"/>
      <c r="CZ381" s="44"/>
      <c r="DA381" s="44"/>
      <c r="DB381" s="79">
        <f>SUMIF($CD$2:$DA$2,$DB$2,$CD381:$DA381)</f>
        <v>0</v>
      </c>
      <c r="DC381" s="79">
        <f>SUMIF($CD$2:$DA$2,$DC$2,$CD381:$DA381)</f>
        <v>-8868.7999999999993</v>
      </c>
      <c r="DD381" s="79">
        <f>SUMIF($CD$2:$DA$2,$DD$2,$CD381:$DA381)</f>
        <v>0</v>
      </c>
      <c r="DE381" s="79">
        <f>BX381+CA381+BZ381+CC381+(DB381+DC381+DD381)</f>
        <v>21131.200000000001</v>
      </c>
      <c r="DG381" s="44"/>
      <c r="DH381" s="44"/>
      <c r="DI381" s="44"/>
      <c r="DJ381" s="44"/>
      <c r="DK381" s="44"/>
      <c r="DL381" s="44"/>
      <c r="DM381" s="44"/>
      <c r="DN381" s="44"/>
      <c r="DO381" s="44"/>
      <c r="DP381" s="134"/>
      <c r="DQ381" s="44">
        <v>-885.11</v>
      </c>
      <c r="DR381" s="44"/>
      <c r="DS381" s="44">
        <v>-54.24</v>
      </c>
      <c r="DT381" s="44"/>
      <c r="DU381" s="44"/>
      <c r="DV381" s="44"/>
      <c r="DW381" s="44"/>
      <c r="DX381" s="44"/>
      <c r="DY381" s="44"/>
      <c r="DZ381" s="44"/>
      <c r="EA381" s="44"/>
      <c r="EB381" s="44"/>
      <c r="EC381" s="44">
        <v>-273.74</v>
      </c>
      <c r="ED381" s="44"/>
      <c r="EE381" s="44"/>
      <c r="EF381" s="44"/>
      <c r="EG381" s="134"/>
      <c r="EH381" s="44"/>
      <c r="EI381" s="44">
        <v>-1614.15</v>
      </c>
      <c r="EJ381" s="79">
        <f>SUMIF($DK$2:$EI$2,$EJ$2,$DK381:$EI381)</f>
        <v>0</v>
      </c>
      <c r="EK381" s="79">
        <f>SUMIF($DK$2:$EI$2,$EK$2,$DK381:$EI381)</f>
        <v>-1213.0900000000001</v>
      </c>
      <c r="EL381" s="79">
        <f>SUMIF($DK$2:$EI$2,$EL$2,$DK381:$EI381)</f>
        <v>-1614.15</v>
      </c>
      <c r="EM381" s="79">
        <f t="shared" si="465"/>
        <v>18303.96</v>
      </c>
      <c r="EX381" s="144">
        <v>-8785.07</v>
      </c>
      <c r="FI381" s="66">
        <f>SUMIF($ES$2:$FH$2,$FI$2,$ES381:$FH381)</f>
        <v>0</v>
      </c>
      <c r="FJ381" s="66">
        <f>SUMIF($ES$2:$FH$2,$FJ$2,$ES381:$FH381)</f>
        <v>0</v>
      </c>
      <c r="FK381" s="66">
        <f>SUMIF($ES$2:$FH$2,$FK$2,$ES381:$FH381)</f>
        <v>-8785.07</v>
      </c>
      <c r="FL381" s="173">
        <f>EM381+EO381+EP381+EQ381+(FK381+FI381+FJ381)</f>
        <v>9518.89</v>
      </c>
    </row>
    <row r="382" spans="1:169" hidden="1" collapsed="1" x14ac:dyDescent="0.2">
      <c r="G382" s="77"/>
      <c r="H382" s="77"/>
      <c r="I382" s="77"/>
      <c r="J382" s="77"/>
      <c r="K382" s="77"/>
      <c r="L382" s="77" t="s">
        <v>701</v>
      </c>
      <c r="M382" s="77" t="str">
        <f t="shared" si="464"/>
        <v/>
      </c>
      <c r="P382" s="18" t="s">
        <v>477</v>
      </c>
      <c r="Q382" s="78"/>
      <c r="R382" s="78"/>
      <c r="S382" s="14">
        <f t="shared" ref="S382:AT382" si="466">SUM(S380:S381)</f>
        <v>0</v>
      </c>
      <c r="T382" s="14">
        <f t="shared" si="466"/>
        <v>0</v>
      </c>
      <c r="U382" s="14">
        <f t="shared" si="466"/>
        <v>0</v>
      </c>
      <c r="V382" s="14">
        <f t="shared" si="466"/>
        <v>0</v>
      </c>
      <c r="W382" s="14">
        <f t="shared" si="466"/>
        <v>0</v>
      </c>
      <c r="X382" s="14">
        <f t="shared" si="466"/>
        <v>0</v>
      </c>
      <c r="Y382" s="14">
        <f t="shared" si="466"/>
        <v>0</v>
      </c>
      <c r="Z382" s="14">
        <f t="shared" si="466"/>
        <v>0</v>
      </c>
      <c r="AA382" s="14">
        <f t="shared" si="466"/>
        <v>0</v>
      </c>
      <c r="AB382" s="14">
        <f t="shared" si="466"/>
        <v>0</v>
      </c>
      <c r="AC382" s="14">
        <f t="shared" si="466"/>
        <v>0</v>
      </c>
      <c r="AD382" s="14">
        <f t="shared" si="466"/>
        <v>0</v>
      </c>
      <c r="AE382" s="14">
        <f t="shared" si="466"/>
        <v>0</v>
      </c>
      <c r="AF382" s="14">
        <f t="shared" si="466"/>
        <v>0</v>
      </c>
      <c r="AG382" s="14">
        <f t="shared" si="466"/>
        <v>0</v>
      </c>
      <c r="AH382" s="14">
        <f t="shared" si="466"/>
        <v>0</v>
      </c>
      <c r="AI382" s="14">
        <f t="shared" si="466"/>
        <v>0</v>
      </c>
      <c r="AJ382" s="14">
        <f t="shared" si="466"/>
        <v>0</v>
      </c>
      <c r="AK382" s="14">
        <f t="shared" si="466"/>
        <v>0</v>
      </c>
      <c r="AL382" s="14">
        <f t="shared" si="466"/>
        <v>0</v>
      </c>
      <c r="AM382" s="14">
        <f t="shared" si="466"/>
        <v>0</v>
      </c>
      <c r="AN382" s="14">
        <f t="shared" si="466"/>
        <v>0</v>
      </c>
      <c r="AO382" s="14">
        <f t="shared" si="466"/>
        <v>0</v>
      </c>
      <c r="AP382" s="14">
        <f t="shared" si="466"/>
        <v>0</v>
      </c>
      <c r="AQ382" s="14">
        <f t="shared" si="466"/>
        <v>0</v>
      </c>
      <c r="AR382" s="14">
        <f t="shared" si="466"/>
        <v>0</v>
      </c>
      <c r="AS382" s="14">
        <f t="shared" si="466"/>
        <v>0</v>
      </c>
      <c r="AT382" s="14">
        <f t="shared" si="466"/>
        <v>0</v>
      </c>
      <c r="AU382" s="29"/>
      <c r="AV382" s="14">
        <f t="shared" ref="AV382:BX382" si="467">SUM(AV380:AV381)</f>
        <v>0</v>
      </c>
      <c r="AW382" s="14">
        <f t="shared" si="467"/>
        <v>70000</v>
      </c>
      <c r="AX382" s="14">
        <f t="shared" si="467"/>
        <v>0</v>
      </c>
      <c r="AY382" s="14">
        <f t="shared" si="467"/>
        <v>0</v>
      </c>
      <c r="AZ382" s="14">
        <f t="shared" si="467"/>
        <v>0</v>
      </c>
      <c r="BA382" s="14">
        <f t="shared" si="467"/>
        <v>0</v>
      </c>
      <c r="BB382" s="14">
        <f t="shared" si="467"/>
        <v>0</v>
      </c>
      <c r="BC382" s="14">
        <f t="shared" si="467"/>
        <v>0</v>
      </c>
      <c r="BD382" s="14">
        <f t="shared" si="467"/>
        <v>0</v>
      </c>
      <c r="BE382" s="14">
        <f t="shared" si="467"/>
        <v>0</v>
      </c>
      <c r="BF382" s="14">
        <f t="shared" si="467"/>
        <v>0</v>
      </c>
      <c r="BG382" s="14">
        <f t="shared" si="467"/>
        <v>0</v>
      </c>
      <c r="BH382" s="14">
        <f t="shared" si="467"/>
        <v>0</v>
      </c>
      <c r="BI382" s="14">
        <f t="shared" si="467"/>
        <v>0</v>
      </c>
      <c r="BJ382" s="14">
        <f t="shared" si="467"/>
        <v>0</v>
      </c>
      <c r="BK382" s="14">
        <f t="shared" si="467"/>
        <v>0</v>
      </c>
      <c r="BL382" s="14">
        <f t="shared" si="467"/>
        <v>0</v>
      </c>
      <c r="BM382" s="14">
        <f t="shared" si="467"/>
        <v>0</v>
      </c>
      <c r="BN382" s="14">
        <f t="shared" si="467"/>
        <v>0</v>
      </c>
      <c r="BO382" s="14">
        <f t="shared" si="467"/>
        <v>0</v>
      </c>
      <c r="BP382" s="14">
        <f t="shared" si="467"/>
        <v>0</v>
      </c>
      <c r="BQ382" s="14">
        <f t="shared" si="467"/>
        <v>0</v>
      </c>
      <c r="BR382" s="14">
        <f t="shared" si="467"/>
        <v>0</v>
      </c>
      <c r="BS382" s="14">
        <f t="shared" si="467"/>
        <v>0</v>
      </c>
      <c r="BT382" s="14">
        <f t="shared" si="467"/>
        <v>0</v>
      </c>
      <c r="BU382" s="14">
        <f t="shared" si="467"/>
        <v>0</v>
      </c>
      <c r="BV382" s="14">
        <f t="shared" si="467"/>
        <v>0</v>
      </c>
      <c r="BW382" s="14">
        <f t="shared" si="467"/>
        <v>0</v>
      </c>
      <c r="BX382" s="14">
        <f t="shared" si="467"/>
        <v>70000</v>
      </c>
      <c r="BY382" s="29"/>
      <c r="BZ382" s="14">
        <f t="shared" ref="BZ382:CA382" si="468">SUM(BZ380:BZ381)</f>
        <v>0</v>
      </c>
      <c r="CA382" s="14">
        <f t="shared" si="468"/>
        <v>0</v>
      </c>
      <c r="CB382" s="14"/>
      <c r="CC382" s="14">
        <f t="shared" ref="CC382:DE382" si="469">SUM(CC380:CC381)</f>
        <v>0</v>
      </c>
      <c r="CD382" s="14">
        <f t="shared" si="469"/>
        <v>0</v>
      </c>
      <c r="CE382" s="14">
        <f t="shared" si="469"/>
        <v>0</v>
      </c>
      <c r="CF382" s="14">
        <f t="shared" si="469"/>
        <v>0</v>
      </c>
      <c r="CG382" s="14">
        <f t="shared" si="469"/>
        <v>0</v>
      </c>
      <c r="CH382" s="14">
        <f t="shared" si="469"/>
        <v>0</v>
      </c>
      <c r="CI382" s="14">
        <f t="shared" si="469"/>
        <v>0</v>
      </c>
      <c r="CJ382" s="14">
        <f t="shared" si="469"/>
        <v>0</v>
      </c>
      <c r="CK382" s="14">
        <f t="shared" si="469"/>
        <v>0</v>
      </c>
      <c r="CL382" s="14">
        <f t="shared" si="469"/>
        <v>0</v>
      </c>
      <c r="CM382" s="14">
        <f t="shared" si="469"/>
        <v>0</v>
      </c>
      <c r="CN382" s="14">
        <f t="shared" si="469"/>
        <v>0</v>
      </c>
      <c r="CO382" s="14">
        <f t="shared" si="469"/>
        <v>0</v>
      </c>
      <c r="CP382" s="14">
        <f t="shared" si="469"/>
        <v>-12467.16</v>
      </c>
      <c r="CQ382" s="14">
        <f t="shared" si="469"/>
        <v>0</v>
      </c>
      <c r="CR382" s="14">
        <f t="shared" si="469"/>
        <v>-6150</v>
      </c>
      <c r="CS382" s="14">
        <f t="shared" si="469"/>
        <v>0</v>
      </c>
      <c r="CT382" s="14">
        <f t="shared" si="469"/>
        <v>0</v>
      </c>
      <c r="CU382" s="14">
        <f t="shared" si="469"/>
        <v>0</v>
      </c>
      <c r="CV382" s="14">
        <f t="shared" si="469"/>
        <v>-1249.06</v>
      </c>
      <c r="CW382" s="14">
        <f t="shared" si="469"/>
        <v>0</v>
      </c>
      <c r="CX382" s="14">
        <f t="shared" si="469"/>
        <v>-8868.7999999999993</v>
      </c>
      <c r="CY382" s="14">
        <f t="shared" si="469"/>
        <v>0</v>
      </c>
      <c r="CZ382" s="14">
        <f t="shared" si="469"/>
        <v>0</v>
      </c>
      <c r="DA382" s="14">
        <f t="shared" si="469"/>
        <v>0</v>
      </c>
      <c r="DB382" s="14">
        <f t="shared" si="469"/>
        <v>0</v>
      </c>
      <c r="DC382" s="14">
        <f t="shared" si="469"/>
        <v>-28735.02</v>
      </c>
      <c r="DD382" s="14">
        <f t="shared" si="469"/>
        <v>0</v>
      </c>
      <c r="DE382" s="14">
        <f t="shared" si="469"/>
        <v>41264.979999999996</v>
      </c>
      <c r="DF382" s="29"/>
      <c r="DG382" s="14">
        <f t="shared" ref="DG382:DH382" si="470">SUM(DG380:DG381)</f>
        <v>0</v>
      </c>
      <c r="DH382" s="14">
        <f t="shared" si="470"/>
        <v>0</v>
      </c>
      <c r="DI382" s="14"/>
      <c r="DJ382" s="14">
        <f t="shared" ref="DJ382:FH382" si="471">SUM(DJ380:DJ381)</f>
        <v>0</v>
      </c>
      <c r="DK382" s="14">
        <f t="shared" si="471"/>
        <v>0</v>
      </c>
      <c r="DL382" s="14">
        <f t="shared" si="471"/>
        <v>0</v>
      </c>
      <c r="DM382" s="14">
        <f t="shared" si="471"/>
        <v>0</v>
      </c>
      <c r="DN382" s="14">
        <f t="shared" si="471"/>
        <v>0</v>
      </c>
      <c r="DO382" s="14">
        <f t="shared" si="471"/>
        <v>0</v>
      </c>
      <c r="DP382" s="132">
        <f t="shared" si="471"/>
        <v>0</v>
      </c>
      <c r="DQ382" s="14">
        <f t="shared" si="471"/>
        <v>-885.11</v>
      </c>
      <c r="DR382" s="14">
        <f t="shared" si="471"/>
        <v>0</v>
      </c>
      <c r="DS382" s="14">
        <f t="shared" si="471"/>
        <v>-54.24</v>
      </c>
      <c r="DT382" s="14">
        <f t="shared" si="471"/>
        <v>0</v>
      </c>
      <c r="DU382" s="14">
        <f t="shared" si="471"/>
        <v>0</v>
      </c>
      <c r="DV382" s="14">
        <f t="shared" si="471"/>
        <v>0</v>
      </c>
      <c r="DW382" s="14">
        <f t="shared" si="471"/>
        <v>0</v>
      </c>
      <c r="DX382" s="14">
        <f t="shared" si="471"/>
        <v>0</v>
      </c>
      <c r="DY382" s="14">
        <f t="shared" si="471"/>
        <v>0</v>
      </c>
      <c r="DZ382" s="14">
        <f t="shared" si="471"/>
        <v>0</v>
      </c>
      <c r="EA382" s="14">
        <f t="shared" si="471"/>
        <v>0</v>
      </c>
      <c r="EB382" s="14">
        <f t="shared" si="471"/>
        <v>0</v>
      </c>
      <c r="EC382" s="14">
        <f t="shared" si="471"/>
        <v>-2527.3000000000002</v>
      </c>
      <c r="ED382" s="14">
        <f t="shared" si="471"/>
        <v>0</v>
      </c>
      <c r="EE382" s="14">
        <f t="shared" si="471"/>
        <v>0</v>
      </c>
      <c r="EF382" s="14">
        <f t="shared" si="471"/>
        <v>0</v>
      </c>
      <c r="EG382" s="132">
        <f t="shared" si="471"/>
        <v>0</v>
      </c>
      <c r="EH382" s="14">
        <f t="shared" si="471"/>
        <v>0</v>
      </c>
      <c r="EI382" s="14">
        <f t="shared" si="471"/>
        <v>-1614.15</v>
      </c>
      <c r="EJ382" s="14">
        <f t="shared" si="471"/>
        <v>0</v>
      </c>
      <c r="EK382" s="14">
        <f t="shared" si="471"/>
        <v>-3466.65</v>
      </c>
      <c r="EL382" s="14">
        <f t="shared" si="471"/>
        <v>-1614.15</v>
      </c>
      <c r="EM382" s="14">
        <f t="shared" si="471"/>
        <v>36184.179999999993</v>
      </c>
      <c r="EN382" s="14">
        <f t="shared" si="471"/>
        <v>0</v>
      </c>
      <c r="EO382" s="14">
        <f t="shared" si="471"/>
        <v>0</v>
      </c>
      <c r="EP382" s="14">
        <f t="shared" si="471"/>
        <v>0</v>
      </c>
      <c r="EQ382" s="14">
        <f t="shared" si="471"/>
        <v>0</v>
      </c>
      <c r="ER382" s="14">
        <f t="shared" si="471"/>
        <v>0</v>
      </c>
      <c r="ES382" s="68">
        <f t="shared" si="471"/>
        <v>0</v>
      </c>
      <c r="ET382" s="68">
        <f t="shared" si="471"/>
        <v>0</v>
      </c>
      <c r="EU382" s="68">
        <f t="shared" si="471"/>
        <v>0</v>
      </c>
      <c r="EV382" s="68">
        <f t="shared" ref="EV382" si="472">SUM(EV380:EV381)</f>
        <v>0</v>
      </c>
      <c r="EW382" s="68">
        <f t="shared" si="471"/>
        <v>0</v>
      </c>
      <c r="EX382" s="68">
        <f t="shared" si="471"/>
        <v>-8785.07</v>
      </c>
      <c r="EY382" s="68">
        <f t="shared" si="471"/>
        <v>0</v>
      </c>
      <c r="EZ382" s="68">
        <f t="shared" ref="EZ382:FB382" si="473">SUM(EZ380:EZ381)</f>
        <v>0</v>
      </c>
      <c r="FA382" s="68">
        <f t="shared" si="473"/>
        <v>0</v>
      </c>
      <c r="FB382" s="68">
        <f t="shared" si="473"/>
        <v>0</v>
      </c>
      <c r="FC382" s="68">
        <f t="shared" si="471"/>
        <v>0</v>
      </c>
      <c r="FD382" s="68">
        <f t="shared" si="471"/>
        <v>0</v>
      </c>
      <c r="FE382" s="68">
        <f t="shared" si="471"/>
        <v>0</v>
      </c>
      <c r="FF382" s="68">
        <f t="shared" si="471"/>
        <v>0</v>
      </c>
      <c r="FG382" s="68">
        <f t="shared" si="471"/>
        <v>0</v>
      </c>
      <c r="FH382" s="68">
        <f t="shared" si="471"/>
        <v>0</v>
      </c>
      <c r="FI382" s="68">
        <f t="shared" ref="FI382:FK382" si="474">SUM(FI380:FI381)</f>
        <v>0</v>
      </c>
      <c r="FJ382" s="68">
        <f t="shared" ref="FJ382" si="475">SUM(FJ380:FJ381)</f>
        <v>0</v>
      </c>
      <c r="FK382" s="68">
        <f t="shared" si="474"/>
        <v>-8785.07</v>
      </c>
      <c r="FL382" s="14">
        <f>EM382+EO382+EP382+EQ382+FK382</f>
        <v>27399.109999999993</v>
      </c>
    </row>
    <row r="383" spans="1:169" hidden="1" x14ac:dyDescent="0.2">
      <c r="E383" s="77"/>
      <c r="F383" s="77"/>
      <c r="G383" s="77"/>
      <c r="H383" s="77"/>
      <c r="I383" s="77"/>
      <c r="J383" s="77"/>
      <c r="K383" s="77"/>
      <c r="L383" s="77" t="s">
        <v>701</v>
      </c>
      <c r="M383" s="77" t="str">
        <f t="shared" si="464"/>
        <v/>
      </c>
      <c r="Q383" s="78"/>
      <c r="R383" s="78"/>
      <c r="AV383" s="79"/>
      <c r="DP383" s="131"/>
    </row>
    <row r="384" spans="1:169" hidden="1" outlineLevel="1" x14ac:dyDescent="0.2">
      <c r="A384" s="76" t="s">
        <v>229</v>
      </c>
      <c r="B384" s="77" t="s">
        <v>234</v>
      </c>
      <c r="C384" s="76" t="s">
        <v>231</v>
      </c>
      <c r="D384" s="76" t="s">
        <v>251</v>
      </c>
      <c r="E384" s="77" t="s">
        <v>228</v>
      </c>
      <c r="F384" s="77" t="s">
        <v>716</v>
      </c>
      <c r="G384" s="77" t="str">
        <f t="shared" ref="G384:G397" si="476">IF(S384&gt;0, "1", "0")</f>
        <v>1</v>
      </c>
      <c r="H384" s="77" t="str">
        <f t="shared" ref="H384:H397" si="477">IF(AW384&gt;0, "1", "0")</f>
        <v>0</v>
      </c>
      <c r="I384" s="77" t="str">
        <f t="shared" ref="I384:I397" si="478">IF(CC384&gt;0, "1", "0")</f>
        <v>0</v>
      </c>
      <c r="J384" s="77" t="str">
        <f t="shared" ref="J384:J397" si="479">IF(DJ384&gt;0, "1", "0")</f>
        <v>0</v>
      </c>
      <c r="K384" s="77" t="str">
        <f t="shared" ref="K384:K397" si="480">CONCATENATE(G384,H384,I384,J384)</f>
        <v>1000</v>
      </c>
      <c r="L384" s="77" t="str">
        <f>IFERROR(VLOOKUP(K384,Sheet2!$A$20:$B$23,2,FALSE),"X")</f>
        <v>01</v>
      </c>
      <c r="M384" s="77" t="str">
        <f t="shared" ref="M384:M415" si="481">A384&amp;B384&amp;E384</f>
        <v>00206376Turnaround Network</v>
      </c>
      <c r="N384" s="76" t="s">
        <v>161</v>
      </c>
      <c r="O384" s="76" t="s">
        <v>160</v>
      </c>
      <c r="P384" s="69" t="s">
        <v>168</v>
      </c>
      <c r="Q384" s="78"/>
      <c r="R384" s="78"/>
      <c r="S384" s="79">
        <v>50000</v>
      </c>
      <c r="AR384" s="79">
        <f t="shared" ref="AR384:AR397" si="482">SUMIF($T$2:$AQ$2,$AR$2,$T384:$AQ384)</f>
        <v>0</v>
      </c>
      <c r="AS384" s="79">
        <f t="shared" ref="AS384:AS397" si="483">SUMIF($T$2:$AQ$2,$AS$2,$T384:$AQ384)</f>
        <v>0</v>
      </c>
      <c r="AT384" s="79">
        <f>S384+(AR384+AS384)</f>
        <v>50000</v>
      </c>
      <c r="AU384" s="79"/>
      <c r="AV384" s="79"/>
      <c r="BD384" s="79">
        <v>-20940</v>
      </c>
      <c r="BF384" s="79">
        <v>-1871</v>
      </c>
      <c r="BH384" s="79">
        <v>-2227</v>
      </c>
      <c r="BJ384" s="79">
        <v>-825</v>
      </c>
      <c r="BL384" s="79">
        <v>-388</v>
      </c>
      <c r="BP384" s="79">
        <v>-821</v>
      </c>
      <c r="BR384" s="79">
        <v>-337</v>
      </c>
      <c r="BV384" s="79">
        <f t="shared" ref="BV384:BV397" si="484">SUMIF($AX$2:$BU$2,$BV$2,$AX384:$BU384)</f>
        <v>-27409</v>
      </c>
      <c r="BW384" s="79">
        <f t="shared" ref="BW384:BW397" si="485">SUMIF($AX$2:$BU$2,$BW$2,$AX384:$BU384)</f>
        <v>0</v>
      </c>
      <c r="BX384" s="79">
        <f t="shared" ref="BX384:BX397" si="486">AT384+AV384+AW384+(BV384+BW384)</f>
        <v>22591</v>
      </c>
      <c r="BY384" s="79"/>
      <c r="CD384" s="79">
        <v>-17</v>
      </c>
      <c r="CH384" s="79">
        <v>-9845.17</v>
      </c>
      <c r="CJ384" s="79">
        <v>-12403.28</v>
      </c>
      <c r="DB384" s="79">
        <f t="shared" ref="DB384:DB397" si="487">SUMIF($CD$2:$DA$2,$DB$2,$CD384:$DA384)</f>
        <v>-17</v>
      </c>
      <c r="DC384" s="79">
        <f t="shared" ref="DC384:DC397" si="488">SUMIF($CD$2:$DA$2,$DC$2,$CD384:$DA384)</f>
        <v>-22248.45</v>
      </c>
      <c r="DD384" s="79">
        <f t="shared" ref="DD384:DD397" si="489">SUMIF($CD$2:$DA$2,$DD$2,$CD384:$DA384)</f>
        <v>0</v>
      </c>
      <c r="DE384" s="79">
        <f t="shared" ref="DE384:DE397" si="490">BX384+CA384+BZ384+CC384+(DB384+DC384+DD384)</f>
        <v>325.54999999999927</v>
      </c>
      <c r="DF384" s="79"/>
      <c r="DP384" s="131"/>
      <c r="EJ384" s="79">
        <f t="shared" ref="EJ384:EJ397" si="491">SUMIF($DK$2:$EI$2,$EJ$2,$DK384:$EI384)</f>
        <v>0</v>
      </c>
      <c r="EK384" s="79">
        <f t="shared" ref="EK384:EK397" si="492">SUMIF($DK$2:$EI$2,$EK$2,$DK384:$EI384)</f>
        <v>0</v>
      </c>
      <c r="EL384" s="79">
        <f t="shared" ref="EL384:EL397" si="493">SUMIF($DK$2:$EI$2,$EL$2,$DK384:$EI384)</f>
        <v>0</v>
      </c>
      <c r="EM384" s="79">
        <f t="shared" ref="EM384:EM398" si="494">DE384+DH384+DG384+DJ384+(EJ384+EK384+EL384)</f>
        <v>325.54999999999927</v>
      </c>
      <c r="FI384" s="66">
        <f t="shared" ref="FI384:FI415" si="495">SUMIF($ES$2:$FH$2,$FI$2,$ES384:$FH384)</f>
        <v>0</v>
      </c>
      <c r="FJ384" s="66">
        <f t="shared" ref="FJ384:FJ415" si="496">SUMIF($ES$2:$FH$2,$FJ$2,$ES384:$FH384)</f>
        <v>0</v>
      </c>
      <c r="FK384" s="66">
        <f t="shared" ref="FK384:FK415" si="497">SUMIF($ES$2:$FH$2,$FK$2,$ES384:$FH384)</f>
        <v>0</v>
      </c>
      <c r="FL384" s="173">
        <f t="shared" ref="FL384:FL415" si="498">EM384+EO384+EP384+EQ384+(FK384+FI384+FJ384)</f>
        <v>325.54999999999927</v>
      </c>
    </row>
    <row r="385" spans="1:169" hidden="1" outlineLevel="1" x14ac:dyDescent="0.2">
      <c r="A385" s="76" t="s">
        <v>229</v>
      </c>
      <c r="B385" s="77" t="s">
        <v>277</v>
      </c>
      <c r="C385" s="76" t="s">
        <v>231</v>
      </c>
      <c r="D385" s="76" t="s">
        <v>111</v>
      </c>
      <c r="E385" s="77" t="s">
        <v>228</v>
      </c>
      <c r="F385" s="77" t="s">
        <v>716</v>
      </c>
      <c r="G385" s="77" t="str">
        <f t="shared" si="476"/>
        <v>1</v>
      </c>
      <c r="H385" s="77" t="str">
        <f t="shared" si="477"/>
        <v>0</v>
      </c>
      <c r="I385" s="77" t="str">
        <f t="shared" si="478"/>
        <v>0</v>
      </c>
      <c r="J385" s="77" t="str">
        <f t="shared" si="479"/>
        <v>0</v>
      </c>
      <c r="K385" s="77" t="str">
        <f t="shared" si="480"/>
        <v>1000</v>
      </c>
      <c r="L385" s="77" t="str">
        <f>IFERROR(VLOOKUP(K385,Sheet2!$A$20:$B$23,2,FALSE),"X")</f>
        <v>01</v>
      </c>
      <c r="M385" s="77" t="str">
        <f t="shared" si="481"/>
        <v>0020N/A Turnaround Network</v>
      </c>
      <c r="N385" s="76" t="s">
        <v>161</v>
      </c>
      <c r="O385" s="76" t="s">
        <v>160</v>
      </c>
      <c r="P385" s="69" t="s">
        <v>168</v>
      </c>
      <c r="Q385" s="78"/>
      <c r="R385" s="78"/>
      <c r="S385" s="79">
        <v>30000</v>
      </c>
      <c r="AR385" s="79">
        <f t="shared" si="482"/>
        <v>0</v>
      </c>
      <c r="AS385" s="79">
        <f t="shared" si="483"/>
        <v>0</v>
      </c>
      <c r="AT385" s="79">
        <f>S385+(AR385+AS385)</f>
        <v>30000</v>
      </c>
      <c r="AU385" s="79"/>
      <c r="AV385" s="79"/>
      <c r="BD385" s="79">
        <v>-8265</v>
      </c>
      <c r="BH385" s="79">
        <v>-5490</v>
      </c>
      <c r="BJ385" s="79">
        <v>-1319</v>
      </c>
      <c r="BL385" s="79">
        <v>-677</v>
      </c>
      <c r="BV385" s="79">
        <f t="shared" si="484"/>
        <v>-15751</v>
      </c>
      <c r="BW385" s="79">
        <f t="shared" si="485"/>
        <v>0</v>
      </c>
      <c r="BX385" s="79">
        <f t="shared" si="486"/>
        <v>14249</v>
      </c>
      <c r="BY385" s="79"/>
      <c r="CD385" s="79">
        <v>-1626</v>
      </c>
      <c r="CH385" s="79">
        <v>-4572.5600000000004</v>
      </c>
      <c r="CJ385" s="79">
        <v>-6179.44</v>
      </c>
      <c r="CV385" s="79">
        <v>-1871</v>
      </c>
      <c r="DB385" s="79">
        <f t="shared" si="487"/>
        <v>-1626</v>
      </c>
      <c r="DC385" s="79">
        <f t="shared" si="488"/>
        <v>-12623</v>
      </c>
      <c r="DD385" s="79">
        <f t="shared" si="489"/>
        <v>0</v>
      </c>
      <c r="DE385" s="79">
        <f t="shared" si="490"/>
        <v>0</v>
      </c>
      <c r="DF385" s="79"/>
      <c r="DP385" s="131"/>
      <c r="DQ385" s="97">
        <v>2572.94</v>
      </c>
      <c r="EJ385" s="79">
        <f t="shared" si="491"/>
        <v>0</v>
      </c>
      <c r="EK385" s="79">
        <f t="shared" si="492"/>
        <v>2572.94</v>
      </c>
      <c r="EL385" s="79">
        <f t="shared" si="493"/>
        <v>0</v>
      </c>
      <c r="EM385" s="79">
        <f t="shared" si="494"/>
        <v>2572.94</v>
      </c>
      <c r="FI385" s="66">
        <f t="shared" si="495"/>
        <v>0</v>
      </c>
      <c r="FJ385" s="66">
        <f t="shared" si="496"/>
        <v>0</v>
      </c>
      <c r="FK385" s="66">
        <f t="shared" si="497"/>
        <v>0</v>
      </c>
      <c r="FL385" s="173">
        <f t="shared" si="498"/>
        <v>2572.94</v>
      </c>
    </row>
    <row r="386" spans="1:169" hidden="1" outlineLevel="1" x14ac:dyDescent="0.2">
      <c r="A386" s="76" t="s">
        <v>9</v>
      </c>
      <c r="B386" s="77" t="s">
        <v>295</v>
      </c>
      <c r="C386" s="76" t="s">
        <v>90</v>
      </c>
      <c r="D386" s="76" t="s">
        <v>280</v>
      </c>
      <c r="E386" s="77" t="s">
        <v>228</v>
      </c>
      <c r="F386" s="77" t="s">
        <v>716</v>
      </c>
      <c r="G386" s="77" t="str">
        <f t="shared" si="476"/>
        <v>0</v>
      </c>
      <c r="H386" s="77" t="str">
        <f t="shared" si="477"/>
        <v>0</v>
      </c>
      <c r="I386" s="77" t="str">
        <f t="shared" si="478"/>
        <v>0</v>
      </c>
      <c r="J386" s="77" t="str">
        <f t="shared" si="479"/>
        <v>0</v>
      </c>
      <c r="K386" s="77" t="str">
        <f t="shared" si="480"/>
        <v>0000</v>
      </c>
      <c r="L386" s="77" t="str">
        <f>IFERROR(VLOOKUP(K386,Sheet2!$A$20:$B$23,2,FALSE),"X")</f>
        <v>X</v>
      </c>
      <c r="M386" s="77" t="str">
        <f t="shared" si="481"/>
        <v>00305982Turnaround Network</v>
      </c>
      <c r="N386" s="76" t="s">
        <v>315</v>
      </c>
      <c r="O386" s="76" t="s">
        <v>160</v>
      </c>
      <c r="P386" s="69" t="s">
        <v>168</v>
      </c>
      <c r="Q386" s="78"/>
      <c r="R386" s="78"/>
      <c r="AR386" s="79">
        <f t="shared" si="482"/>
        <v>0</v>
      </c>
      <c r="AS386" s="79">
        <f t="shared" si="483"/>
        <v>0</v>
      </c>
      <c r="AT386" s="79">
        <v>2336</v>
      </c>
      <c r="AV386" s="79"/>
      <c r="BV386" s="79">
        <f t="shared" si="484"/>
        <v>0</v>
      </c>
      <c r="BW386" s="79">
        <f t="shared" si="485"/>
        <v>0</v>
      </c>
      <c r="BX386" s="79">
        <f t="shared" si="486"/>
        <v>2336</v>
      </c>
      <c r="DB386" s="79">
        <f t="shared" si="487"/>
        <v>0</v>
      </c>
      <c r="DC386" s="79">
        <f t="shared" si="488"/>
        <v>0</v>
      </c>
      <c r="DD386" s="79">
        <f t="shared" si="489"/>
        <v>0</v>
      </c>
      <c r="DE386" s="79">
        <f t="shared" si="490"/>
        <v>2336</v>
      </c>
      <c r="DP386" s="131"/>
      <c r="EJ386" s="79">
        <f t="shared" si="491"/>
        <v>0</v>
      </c>
      <c r="EK386" s="79">
        <f t="shared" si="492"/>
        <v>0</v>
      </c>
      <c r="EL386" s="79">
        <f t="shared" si="493"/>
        <v>0</v>
      </c>
      <c r="EM386" s="79">
        <f t="shared" si="494"/>
        <v>2336</v>
      </c>
      <c r="EU386" s="145"/>
      <c r="FI386" s="66">
        <f t="shared" si="495"/>
        <v>0</v>
      </c>
      <c r="FJ386" s="66">
        <f t="shared" si="496"/>
        <v>0</v>
      </c>
      <c r="FK386" s="66">
        <f t="shared" si="497"/>
        <v>0</v>
      </c>
      <c r="FL386" s="173">
        <f t="shared" si="498"/>
        <v>2336</v>
      </c>
    </row>
    <row r="387" spans="1:169" hidden="1" outlineLevel="1" x14ac:dyDescent="0.2">
      <c r="A387" s="76" t="s">
        <v>9</v>
      </c>
      <c r="B387" s="77" t="s">
        <v>295</v>
      </c>
      <c r="C387" s="76" t="s">
        <v>90</v>
      </c>
      <c r="D387" s="76" t="s">
        <v>280</v>
      </c>
      <c r="E387" s="77" t="s">
        <v>228</v>
      </c>
      <c r="F387" s="77" t="s">
        <v>716</v>
      </c>
      <c r="G387" s="77" t="str">
        <f t="shared" si="476"/>
        <v>1</v>
      </c>
      <c r="H387" s="77" t="str">
        <f t="shared" si="477"/>
        <v>0</v>
      </c>
      <c r="I387" s="77" t="str">
        <f t="shared" si="478"/>
        <v>0</v>
      </c>
      <c r="J387" s="77" t="str">
        <f t="shared" si="479"/>
        <v>0</v>
      </c>
      <c r="K387" s="77" t="str">
        <f t="shared" si="480"/>
        <v>1000</v>
      </c>
      <c r="L387" s="77" t="str">
        <f>IFERROR(VLOOKUP(K387,Sheet2!$A$20:$B$23,2,FALSE),"X")</f>
        <v>01</v>
      </c>
      <c r="M387" s="77" t="str">
        <f t="shared" si="481"/>
        <v>00305982Turnaround Network</v>
      </c>
      <c r="N387" s="76" t="s">
        <v>161</v>
      </c>
      <c r="O387" s="76" t="s">
        <v>160</v>
      </c>
      <c r="P387" s="69" t="s">
        <v>168</v>
      </c>
      <c r="Q387" s="78">
        <v>43229</v>
      </c>
      <c r="R387" s="78">
        <v>43229</v>
      </c>
      <c r="S387" s="79">
        <v>50000</v>
      </c>
      <c r="AR387" s="79">
        <f t="shared" si="482"/>
        <v>0</v>
      </c>
      <c r="AS387" s="79">
        <f t="shared" si="483"/>
        <v>0</v>
      </c>
      <c r="AT387" s="79">
        <f>S387+(AR387+AS387)</f>
        <v>50000</v>
      </c>
      <c r="AU387" s="79"/>
      <c r="AV387" s="79"/>
      <c r="BD387" s="79">
        <v>-3618</v>
      </c>
      <c r="BH387" s="79">
        <v>-1541</v>
      </c>
      <c r="BJ387" s="79">
        <v>-1129</v>
      </c>
      <c r="BL387" s="79">
        <v>-694</v>
      </c>
      <c r="BV387" s="79">
        <f t="shared" si="484"/>
        <v>-6982</v>
      </c>
      <c r="BW387" s="79">
        <f t="shared" si="485"/>
        <v>0</v>
      </c>
      <c r="BX387" s="79">
        <f t="shared" si="486"/>
        <v>43018</v>
      </c>
      <c r="BY387" s="79"/>
      <c r="DB387" s="79">
        <f t="shared" si="487"/>
        <v>0</v>
      </c>
      <c r="DC387" s="79">
        <f t="shared" si="488"/>
        <v>0</v>
      </c>
      <c r="DD387" s="79">
        <f t="shared" si="489"/>
        <v>0</v>
      </c>
      <c r="DE387" s="79">
        <f t="shared" si="490"/>
        <v>43018</v>
      </c>
      <c r="DF387" s="79"/>
      <c r="DP387" s="131"/>
      <c r="EJ387" s="79">
        <f t="shared" si="491"/>
        <v>0</v>
      </c>
      <c r="EK387" s="79">
        <f t="shared" si="492"/>
        <v>0</v>
      </c>
      <c r="EL387" s="79">
        <f t="shared" si="493"/>
        <v>0</v>
      </c>
      <c r="EM387" s="79">
        <f t="shared" si="494"/>
        <v>43018</v>
      </c>
      <c r="EU387" s="145"/>
      <c r="FI387" s="66">
        <f t="shared" si="495"/>
        <v>0</v>
      </c>
      <c r="FJ387" s="66">
        <f t="shared" si="496"/>
        <v>0</v>
      </c>
      <c r="FK387" s="66">
        <f t="shared" si="497"/>
        <v>0</v>
      </c>
      <c r="FL387" s="173">
        <f t="shared" si="498"/>
        <v>43018</v>
      </c>
    </row>
    <row r="388" spans="1:169" hidden="1" outlineLevel="1" x14ac:dyDescent="0.2">
      <c r="A388" s="76" t="s">
        <v>9</v>
      </c>
      <c r="B388" s="76" t="s">
        <v>34</v>
      </c>
      <c r="C388" s="76" t="s">
        <v>90</v>
      </c>
      <c r="D388" s="76" t="s">
        <v>111</v>
      </c>
      <c r="E388" s="77" t="s">
        <v>228</v>
      </c>
      <c r="F388" s="77" t="s">
        <v>716</v>
      </c>
      <c r="G388" s="77" t="str">
        <f t="shared" si="476"/>
        <v>1</v>
      </c>
      <c r="H388" s="77" t="str">
        <f t="shared" si="477"/>
        <v>0</v>
      </c>
      <c r="I388" s="77" t="str">
        <f t="shared" si="478"/>
        <v>0</v>
      </c>
      <c r="J388" s="77" t="str">
        <f t="shared" si="479"/>
        <v>0</v>
      </c>
      <c r="K388" s="77" t="str">
        <f t="shared" si="480"/>
        <v>1000</v>
      </c>
      <c r="L388" s="77" t="str">
        <f>IFERROR(VLOOKUP(K388,Sheet2!$A$20:$B$23,2,FALSE),"X")</f>
        <v>01</v>
      </c>
      <c r="M388" s="77" t="str">
        <f t="shared" si="481"/>
        <v>0030N/ATurnaround Network</v>
      </c>
      <c r="N388" s="76" t="s">
        <v>161</v>
      </c>
      <c r="O388" s="76" t="s">
        <v>160</v>
      </c>
      <c r="P388" s="69" t="s">
        <v>168</v>
      </c>
      <c r="Q388" s="78"/>
      <c r="R388" s="78"/>
      <c r="S388" s="79">
        <v>10000</v>
      </c>
      <c r="AR388" s="79">
        <f t="shared" si="482"/>
        <v>0</v>
      </c>
      <c r="AS388" s="79">
        <f t="shared" si="483"/>
        <v>0</v>
      </c>
      <c r="AT388" s="79">
        <f>S388+(AR388+AS388)</f>
        <v>10000</v>
      </c>
      <c r="AU388" s="79"/>
      <c r="AV388" s="79"/>
      <c r="BV388" s="79">
        <f t="shared" si="484"/>
        <v>0</v>
      </c>
      <c r="BW388" s="79">
        <f t="shared" si="485"/>
        <v>0</v>
      </c>
      <c r="BX388" s="79">
        <f t="shared" si="486"/>
        <v>10000</v>
      </c>
      <c r="BY388" s="79"/>
      <c r="DB388" s="79">
        <f t="shared" si="487"/>
        <v>0</v>
      </c>
      <c r="DC388" s="79">
        <f t="shared" si="488"/>
        <v>0</v>
      </c>
      <c r="DD388" s="79">
        <f t="shared" si="489"/>
        <v>0</v>
      </c>
      <c r="DE388" s="79">
        <f t="shared" si="490"/>
        <v>10000</v>
      </c>
      <c r="DF388" s="79"/>
      <c r="DP388" s="131"/>
      <c r="EJ388" s="79">
        <f t="shared" si="491"/>
        <v>0</v>
      </c>
      <c r="EK388" s="79">
        <f t="shared" si="492"/>
        <v>0</v>
      </c>
      <c r="EL388" s="79">
        <f t="shared" si="493"/>
        <v>0</v>
      </c>
      <c r="EM388" s="79">
        <f t="shared" si="494"/>
        <v>10000</v>
      </c>
      <c r="FI388" s="66">
        <f t="shared" si="495"/>
        <v>0</v>
      </c>
      <c r="FJ388" s="66">
        <f t="shared" si="496"/>
        <v>0</v>
      </c>
      <c r="FK388" s="66">
        <f t="shared" si="497"/>
        <v>0</v>
      </c>
      <c r="FL388" s="173">
        <f t="shared" si="498"/>
        <v>10000</v>
      </c>
    </row>
    <row r="389" spans="1:169" hidden="1" outlineLevel="1" x14ac:dyDescent="0.2">
      <c r="A389" s="88" t="s">
        <v>13</v>
      </c>
      <c r="B389" s="89" t="s">
        <v>36</v>
      </c>
      <c r="C389" s="88" t="s">
        <v>94</v>
      </c>
      <c r="D389" s="88" t="s">
        <v>113</v>
      </c>
      <c r="E389" s="89" t="s">
        <v>228</v>
      </c>
      <c r="F389" s="89" t="s">
        <v>716</v>
      </c>
      <c r="G389" s="77" t="str">
        <f t="shared" si="476"/>
        <v>0</v>
      </c>
      <c r="H389" s="77" t="str">
        <f t="shared" si="477"/>
        <v>0</v>
      </c>
      <c r="I389" s="77" t="str">
        <f t="shared" si="478"/>
        <v>1</v>
      </c>
      <c r="J389" s="77" t="str">
        <f t="shared" si="479"/>
        <v>0</v>
      </c>
      <c r="K389" s="77" t="str">
        <f t="shared" si="480"/>
        <v>0010</v>
      </c>
      <c r="L389" s="77" t="str">
        <f>IFERROR(VLOOKUP(K389,Sheet2!$A$20:$B$23,2,FALSE),"X")</f>
        <v>03</v>
      </c>
      <c r="M389" s="77" t="str">
        <f t="shared" si="481"/>
        <v>01202752Turnaround Network</v>
      </c>
      <c r="N389" s="88"/>
      <c r="O389" s="88" t="s">
        <v>160</v>
      </c>
      <c r="P389" s="90" t="s">
        <v>168</v>
      </c>
      <c r="Q389" s="91"/>
      <c r="R389" s="91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>
        <f t="shared" si="482"/>
        <v>0</v>
      </c>
      <c r="AS389" s="92">
        <f t="shared" si="483"/>
        <v>0</v>
      </c>
      <c r="AT389" s="92">
        <f>S389+(AR389+AS389)</f>
        <v>0</v>
      </c>
      <c r="AU389" s="161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>
        <f t="shared" si="484"/>
        <v>0</v>
      </c>
      <c r="BW389" s="92">
        <f t="shared" si="485"/>
        <v>0</v>
      </c>
      <c r="BX389" s="92">
        <f t="shared" si="486"/>
        <v>0</v>
      </c>
      <c r="BY389" s="92"/>
      <c r="BZ389" s="92"/>
      <c r="CA389" s="92"/>
      <c r="CB389" s="92"/>
      <c r="CC389" s="92">
        <v>15647.4558</v>
      </c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>
        <f t="shared" si="487"/>
        <v>0</v>
      </c>
      <c r="DC389" s="92">
        <f t="shared" si="488"/>
        <v>0</v>
      </c>
      <c r="DD389" s="92">
        <f t="shared" si="489"/>
        <v>0</v>
      </c>
      <c r="DE389" s="92">
        <f t="shared" si="490"/>
        <v>15647.4558</v>
      </c>
      <c r="DF389" s="79"/>
      <c r="DH389" s="42">
        <v>29977</v>
      </c>
      <c r="DP389" s="131"/>
      <c r="DU389" s="79">
        <v>-12793</v>
      </c>
      <c r="DY389" s="79">
        <v>-1387</v>
      </c>
      <c r="EA389" s="79">
        <v>-820</v>
      </c>
      <c r="EE389" s="79">
        <v>-3997</v>
      </c>
      <c r="EJ389" s="79">
        <f t="shared" si="491"/>
        <v>0</v>
      </c>
      <c r="EK389" s="79">
        <f t="shared" si="492"/>
        <v>-18997</v>
      </c>
      <c r="EL389" s="79">
        <f t="shared" si="493"/>
        <v>0</v>
      </c>
      <c r="EM389" s="79">
        <f t="shared" si="494"/>
        <v>26627.455799999996</v>
      </c>
      <c r="EP389" s="79">
        <v>64470</v>
      </c>
      <c r="ES389" s="144">
        <v>-8998</v>
      </c>
      <c r="ET389" s="144">
        <v>-1982</v>
      </c>
      <c r="EY389" s="144">
        <v>-4328.8500000000004</v>
      </c>
      <c r="FI389" s="66">
        <f t="shared" si="495"/>
        <v>0</v>
      </c>
      <c r="FJ389" s="66">
        <f t="shared" si="496"/>
        <v>0</v>
      </c>
      <c r="FK389" s="66">
        <f t="shared" si="497"/>
        <v>-15308.85</v>
      </c>
      <c r="FL389" s="173">
        <f t="shared" si="498"/>
        <v>75788.60579999999</v>
      </c>
    </row>
    <row r="390" spans="1:169" hidden="1" outlineLevel="1" x14ac:dyDescent="0.2">
      <c r="A390" s="76" t="s">
        <v>15</v>
      </c>
      <c r="B390" s="76" t="s">
        <v>233</v>
      </c>
      <c r="C390" s="76" t="s">
        <v>296</v>
      </c>
      <c r="D390" s="76" t="s">
        <v>254</v>
      </c>
      <c r="E390" s="77" t="s">
        <v>228</v>
      </c>
      <c r="F390" s="77" t="s">
        <v>716</v>
      </c>
      <c r="G390" s="77" t="str">
        <f t="shared" si="476"/>
        <v>1</v>
      </c>
      <c r="H390" s="77" t="str">
        <f t="shared" si="477"/>
        <v>0</v>
      </c>
      <c r="I390" s="77" t="str">
        <f t="shared" si="478"/>
        <v>0</v>
      </c>
      <c r="J390" s="77" t="str">
        <f t="shared" si="479"/>
        <v>0</v>
      </c>
      <c r="K390" s="77" t="str">
        <f t="shared" si="480"/>
        <v>1000</v>
      </c>
      <c r="L390" s="77" t="str">
        <f>IFERROR(VLOOKUP(K390,Sheet2!$A$20:$B$23,2,FALSE),"X")</f>
        <v>01</v>
      </c>
      <c r="M390" s="77" t="str">
        <f t="shared" si="481"/>
        <v>01800464Turnaround Network</v>
      </c>
      <c r="N390" s="76" t="s">
        <v>161</v>
      </c>
      <c r="O390" s="76" t="s">
        <v>160</v>
      </c>
      <c r="P390" s="69" t="s">
        <v>168</v>
      </c>
      <c r="Q390" s="78"/>
      <c r="R390" s="78"/>
      <c r="S390" s="79">
        <v>106594</v>
      </c>
      <c r="AR390" s="79">
        <f t="shared" si="482"/>
        <v>0</v>
      </c>
      <c r="AS390" s="79">
        <f t="shared" si="483"/>
        <v>0</v>
      </c>
      <c r="AT390" s="79">
        <f>S390+(AR390+AS390)</f>
        <v>106594</v>
      </c>
      <c r="AU390" s="79"/>
      <c r="AV390" s="79"/>
      <c r="BH390" s="79">
        <v>-7191</v>
      </c>
      <c r="BP390" s="79">
        <v>-9680</v>
      </c>
      <c r="BV390" s="79">
        <f t="shared" si="484"/>
        <v>-16871</v>
      </c>
      <c r="BW390" s="79">
        <f t="shared" si="485"/>
        <v>0</v>
      </c>
      <c r="BX390" s="79">
        <f t="shared" si="486"/>
        <v>89723</v>
      </c>
      <c r="BY390" s="79" t="s">
        <v>341</v>
      </c>
      <c r="CA390" s="79">
        <v>30000</v>
      </c>
      <c r="CH390" s="79">
        <v>-35998.019999999997</v>
      </c>
      <c r="DB390" s="79">
        <f t="shared" si="487"/>
        <v>0</v>
      </c>
      <c r="DC390" s="79">
        <f t="shared" si="488"/>
        <v>-35998.019999999997</v>
      </c>
      <c r="DD390" s="79">
        <f t="shared" si="489"/>
        <v>0</v>
      </c>
      <c r="DE390" s="79">
        <f t="shared" si="490"/>
        <v>83724.98000000001</v>
      </c>
      <c r="DF390" s="79"/>
      <c r="DP390" s="131">
        <v>-15760.21</v>
      </c>
      <c r="EJ390" s="79">
        <f t="shared" si="491"/>
        <v>-15760.21</v>
      </c>
      <c r="EK390" s="79">
        <f t="shared" si="492"/>
        <v>0</v>
      </c>
      <c r="EL390" s="79">
        <f t="shared" si="493"/>
        <v>0</v>
      </c>
      <c r="EM390" s="79">
        <f t="shared" si="494"/>
        <v>67964.770000000019</v>
      </c>
      <c r="FI390" s="66">
        <f t="shared" si="495"/>
        <v>0</v>
      </c>
      <c r="FJ390" s="66">
        <f t="shared" si="496"/>
        <v>0</v>
      </c>
      <c r="FK390" s="66">
        <f t="shared" si="497"/>
        <v>0</v>
      </c>
      <c r="FL390" s="173">
        <f t="shared" si="498"/>
        <v>67964.770000000019</v>
      </c>
    </row>
    <row r="391" spans="1:169" hidden="1" outlineLevel="1" x14ac:dyDescent="0.2">
      <c r="A391" s="76" t="s">
        <v>15</v>
      </c>
      <c r="B391" s="77" t="s">
        <v>235</v>
      </c>
      <c r="C391" s="76" t="s">
        <v>296</v>
      </c>
      <c r="D391" s="76" t="s">
        <v>252</v>
      </c>
      <c r="E391" s="77" t="s">
        <v>228</v>
      </c>
      <c r="F391" s="77" t="s">
        <v>716</v>
      </c>
      <c r="G391" s="77" t="str">
        <f t="shared" si="476"/>
        <v>0</v>
      </c>
      <c r="H391" s="77" t="str">
        <f t="shared" si="477"/>
        <v>0</v>
      </c>
      <c r="I391" s="77" t="str">
        <f t="shared" si="478"/>
        <v>0</v>
      </c>
      <c r="J391" s="77" t="str">
        <f t="shared" si="479"/>
        <v>0</v>
      </c>
      <c r="K391" s="77" t="str">
        <f t="shared" si="480"/>
        <v>0000</v>
      </c>
      <c r="L391" s="77" t="str">
        <f>IFERROR(VLOOKUP(K391,Sheet2!$A$20:$B$23,2,FALSE),"X")</f>
        <v>X</v>
      </c>
      <c r="M391" s="77" t="str">
        <f t="shared" si="481"/>
        <v>01806310Turnaround Network</v>
      </c>
      <c r="N391" s="76" t="s">
        <v>315</v>
      </c>
      <c r="O391" s="76" t="s">
        <v>160</v>
      </c>
      <c r="P391" s="69" t="s">
        <v>168</v>
      </c>
      <c r="Q391" s="78">
        <v>43229</v>
      </c>
      <c r="R391" s="78">
        <v>43229</v>
      </c>
      <c r="AR391" s="79">
        <f t="shared" si="482"/>
        <v>0</v>
      </c>
      <c r="AS391" s="79">
        <f t="shared" si="483"/>
        <v>0</v>
      </c>
      <c r="AT391" s="79">
        <v>3154</v>
      </c>
      <c r="AV391" s="79"/>
      <c r="BV391" s="79">
        <f t="shared" si="484"/>
        <v>0</v>
      </c>
      <c r="BW391" s="79">
        <f t="shared" si="485"/>
        <v>0</v>
      </c>
      <c r="BX391" s="79">
        <f t="shared" si="486"/>
        <v>3154</v>
      </c>
      <c r="CJ391" s="79">
        <v>-3154</v>
      </c>
      <c r="DB391" s="79">
        <f t="shared" si="487"/>
        <v>0</v>
      </c>
      <c r="DC391" s="79">
        <f t="shared" si="488"/>
        <v>-3154</v>
      </c>
      <c r="DD391" s="79">
        <f t="shared" si="489"/>
        <v>0</v>
      </c>
      <c r="DE391" s="79">
        <f t="shared" si="490"/>
        <v>0</v>
      </c>
      <c r="DP391" s="131"/>
      <c r="EJ391" s="79">
        <f t="shared" si="491"/>
        <v>0</v>
      </c>
      <c r="EK391" s="79">
        <f t="shared" si="492"/>
        <v>0</v>
      </c>
      <c r="EL391" s="79">
        <f t="shared" si="493"/>
        <v>0</v>
      </c>
      <c r="EM391" s="79">
        <f t="shared" si="494"/>
        <v>0</v>
      </c>
      <c r="FI391" s="66">
        <f t="shared" si="495"/>
        <v>0</v>
      </c>
      <c r="FJ391" s="66">
        <f t="shared" si="496"/>
        <v>0</v>
      </c>
      <c r="FK391" s="66">
        <f t="shared" si="497"/>
        <v>0</v>
      </c>
      <c r="FL391" s="173">
        <f t="shared" si="498"/>
        <v>0</v>
      </c>
    </row>
    <row r="392" spans="1:169" hidden="1" outlineLevel="1" x14ac:dyDescent="0.2">
      <c r="A392" s="76" t="s">
        <v>15</v>
      </c>
      <c r="B392" s="77" t="s">
        <v>235</v>
      </c>
      <c r="C392" s="76" t="s">
        <v>296</v>
      </c>
      <c r="D392" s="76" t="s">
        <v>252</v>
      </c>
      <c r="E392" s="77" t="s">
        <v>228</v>
      </c>
      <c r="F392" s="77" t="s">
        <v>716</v>
      </c>
      <c r="G392" s="77" t="str">
        <f t="shared" si="476"/>
        <v>1</v>
      </c>
      <c r="H392" s="77" t="str">
        <f t="shared" si="477"/>
        <v>0</v>
      </c>
      <c r="I392" s="77" t="str">
        <f t="shared" si="478"/>
        <v>0</v>
      </c>
      <c r="J392" s="77" t="str">
        <f t="shared" si="479"/>
        <v>0</v>
      </c>
      <c r="K392" s="77" t="str">
        <f t="shared" si="480"/>
        <v>1000</v>
      </c>
      <c r="L392" s="77" t="str">
        <f>IFERROR(VLOOKUP(K392,Sheet2!$A$20:$B$23,2,FALSE),"X")</f>
        <v>01</v>
      </c>
      <c r="M392" s="77" t="str">
        <f t="shared" si="481"/>
        <v>01806310Turnaround Network</v>
      </c>
      <c r="N392" s="76" t="s">
        <v>161</v>
      </c>
      <c r="O392" s="76" t="s">
        <v>160</v>
      </c>
      <c r="P392" s="69" t="s">
        <v>168</v>
      </c>
      <c r="Q392" s="78"/>
      <c r="R392" s="78"/>
      <c r="S392" s="79">
        <v>101569</v>
      </c>
      <c r="AR392" s="79">
        <f t="shared" si="482"/>
        <v>0</v>
      </c>
      <c r="AS392" s="79">
        <f t="shared" si="483"/>
        <v>0</v>
      </c>
      <c r="AT392" s="79">
        <f>S392+(AR392+AS392)</f>
        <v>101569</v>
      </c>
      <c r="AU392" s="79"/>
      <c r="AV392" s="79"/>
      <c r="BD392" s="79">
        <v>-32640</v>
      </c>
      <c r="BF392" s="79">
        <v>-13357</v>
      </c>
      <c r="BH392" s="79">
        <v>-3695</v>
      </c>
      <c r="BJ392" s="79">
        <v>-3516</v>
      </c>
      <c r="BN392" s="79">
        <v>-1682</v>
      </c>
      <c r="BT392" s="79">
        <v>-4846</v>
      </c>
      <c r="BV392" s="79">
        <f t="shared" si="484"/>
        <v>-59736</v>
      </c>
      <c r="BW392" s="79">
        <f t="shared" si="485"/>
        <v>0</v>
      </c>
      <c r="BX392" s="79">
        <f t="shared" si="486"/>
        <v>41833</v>
      </c>
      <c r="BY392" s="79" t="s">
        <v>341</v>
      </c>
      <c r="CA392" s="79">
        <v>30000</v>
      </c>
      <c r="CH392" s="79">
        <v>-24332.52</v>
      </c>
      <c r="CJ392" s="79">
        <v>-13950.68</v>
      </c>
      <c r="DB392" s="79">
        <f t="shared" si="487"/>
        <v>0</v>
      </c>
      <c r="DC392" s="79">
        <f t="shared" si="488"/>
        <v>-38283.199999999997</v>
      </c>
      <c r="DD392" s="79">
        <f t="shared" si="489"/>
        <v>0</v>
      </c>
      <c r="DE392" s="79">
        <f t="shared" si="490"/>
        <v>33549.800000000003</v>
      </c>
      <c r="DF392" s="79"/>
      <c r="DP392" s="131">
        <v>-14600.01</v>
      </c>
      <c r="EJ392" s="79">
        <f t="shared" si="491"/>
        <v>-14600.01</v>
      </c>
      <c r="EK392" s="79">
        <f t="shared" si="492"/>
        <v>0</v>
      </c>
      <c r="EL392" s="79">
        <f t="shared" si="493"/>
        <v>0</v>
      </c>
      <c r="EM392" s="79">
        <f t="shared" si="494"/>
        <v>18949.79</v>
      </c>
      <c r="FI392" s="66">
        <f t="shared" si="495"/>
        <v>0</v>
      </c>
      <c r="FJ392" s="66">
        <f t="shared" si="496"/>
        <v>0</v>
      </c>
      <c r="FK392" s="66">
        <f t="shared" si="497"/>
        <v>0</v>
      </c>
      <c r="FL392" s="173">
        <f t="shared" si="498"/>
        <v>18949.79</v>
      </c>
    </row>
    <row r="393" spans="1:169" hidden="1" outlineLevel="1" x14ac:dyDescent="0.2">
      <c r="A393" s="76" t="s">
        <v>15</v>
      </c>
      <c r="B393" s="77" t="s">
        <v>236</v>
      </c>
      <c r="C393" s="76" t="s">
        <v>296</v>
      </c>
      <c r="D393" s="76" t="s">
        <v>253</v>
      </c>
      <c r="E393" s="77" t="s">
        <v>228</v>
      </c>
      <c r="F393" s="77" t="s">
        <v>716</v>
      </c>
      <c r="G393" s="77" t="str">
        <f t="shared" si="476"/>
        <v>0</v>
      </c>
      <c r="H393" s="77" t="str">
        <f t="shared" si="477"/>
        <v>0</v>
      </c>
      <c r="I393" s="77" t="str">
        <f t="shared" si="478"/>
        <v>0</v>
      </c>
      <c r="J393" s="77" t="str">
        <f t="shared" si="479"/>
        <v>0</v>
      </c>
      <c r="K393" s="77" t="str">
        <f t="shared" si="480"/>
        <v>0000</v>
      </c>
      <c r="L393" s="77" t="str">
        <f>IFERROR(VLOOKUP(K393,Sheet2!$A$20:$B$23,2,FALSE),"X")</f>
        <v>X</v>
      </c>
      <c r="M393" s="77" t="str">
        <f t="shared" si="481"/>
        <v>01808078Turnaround Network</v>
      </c>
      <c r="N393" s="76" t="s">
        <v>315</v>
      </c>
      <c r="O393" s="76" t="s">
        <v>160</v>
      </c>
      <c r="P393" s="69" t="s">
        <v>168</v>
      </c>
      <c r="Q393" s="78"/>
      <c r="R393" s="78"/>
      <c r="AR393" s="79">
        <f t="shared" si="482"/>
        <v>0</v>
      </c>
      <c r="AS393" s="79">
        <f t="shared" si="483"/>
        <v>0</v>
      </c>
      <c r="AT393" s="79">
        <v>85</v>
      </c>
      <c r="AV393" s="79"/>
      <c r="BV393" s="79">
        <f t="shared" si="484"/>
        <v>0</v>
      </c>
      <c r="BW393" s="79">
        <f t="shared" si="485"/>
        <v>0</v>
      </c>
      <c r="BX393" s="79">
        <f t="shared" si="486"/>
        <v>85</v>
      </c>
      <c r="CJ393" s="79">
        <v>-85</v>
      </c>
      <c r="DB393" s="79">
        <f t="shared" si="487"/>
        <v>0</v>
      </c>
      <c r="DC393" s="79">
        <f t="shared" si="488"/>
        <v>-85</v>
      </c>
      <c r="DD393" s="79">
        <f t="shared" si="489"/>
        <v>0</v>
      </c>
      <c r="DE393" s="79">
        <f t="shared" si="490"/>
        <v>0</v>
      </c>
      <c r="DP393" s="131"/>
      <c r="EJ393" s="79">
        <f t="shared" si="491"/>
        <v>0</v>
      </c>
      <c r="EK393" s="79">
        <f t="shared" si="492"/>
        <v>0</v>
      </c>
      <c r="EL393" s="79">
        <f t="shared" si="493"/>
        <v>0</v>
      </c>
      <c r="EM393" s="79">
        <f t="shared" si="494"/>
        <v>0</v>
      </c>
      <c r="FI393" s="66">
        <f t="shared" si="495"/>
        <v>0</v>
      </c>
      <c r="FJ393" s="66">
        <f t="shared" si="496"/>
        <v>0</v>
      </c>
      <c r="FK393" s="66">
        <f t="shared" si="497"/>
        <v>0</v>
      </c>
      <c r="FL393" s="173">
        <f t="shared" si="498"/>
        <v>0</v>
      </c>
    </row>
    <row r="394" spans="1:169" hidden="1" outlineLevel="1" x14ac:dyDescent="0.2">
      <c r="A394" s="76" t="s">
        <v>15</v>
      </c>
      <c r="B394" s="77" t="s">
        <v>236</v>
      </c>
      <c r="C394" s="76" t="s">
        <v>296</v>
      </c>
      <c r="D394" s="76" t="s">
        <v>253</v>
      </c>
      <c r="E394" s="77" t="s">
        <v>228</v>
      </c>
      <c r="F394" s="77" t="s">
        <v>716</v>
      </c>
      <c r="G394" s="77" t="str">
        <f t="shared" si="476"/>
        <v>1</v>
      </c>
      <c r="H394" s="77" t="str">
        <f t="shared" si="477"/>
        <v>0</v>
      </c>
      <c r="I394" s="77" t="str">
        <f t="shared" si="478"/>
        <v>0</v>
      </c>
      <c r="J394" s="77" t="str">
        <f t="shared" si="479"/>
        <v>0</v>
      </c>
      <c r="K394" s="77" t="str">
        <f t="shared" si="480"/>
        <v>1000</v>
      </c>
      <c r="L394" s="77" t="str">
        <f>IFERROR(VLOOKUP(K394,Sheet2!$A$20:$B$23,2,FALSE),"X")</f>
        <v>01</v>
      </c>
      <c r="M394" s="77" t="str">
        <f t="shared" si="481"/>
        <v>01808078Turnaround Network</v>
      </c>
      <c r="N394" s="76" t="s">
        <v>161</v>
      </c>
      <c r="O394" s="76" t="s">
        <v>160</v>
      </c>
      <c r="P394" s="69" t="s">
        <v>168</v>
      </c>
      <c r="Q394" s="78"/>
      <c r="R394" s="78"/>
      <c r="S394" s="79">
        <v>97760</v>
      </c>
      <c r="AR394" s="79">
        <f t="shared" si="482"/>
        <v>0</v>
      </c>
      <c r="AS394" s="79">
        <f t="shared" si="483"/>
        <v>0</v>
      </c>
      <c r="AT394" s="79">
        <f>S394+(AR394+AS394)</f>
        <v>97760</v>
      </c>
      <c r="AU394" s="79"/>
      <c r="AV394" s="79"/>
      <c r="BD394" s="79">
        <v>-31603</v>
      </c>
      <c r="BF394" s="79">
        <v>-14768</v>
      </c>
      <c r="BH394" s="79">
        <v>-231</v>
      </c>
      <c r="BJ394" s="79">
        <v>-1866</v>
      </c>
      <c r="BL394" s="79">
        <v>-1149</v>
      </c>
      <c r="BP394" s="79">
        <v>-16180</v>
      </c>
      <c r="BT394" s="79">
        <v>-951</v>
      </c>
      <c r="BV394" s="79">
        <f t="shared" si="484"/>
        <v>-66748</v>
      </c>
      <c r="BW394" s="79">
        <f t="shared" si="485"/>
        <v>0</v>
      </c>
      <c r="BX394" s="79">
        <f t="shared" si="486"/>
        <v>31012</v>
      </c>
      <c r="BY394" s="158" t="s">
        <v>341</v>
      </c>
      <c r="CA394" s="79">
        <v>30000</v>
      </c>
      <c r="CJ394" s="79">
        <v>-6933.0599999999995</v>
      </c>
      <c r="CN394" s="79">
        <v>-18164.72</v>
      </c>
      <c r="DB394" s="79">
        <f t="shared" si="487"/>
        <v>0</v>
      </c>
      <c r="DC394" s="79">
        <f t="shared" si="488"/>
        <v>-25097.78</v>
      </c>
      <c r="DD394" s="79">
        <f t="shared" si="489"/>
        <v>0</v>
      </c>
      <c r="DE394" s="79">
        <f t="shared" si="490"/>
        <v>35914.22</v>
      </c>
      <c r="DP394" s="131">
        <v>-32317.65</v>
      </c>
      <c r="EJ394" s="79">
        <f t="shared" si="491"/>
        <v>-32317.65</v>
      </c>
      <c r="EK394" s="79">
        <f t="shared" si="492"/>
        <v>0</v>
      </c>
      <c r="EL394" s="79">
        <f t="shared" si="493"/>
        <v>0</v>
      </c>
      <c r="EM394" s="79">
        <f t="shared" si="494"/>
        <v>3596.5699999999997</v>
      </c>
      <c r="FI394" s="66">
        <f t="shared" si="495"/>
        <v>0</v>
      </c>
      <c r="FJ394" s="66">
        <f t="shared" si="496"/>
        <v>0</v>
      </c>
      <c r="FK394" s="66">
        <f t="shared" si="497"/>
        <v>0</v>
      </c>
      <c r="FL394" s="173">
        <f t="shared" si="498"/>
        <v>3596.5699999999997</v>
      </c>
    </row>
    <row r="395" spans="1:169" hidden="1" outlineLevel="1" x14ac:dyDescent="0.2">
      <c r="A395" s="76" t="s">
        <v>15</v>
      </c>
      <c r="B395" s="77" t="s">
        <v>297</v>
      </c>
      <c r="C395" s="76" t="s">
        <v>296</v>
      </c>
      <c r="D395" s="76" t="s">
        <v>298</v>
      </c>
      <c r="E395" s="77" t="s">
        <v>228</v>
      </c>
      <c r="F395" s="77" t="s">
        <v>716</v>
      </c>
      <c r="G395" s="77" t="str">
        <f t="shared" si="476"/>
        <v>0</v>
      </c>
      <c r="H395" s="77" t="str">
        <f t="shared" si="477"/>
        <v>0</v>
      </c>
      <c r="I395" s="77" t="str">
        <f t="shared" si="478"/>
        <v>1</v>
      </c>
      <c r="J395" s="77" t="str">
        <f t="shared" si="479"/>
        <v>0</v>
      </c>
      <c r="K395" s="77" t="str">
        <f t="shared" si="480"/>
        <v>0010</v>
      </c>
      <c r="L395" s="77" t="str">
        <f>IFERROR(VLOOKUP(K395,Sheet2!$A$20:$B$23,2,FALSE),"X")</f>
        <v>03</v>
      </c>
      <c r="M395" s="77" t="str">
        <f t="shared" si="481"/>
        <v>01809140Turnaround Network</v>
      </c>
      <c r="N395" s="76" t="s">
        <v>315</v>
      </c>
      <c r="O395" s="76" t="s">
        <v>160</v>
      </c>
      <c r="P395" s="69" t="s">
        <v>168</v>
      </c>
      <c r="Q395" s="78"/>
      <c r="R395" s="78"/>
      <c r="AR395" s="79">
        <f t="shared" si="482"/>
        <v>0</v>
      </c>
      <c r="AS395" s="79">
        <f t="shared" si="483"/>
        <v>0</v>
      </c>
      <c r="AT395" s="79">
        <v>5520</v>
      </c>
      <c r="AV395" s="79"/>
      <c r="BV395" s="79">
        <f t="shared" si="484"/>
        <v>0</v>
      </c>
      <c r="BW395" s="79">
        <f t="shared" si="485"/>
        <v>0</v>
      </c>
      <c r="BX395" s="79">
        <f t="shared" si="486"/>
        <v>5520</v>
      </c>
      <c r="CC395" s="79">
        <v>32967</v>
      </c>
      <c r="DB395" s="79">
        <f t="shared" si="487"/>
        <v>0</v>
      </c>
      <c r="DC395" s="79">
        <f t="shared" si="488"/>
        <v>0</v>
      </c>
      <c r="DD395" s="79">
        <f t="shared" si="489"/>
        <v>0</v>
      </c>
      <c r="DE395" s="79">
        <f t="shared" si="490"/>
        <v>38487</v>
      </c>
      <c r="DP395" s="131"/>
      <c r="EH395" s="79">
        <v>-23491.599999999999</v>
      </c>
      <c r="EJ395" s="79">
        <f t="shared" si="491"/>
        <v>0</v>
      </c>
      <c r="EK395" s="79">
        <f t="shared" si="492"/>
        <v>-23491.599999999999</v>
      </c>
      <c r="EL395" s="79">
        <f t="shared" si="493"/>
        <v>0</v>
      </c>
      <c r="EM395" s="79">
        <f t="shared" si="494"/>
        <v>14995.400000000001</v>
      </c>
      <c r="FI395" s="66">
        <f t="shared" si="495"/>
        <v>0</v>
      </c>
      <c r="FJ395" s="66">
        <f t="shared" si="496"/>
        <v>0</v>
      </c>
      <c r="FK395" s="66">
        <f t="shared" si="497"/>
        <v>0</v>
      </c>
      <c r="FL395" s="173">
        <f t="shared" si="498"/>
        <v>14995.400000000001</v>
      </c>
    </row>
    <row r="396" spans="1:169" hidden="1" outlineLevel="1" x14ac:dyDescent="0.2">
      <c r="A396" s="76" t="s">
        <v>15</v>
      </c>
      <c r="B396" s="76" t="s">
        <v>34</v>
      </c>
      <c r="C396" s="76" t="s">
        <v>296</v>
      </c>
      <c r="D396" s="76" t="s">
        <v>111</v>
      </c>
      <c r="E396" s="77" t="s">
        <v>228</v>
      </c>
      <c r="F396" s="77" t="s">
        <v>716</v>
      </c>
      <c r="G396" s="77" t="str">
        <f t="shared" si="476"/>
        <v>0</v>
      </c>
      <c r="H396" s="77" t="str">
        <f t="shared" si="477"/>
        <v>0</v>
      </c>
      <c r="I396" s="77" t="str">
        <f t="shared" si="478"/>
        <v>0</v>
      </c>
      <c r="J396" s="77" t="str">
        <f t="shared" si="479"/>
        <v>0</v>
      </c>
      <c r="K396" s="77" t="str">
        <f t="shared" si="480"/>
        <v>0000</v>
      </c>
      <c r="L396" s="77" t="str">
        <f>IFERROR(VLOOKUP(K396,Sheet2!$A$20:$B$23,2,FALSE),"X")</f>
        <v>X</v>
      </c>
      <c r="M396" s="77" t="str">
        <f t="shared" si="481"/>
        <v>0180N/ATurnaround Network</v>
      </c>
      <c r="N396" s="76" t="s">
        <v>315</v>
      </c>
      <c r="O396" s="76" t="s">
        <v>160</v>
      </c>
      <c r="P396" s="69" t="s">
        <v>168</v>
      </c>
      <c r="Q396" s="78"/>
      <c r="R396" s="78"/>
      <c r="AR396" s="79">
        <f t="shared" si="482"/>
        <v>0</v>
      </c>
      <c r="AS396" s="79">
        <f t="shared" si="483"/>
        <v>0</v>
      </c>
      <c r="AT396" s="79">
        <v>20175</v>
      </c>
      <c r="AV396" s="79"/>
      <c r="BV396" s="79">
        <f t="shared" si="484"/>
        <v>0</v>
      </c>
      <c r="BW396" s="79">
        <f t="shared" si="485"/>
        <v>0</v>
      </c>
      <c r="BX396" s="79">
        <f t="shared" si="486"/>
        <v>20175</v>
      </c>
      <c r="DB396" s="79">
        <f t="shared" si="487"/>
        <v>0</v>
      </c>
      <c r="DC396" s="79">
        <f t="shared" si="488"/>
        <v>0</v>
      </c>
      <c r="DD396" s="79">
        <f t="shared" si="489"/>
        <v>0</v>
      </c>
      <c r="DE396" s="79">
        <f t="shared" si="490"/>
        <v>20175</v>
      </c>
      <c r="DP396" s="131"/>
      <c r="EJ396" s="79">
        <f t="shared" si="491"/>
        <v>0</v>
      </c>
      <c r="EK396" s="79">
        <f t="shared" si="492"/>
        <v>0</v>
      </c>
      <c r="EL396" s="79">
        <f t="shared" si="493"/>
        <v>0</v>
      </c>
      <c r="EM396" s="79">
        <f t="shared" si="494"/>
        <v>20175</v>
      </c>
      <c r="FI396" s="66">
        <f t="shared" si="495"/>
        <v>0</v>
      </c>
      <c r="FJ396" s="66">
        <f t="shared" si="496"/>
        <v>0</v>
      </c>
      <c r="FK396" s="66">
        <f t="shared" si="497"/>
        <v>0</v>
      </c>
      <c r="FL396" s="173">
        <f t="shared" si="498"/>
        <v>20175</v>
      </c>
    </row>
    <row r="397" spans="1:169" hidden="1" outlineLevel="1" x14ac:dyDescent="0.2">
      <c r="A397" s="76" t="s">
        <v>15</v>
      </c>
      <c r="B397" s="76" t="s">
        <v>34</v>
      </c>
      <c r="C397" s="76" t="s">
        <v>296</v>
      </c>
      <c r="D397" s="76" t="s">
        <v>111</v>
      </c>
      <c r="E397" s="77" t="s">
        <v>228</v>
      </c>
      <c r="F397" s="77" t="s">
        <v>716</v>
      </c>
      <c r="G397" s="77" t="str">
        <f t="shared" si="476"/>
        <v>1</v>
      </c>
      <c r="H397" s="77" t="str">
        <f t="shared" si="477"/>
        <v>0</v>
      </c>
      <c r="I397" s="77" t="str">
        <f t="shared" si="478"/>
        <v>0</v>
      </c>
      <c r="J397" s="77" t="str">
        <f t="shared" si="479"/>
        <v>0</v>
      </c>
      <c r="K397" s="77" t="str">
        <f t="shared" si="480"/>
        <v>1000</v>
      </c>
      <c r="L397" s="77" t="str">
        <f>IFERROR(VLOOKUP(K397,Sheet2!$A$20:$B$23,2,FALSE),"X")</f>
        <v>01</v>
      </c>
      <c r="M397" s="77" t="str">
        <f t="shared" si="481"/>
        <v>0180N/ATurnaround Network</v>
      </c>
      <c r="N397" s="76" t="s">
        <v>161</v>
      </c>
      <c r="O397" s="76" t="s">
        <v>160</v>
      </c>
      <c r="P397" s="69" t="s">
        <v>168</v>
      </c>
      <c r="Q397" s="78"/>
      <c r="R397" s="78"/>
      <c r="S397" s="79">
        <v>40439</v>
      </c>
      <c r="AR397" s="79">
        <f t="shared" si="482"/>
        <v>0</v>
      </c>
      <c r="AS397" s="79">
        <f t="shared" si="483"/>
        <v>0</v>
      </c>
      <c r="AT397" s="79">
        <f>S397+(AR397+AS397)</f>
        <v>40439</v>
      </c>
      <c r="AU397" s="79"/>
      <c r="AV397" s="79"/>
      <c r="BL397" s="79">
        <v>-992</v>
      </c>
      <c r="BN397" s="79">
        <v>-3903</v>
      </c>
      <c r="BP397" s="79">
        <v>-4461</v>
      </c>
      <c r="BR397" s="79">
        <v>-2480</v>
      </c>
      <c r="BT397" s="79">
        <v>-705</v>
      </c>
      <c r="BV397" s="79">
        <f t="shared" si="484"/>
        <v>-12541</v>
      </c>
      <c r="BW397" s="79">
        <f t="shared" si="485"/>
        <v>0</v>
      </c>
      <c r="BX397" s="79">
        <f t="shared" si="486"/>
        <v>27898</v>
      </c>
      <c r="BY397" s="158" t="s">
        <v>341</v>
      </c>
      <c r="BZ397" s="79">
        <v>30000</v>
      </c>
      <c r="CH397" s="79">
        <v>-704.04</v>
      </c>
      <c r="DB397" s="79">
        <f t="shared" si="487"/>
        <v>0</v>
      </c>
      <c r="DC397" s="79">
        <f t="shared" si="488"/>
        <v>-704.04</v>
      </c>
      <c r="DD397" s="79">
        <f t="shared" si="489"/>
        <v>0</v>
      </c>
      <c r="DE397" s="79">
        <f t="shared" si="490"/>
        <v>57193.96</v>
      </c>
      <c r="DP397" s="131"/>
      <c r="EJ397" s="79">
        <f t="shared" si="491"/>
        <v>0</v>
      </c>
      <c r="EK397" s="79">
        <f t="shared" si="492"/>
        <v>0</v>
      </c>
      <c r="EL397" s="79">
        <f t="shared" si="493"/>
        <v>0</v>
      </c>
      <c r="EM397" s="79">
        <f t="shared" si="494"/>
        <v>57193.96</v>
      </c>
      <c r="FI397" s="66">
        <f t="shared" si="495"/>
        <v>0</v>
      </c>
      <c r="FJ397" s="66">
        <f t="shared" si="496"/>
        <v>0</v>
      </c>
      <c r="FK397" s="66">
        <f t="shared" si="497"/>
        <v>0</v>
      </c>
      <c r="FL397" s="173">
        <f t="shared" si="498"/>
        <v>57193.96</v>
      </c>
    </row>
    <row r="398" spans="1:169" s="118" customFormat="1" hidden="1" outlineLevel="1" x14ac:dyDescent="0.2">
      <c r="A398" s="119" t="s">
        <v>23</v>
      </c>
      <c r="B398" s="119" t="s">
        <v>69</v>
      </c>
      <c r="C398" s="118" t="s">
        <v>507</v>
      </c>
      <c r="D398" s="118" t="s">
        <v>581</v>
      </c>
      <c r="E398" s="119" t="s">
        <v>228</v>
      </c>
      <c r="F398" s="119"/>
      <c r="G398" s="119"/>
      <c r="H398" s="119"/>
      <c r="I398" s="119"/>
      <c r="J398" s="119"/>
      <c r="K398" s="119"/>
      <c r="L398" s="119"/>
      <c r="M398" s="119" t="str">
        <f t="shared" si="481"/>
        <v>08806002Turnaround Network</v>
      </c>
      <c r="O398" s="119" t="s">
        <v>160</v>
      </c>
      <c r="P398" s="120"/>
      <c r="Q398" s="121"/>
      <c r="R398" s="121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22"/>
      <c r="AZ398" s="122"/>
      <c r="BA398" s="122"/>
      <c r="BB398" s="122"/>
      <c r="BC398" s="122"/>
      <c r="BD398" s="122"/>
      <c r="BE398" s="122"/>
      <c r="BF398" s="122"/>
      <c r="BG398" s="122"/>
      <c r="BH398" s="122"/>
      <c r="BI398" s="122"/>
      <c r="BJ398" s="122"/>
      <c r="BK398" s="122"/>
      <c r="BL398" s="122"/>
      <c r="BM398" s="122"/>
      <c r="BN398" s="122"/>
      <c r="BO398" s="122"/>
      <c r="BP398" s="122"/>
      <c r="BQ398" s="122"/>
      <c r="BR398" s="122"/>
      <c r="BS398" s="122"/>
      <c r="BT398" s="122"/>
      <c r="BU398" s="122"/>
      <c r="BV398" s="122"/>
      <c r="BW398" s="122"/>
      <c r="BX398" s="122"/>
      <c r="BY398" s="160"/>
      <c r="BZ398" s="122"/>
      <c r="CA398" s="122"/>
      <c r="CB398" s="122"/>
      <c r="CC398" s="122"/>
      <c r="CD398" s="122"/>
      <c r="CE398" s="122"/>
      <c r="CF398" s="122"/>
      <c r="CG398" s="122"/>
      <c r="CH398" s="122"/>
      <c r="CI398" s="122"/>
      <c r="CJ398" s="122"/>
      <c r="CK398" s="122"/>
      <c r="CL398" s="122"/>
      <c r="CM398" s="122"/>
      <c r="CN398" s="122"/>
      <c r="CO398" s="122"/>
      <c r="CP398" s="122"/>
      <c r="CQ398" s="122"/>
      <c r="CR398" s="122"/>
      <c r="CS398" s="122"/>
      <c r="CT398" s="122"/>
      <c r="CU398" s="122"/>
      <c r="CV398" s="122"/>
      <c r="CW398" s="122"/>
      <c r="CX398" s="122"/>
      <c r="CY398" s="122"/>
      <c r="CZ398" s="122"/>
      <c r="DA398" s="122"/>
      <c r="DB398" s="122"/>
      <c r="DC398" s="122"/>
      <c r="DD398" s="122"/>
      <c r="DE398" s="122"/>
      <c r="DF398" s="160"/>
      <c r="DG398" s="122"/>
      <c r="DH398" s="122"/>
      <c r="DI398" s="122"/>
      <c r="DJ398" s="122">
        <v>30000</v>
      </c>
      <c r="DK398" s="122"/>
      <c r="DL398" s="122"/>
      <c r="DM398" s="122"/>
      <c r="DN398" s="122"/>
      <c r="DO398" s="122"/>
      <c r="DP398" s="122"/>
      <c r="DQ398" s="122"/>
      <c r="DR398" s="122"/>
      <c r="DS398" s="122"/>
      <c r="DT398" s="122"/>
      <c r="DU398" s="122"/>
      <c r="DV398" s="122"/>
      <c r="DW398" s="122"/>
      <c r="DX398" s="122"/>
      <c r="DY398" s="122"/>
      <c r="DZ398" s="122"/>
      <c r="EA398" s="122"/>
      <c r="EB398" s="122"/>
      <c r="EC398" s="122"/>
      <c r="ED398" s="122"/>
      <c r="EE398" s="122"/>
      <c r="EF398" s="122"/>
      <c r="EG398" s="131"/>
      <c r="EH398" s="122"/>
      <c r="EI398" s="122"/>
      <c r="EJ398" s="122"/>
      <c r="EK398" s="122"/>
      <c r="EL398" s="122"/>
      <c r="EM398" s="122">
        <f t="shared" si="494"/>
        <v>30000</v>
      </c>
      <c r="EN398" s="122"/>
      <c r="EO398" s="122"/>
      <c r="EP398" s="122"/>
      <c r="EQ398" s="122"/>
      <c r="ER398" s="122"/>
      <c r="ES398" s="126"/>
      <c r="ET398" s="126"/>
      <c r="EU398" s="126"/>
      <c r="EV398" s="66"/>
      <c r="EW398" s="126"/>
      <c r="EX398" s="126"/>
      <c r="EY398" s="126"/>
      <c r="EZ398" s="126"/>
      <c r="FA398" s="126"/>
      <c r="FB398" s="126"/>
      <c r="FC398" s="126"/>
      <c r="FD398" s="126"/>
      <c r="FE398" s="126"/>
      <c r="FF398" s="126"/>
      <c r="FG398" s="126"/>
      <c r="FH398" s="126"/>
      <c r="FI398" s="66">
        <f t="shared" si="495"/>
        <v>0</v>
      </c>
      <c r="FJ398" s="66">
        <f t="shared" si="496"/>
        <v>0</v>
      </c>
      <c r="FK398" s="66">
        <f t="shared" si="497"/>
        <v>0</v>
      </c>
      <c r="FL398" s="173">
        <f t="shared" si="498"/>
        <v>30000</v>
      </c>
      <c r="FM398" s="123"/>
    </row>
    <row r="399" spans="1:169" hidden="1" outlineLevel="1" x14ac:dyDescent="0.2">
      <c r="A399" s="76" t="s">
        <v>276</v>
      </c>
      <c r="B399" s="77" t="s">
        <v>299</v>
      </c>
      <c r="C399" s="76" t="s">
        <v>279</v>
      </c>
      <c r="D399" s="76" t="s">
        <v>300</v>
      </c>
      <c r="E399" s="77" t="s">
        <v>228</v>
      </c>
      <c r="F399" s="77" t="s">
        <v>716</v>
      </c>
      <c r="G399" s="77" t="str">
        <f t="shared" ref="G399:G436" si="499">IF(S399&gt;0, "1", "0")</f>
        <v>0</v>
      </c>
      <c r="H399" s="77" t="str">
        <f t="shared" ref="H399:H436" si="500">IF(AW399&gt;0, "1", "0")</f>
        <v>0</v>
      </c>
      <c r="I399" s="77" t="str">
        <f t="shared" ref="I399:I436" si="501">IF(CC399&gt;0, "1", "0")</f>
        <v>0</v>
      </c>
      <c r="J399" s="77" t="str">
        <f t="shared" ref="J399:J436" si="502">IF(DJ399&gt;0, "1", "0")</f>
        <v>0</v>
      </c>
      <c r="K399" s="77" t="str">
        <f t="shared" ref="K399:K436" si="503">CONCATENATE(G399,H399,I399,J399)</f>
        <v>0000</v>
      </c>
      <c r="L399" s="77" t="str">
        <f>IFERROR(VLOOKUP(K399,Sheet2!$A$20:$B$23,2,FALSE),"X")</f>
        <v>X</v>
      </c>
      <c r="M399" s="77" t="str">
        <f t="shared" si="481"/>
        <v>09906952Turnaround Network</v>
      </c>
      <c r="N399" s="76" t="s">
        <v>315</v>
      </c>
      <c r="O399" s="76" t="s">
        <v>160</v>
      </c>
      <c r="P399" s="69" t="s">
        <v>168</v>
      </c>
      <c r="Q399" s="78">
        <v>43229</v>
      </c>
      <c r="R399" s="78">
        <v>43229</v>
      </c>
      <c r="AR399" s="79">
        <f t="shared" ref="AR399:AR436" si="504">SUMIF($T$2:$AQ$2,$AR$2,$T399:$AQ399)</f>
        <v>0</v>
      </c>
      <c r="AS399" s="79">
        <f t="shared" ref="AS399:AS436" si="505">SUMIF($T$2:$AQ$2,$AS$2,$T399:$AQ399)</f>
        <v>0</v>
      </c>
      <c r="AT399" s="79">
        <v>10138</v>
      </c>
      <c r="AV399" s="79"/>
      <c r="BR399" s="79">
        <v>-8324</v>
      </c>
      <c r="BV399" s="79">
        <f t="shared" ref="BV399:BV436" si="506">SUMIF($AX$2:$BU$2,$BV$2,$AX399:$BU399)</f>
        <v>-8324</v>
      </c>
      <c r="BW399" s="79">
        <f t="shared" ref="BW399:BW436" si="507">SUMIF($AX$2:$BU$2,$BW$2,$AX399:$BU399)</f>
        <v>0</v>
      </c>
      <c r="BX399" s="79">
        <f t="shared" ref="BX399:BX436" si="508">AT399+AV399+AW399+(BV399+BW399)</f>
        <v>1814</v>
      </c>
      <c r="DB399" s="79">
        <f t="shared" ref="DB399:DB436" si="509">SUMIF($CD$2:$DA$2,$DB$2,$CD399:$DA399)</f>
        <v>0</v>
      </c>
      <c r="DC399" s="79">
        <f t="shared" ref="DC399:DC436" si="510">SUMIF($CD$2:$DA$2,$DC$2,$CD399:$DA399)</f>
        <v>0</v>
      </c>
      <c r="DD399" s="79">
        <f t="shared" ref="DD399:DD436" si="511">SUMIF($CD$2:$DA$2,$DD$2,$CD399:$DA399)</f>
        <v>0</v>
      </c>
      <c r="DE399" s="79">
        <f t="shared" ref="DE399:DE436" si="512">BX399+CA399+BZ399+CC399+(DB399+DC399+DD399)</f>
        <v>1814</v>
      </c>
      <c r="DP399" s="131"/>
      <c r="EJ399" s="79">
        <f t="shared" ref="EJ399:EJ436" si="513">SUMIF($DK$2:$EI$2,$EJ$2,$DK399:$EI399)</f>
        <v>0</v>
      </c>
      <c r="EK399" s="79">
        <f t="shared" ref="EK399:EK436" si="514">SUMIF($DK$2:$EI$2,$EK$2,$DK399:$EI399)</f>
        <v>0</v>
      </c>
      <c r="EL399" s="79">
        <f t="shared" ref="EL399:EL436" si="515">SUMIF($DK$2:$EI$2,$EL$2,$DK399:$EI399)</f>
        <v>0</v>
      </c>
      <c r="EM399" s="79">
        <f t="shared" ref="EM399:EM430" si="516">DE399+DH399+DG399+DJ399+(EJ399+EK399+EL399)</f>
        <v>1814</v>
      </c>
      <c r="FI399" s="66">
        <f t="shared" si="495"/>
        <v>0</v>
      </c>
      <c r="FJ399" s="66">
        <f t="shared" si="496"/>
        <v>0</v>
      </c>
      <c r="FK399" s="66">
        <f t="shared" si="497"/>
        <v>0</v>
      </c>
      <c r="FL399" s="173">
        <f t="shared" si="498"/>
        <v>1814</v>
      </c>
    </row>
    <row r="400" spans="1:169" hidden="1" outlineLevel="1" x14ac:dyDescent="0.2">
      <c r="A400" s="76" t="s">
        <v>276</v>
      </c>
      <c r="B400" s="77" t="s">
        <v>299</v>
      </c>
      <c r="C400" s="76" t="s">
        <v>279</v>
      </c>
      <c r="D400" s="76" t="s">
        <v>281</v>
      </c>
      <c r="E400" s="77" t="s">
        <v>228</v>
      </c>
      <c r="F400" s="77" t="s">
        <v>716</v>
      </c>
      <c r="G400" s="77" t="str">
        <f t="shared" si="499"/>
        <v>1</v>
      </c>
      <c r="H400" s="77" t="str">
        <f t="shared" si="500"/>
        <v>0</v>
      </c>
      <c r="I400" s="77" t="str">
        <f t="shared" si="501"/>
        <v>0</v>
      </c>
      <c r="J400" s="77" t="str">
        <f t="shared" si="502"/>
        <v>0</v>
      </c>
      <c r="K400" s="77" t="str">
        <f t="shared" si="503"/>
        <v>1000</v>
      </c>
      <c r="L400" s="77" t="str">
        <f>IFERROR(VLOOKUP(K400,Sheet2!$A$20:$B$23,2,FALSE),"X")</f>
        <v>01</v>
      </c>
      <c r="M400" s="77" t="str">
        <f t="shared" si="481"/>
        <v>09906952Turnaround Network</v>
      </c>
      <c r="N400" s="76" t="s">
        <v>161</v>
      </c>
      <c r="O400" s="76" t="s">
        <v>160</v>
      </c>
      <c r="P400" s="69" t="s">
        <v>168</v>
      </c>
      <c r="Q400" s="78">
        <v>43229</v>
      </c>
      <c r="R400" s="78">
        <v>43229</v>
      </c>
      <c r="S400" s="79">
        <v>50406</v>
      </c>
      <c r="AR400" s="79">
        <f t="shared" si="504"/>
        <v>0</v>
      </c>
      <c r="AS400" s="79">
        <f t="shared" si="505"/>
        <v>0</v>
      </c>
      <c r="AT400" s="79">
        <f>S400+(AR400+AS400)</f>
        <v>50406</v>
      </c>
      <c r="AU400" s="79"/>
      <c r="AV400" s="79"/>
      <c r="BF400" s="79">
        <v>-4629</v>
      </c>
      <c r="BN400" s="79">
        <v>-5046</v>
      </c>
      <c r="BV400" s="79">
        <f t="shared" si="506"/>
        <v>-9675</v>
      </c>
      <c r="BW400" s="79">
        <f t="shared" si="507"/>
        <v>0</v>
      </c>
      <c r="BX400" s="79">
        <f t="shared" si="508"/>
        <v>40731</v>
      </c>
      <c r="BY400" s="79"/>
      <c r="CH400" s="79">
        <v>-32407</v>
      </c>
      <c r="DB400" s="79">
        <f t="shared" si="509"/>
        <v>0</v>
      </c>
      <c r="DC400" s="79">
        <f t="shared" si="510"/>
        <v>-32407</v>
      </c>
      <c r="DD400" s="79">
        <f t="shared" si="511"/>
        <v>0</v>
      </c>
      <c r="DE400" s="79">
        <f t="shared" si="512"/>
        <v>8324</v>
      </c>
      <c r="DF400" s="79"/>
      <c r="DP400" s="131"/>
      <c r="EJ400" s="79">
        <f t="shared" si="513"/>
        <v>0</v>
      </c>
      <c r="EK400" s="79">
        <f t="shared" si="514"/>
        <v>0</v>
      </c>
      <c r="EL400" s="79">
        <f t="shared" si="515"/>
        <v>0</v>
      </c>
      <c r="EM400" s="79">
        <f t="shared" si="516"/>
        <v>8324</v>
      </c>
      <c r="FI400" s="66">
        <f t="shared" si="495"/>
        <v>0</v>
      </c>
      <c r="FJ400" s="66">
        <f t="shared" si="496"/>
        <v>0</v>
      </c>
      <c r="FK400" s="66">
        <f t="shared" si="497"/>
        <v>0</v>
      </c>
      <c r="FL400" s="173">
        <f t="shared" si="498"/>
        <v>8324</v>
      </c>
    </row>
    <row r="401" spans="1:168" hidden="1" outlineLevel="1" x14ac:dyDescent="0.2">
      <c r="A401" s="76" t="s">
        <v>276</v>
      </c>
      <c r="B401" s="77" t="s">
        <v>34</v>
      </c>
      <c r="C401" s="76" t="s">
        <v>279</v>
      </c>
      <c r="D401" s="76" t="s">
        <v>111</v>
      </c>
      <c r="E401" s="77" t="s">
        <v>228</v>
      </c>
      <c r="F401" s="77" t="s">
        <v>716</v>
      </c>
      <c r="G401" s="77" t="str">
        <f t="shared" si="499"/>
        <v>0</v>
      </c>
      <c r="H401" s="77" t="str">
        <f t="shared" si="500"/>
        <v>0</v>
      </c>
      <c r="I401" s="77" t="str">
        <f t="shared" si="501"/>
        <v>0</v>
      </c>
      <c r="J401" s="77" t="str">
        <f t="shared" si="502"/>
        <v>0</v>
      </c>
      <c r="K401" s="77" t="str">
        <f t="shared" si="503"/>
        <v>0000</v>
      </c>
      <c r="L401" s="77" t="str">
        <f>IFERROR(VLOOKUP(K401,Sheet2!$A$20:$B$23,2,FALSE),"X")</f>
        <v>X</v>
      </c>
      <c r="M401" s="77" t="str">
        <f t="shared" si="481"/>
        <v>0990N/ATurnaround Network</v>
      </c>
      <c r="N401" s="76" t="s">
        <v>315</v>
      </c>
      <c r="O401" s="76" t="s">
        <v>160</v>
      </c>
      <c r="P401" s="69" t="s">
        <v>168</v>
      </c>
      <c r="Q401" s="78">
        <v>43229</v>
      </c>
      <c r="R401" s="78">
        <v>43229</v>
      </c>
      <c r="AR401" s="79">
        <f t="shared" si="504"/>
        <v>0</v>
      </c>
      <c r="AS401" s="79">
        <f t="shared" si="505"/>
        <v>0</v>
      </c>
      <c r="AT401" s="79">
        <v>1597</v>
      </c>
      <c r="AV401" s="79"/>
      <c r="BV401" s="79">
        <f t="shared" si="506"/>
        <v>0</v>
      </c>
      <c r="BW401" s="79">
        <f t="shared" si="507"/>
        <v>0</v>
      </c>
      <c r="BX401" s="79">
        <f t="shared" si="508"/>
        <v>1597</v>
      </c>
      <c r="DB401" s="79">
        <f t="shared" si="509"/>
        <v>0</v>
      </c>
      <c r="DC401" s="79">
        <f t="shared" si="510"/>
        <v>0</v>
      </c>
      <c r="DD401" s="79">
        <f t="shared" si="511"/>
        <v>0</v>
      </c>
      <c r="DE401" s="79">
        <f t="shared" si="512"/>
        <v>1597</v>
      </c>
      <c r="DP401" s="131"/>
      <c r="EJ401" s="79">
        <f t="shared" si="513"/>
        <v>0</v>
      </c>
      <c r="EK401" s="79">
        <f t="shared" si="514"/>
        <v>0</v>
      </c>
      <c r="EL401" s="79">
        <f t="shared" si="515"/>
        <v>0</v>
      </c>
      <c r="EM401" s="79">
        <f t="shared" si="516"/>
        <v>1597</v>
      </c>
      <c r="FI401" s="66">
        <f t="shared" si="495"/>
        <v>0</v>
      </c>
      <c r="FJ401" s="66">
        <f t="shared" si="496"/>
        <v>0</v>
      </c>
      <c r="FK401" s="66">
        <f t="shared" si="497"/>
        <v>0</v>
      </c>
      <c r="FL401" s="173">
        <f t="shared" si="498"/>
        <v>1597</v>
      </c>
    </row>
    <row r="402" spans="1:168" hidden="1" outlineLevel="1" x14ac:dyDescent="0.2">
      <c r="A402" s="76" t="s">
        <v>276</v>
      </c>
      <c r="B402" s="77" t="s">
        <v>34</v>
      </c>
      <c r="C402" s="76" t="s">
        <v>279</v>
      </c>
      <c r="D402" s="76" t="s">
        <v>111</v>
      </c>
      <c r="E402" s="77" t="s">
        <v>228</v>
      </c>
      <c r="F402" s="77" t="s">
        <v>716</v>
      </c>
      <c r="G402" s="77" t="str">
        <f t="shared" si="499"/>
        <v>1</v>
      </c>
      <c r="H402" s="77" t="str">
        <f t="shared" si="500"/>
        <v>0</v>
      </c>
      <c r="I402" s="77" t="str">
        <f t="shared" si="501"/>
        <v>0</v>
      </c>
      <c r="J402" s="77" t="str">
        <f t="shared" si="502"/>
        <v>0</v>
      </c>
      <c r="K402" s="77" t="str">
        <f t="shared" si="503"/>
        <v>1000</v>
      </c>
      <c r="L402" s="77" t="str">
        <f>IFERROR(VLOOKUP(K402,Sheet2!$A$20:$B$23,2,FALSE),"X")</f>
        <v>01</v>
      </c>
      <c r="M402" s="77" t="str">
        <f t="shared" si="481"/>
        <v>0990N/ATurnaround Network</v>
      </c>
      <c r="N402" s="76" t="s">
        <v>161</v>
      </c>
      <c r="O402" s="76" t="s">
        <v>160</v>
      </c>
      <c r="P402" s="69" t="s">
        <v>168</v>
      </c>
      <c r="Q402" s="78">
        <v>43229</v>
      </c>
      <c r="R402" s="78">
        <v>43229</v>
      </c>
      <c r="S402" s="79">
        <v>10000</v>
      </c>
      <c r="AR402" s="79">
        <f t="shared" si="504"/>
        <v>0</v>
      </c>
      <c r="AS402" s="79">
        <f t="shared" si="505"/>
        <v>0</v>
      </c>
      <c r="AT402" s="79">
        <f>S402+(AR402+AS402)</f>
        <v>10000</v>
      </c>
      <c r="AU402" s="79"/>
      <c r="AV402" s="79"/>
      <c r="BV402" s="79">
        <f t="shared" si="506"/>
        <v>0</v>
      </c>
      <c r="BW402" s="79">
        <f t="shared" si="507"/>
        <v>0</v>
      </c>
      <c r="BX402" s="79">
        <f t="shared" si="508"/>
        <v>10000</v>
      </c>
      <c r="BY402" s="79"/>
      <c r="DB402" s="79">
        <f t="shared" si="509"/>
        <v>0</v>
      </c>
      <c r="DC402" s="79">
        <f t="shared" si="510"/>
        <v>0</v>
      </c>
      <c r="DD402" s="79">
        <f t="shared" si="511"/>
        <v>0</v>
      </c>
      <c r="DE402" s="79">
        <f t="shared" si="512"/>
        <v>10000</v>
      </c>
      <c r="DF402" s="79"/>
      <c r="DP402" s="131"/>
      <c r="EJ402" s="79">
        <f t="shared" si="513"/>
        <v>0</v>
      </c>
      <c r="EK402" s="79">
        <f t="shared" si="514"/>
        <v>0</v>
      </c>
      <c r="EL402" s="79">
        <f t="shared" si="515"/>
        <v>0</v>
      </c>
      <c r="EM402" s="79">
        <f t="shared" si="516"/>
        <v>10000</v>
      </c>
      <c r="FI402" s="66">
        <f t="shared" si="495"/>
        <v>0</v>
      </c>
      <c r="FJ402" s="66">
        <f t="shared" si="496"/>
        <v>0</v>
      </c>
      <c r="FK402" s="66">
        <f t="shared" si="497"/>
        <v>0</v>
      </c>
      <c r="FL402" s="173">
        <f t="shared" si="498"/>
        <v>10000</v>
      </c>
    </row>
    <row r="403" spans="1:168" hidden="1" outlineLevel="1" x14ac:dyDescent="0.2">
      <c r="A403" s="76" t="s">
        <v>230</v>
      </c>
      <c r="B403" s="77" t="s">
        <v>293</v>
      </c>
      <c r="C403" s="76" t="s">
        <v>232</v>
      </c>
      <c r="D403" s="76" t="s">
        <v>294</v>
      </c>
      <c r="E403" s="77" t="s">
        <v>228</v>
      </c>
      <c r="F403" s="77" t="s">
        <v>716</v>
      </c>
      <c r="G403" s="77" t="str">
        <f t="shared" si="499"/>
        <v>0</v>
      </c>
      <c r="H403" s="77" t="str">
        <f t="shared" si="500"/>
        <v>0</v>
      </c>
      <c r="I403" s="77" t="str">
        <f t="shared" si="501"/>
        <v>0</v>
      </c>
      <c r="J403" s="77" t="str">
        <f t="shared" si="502"/>
        <v>0</v>
      </c>
      <c r="K403" s="77" t="str">
        <f t="shared" si="503"/>
        <v>0000</v>
      </c>
      <c r="L403" s="77" t="str">
        <f>IFERROR(VLOOKUP(K403,Sheet2!$A$20:$B$23,2,FALSE),"X")</f>
        <v>X</v>
      </c>
      <c r="M403" s="77" t="str">
        <f t="shared" si="481"/>
        <v>10103920Turnaround Network</v>
      </c>
      <c r="N403" s="76" t="s">
        <v>315</v>
      </c>
      <c r="O403" s="76" t="s">
        <v>160</v>
      </c>
      <c r="P403" s="69" t="s">
        <v>168</v>
      </c>
      <c r="Q403" s="78"/>
      <c r="R403" s="78"/>
      <c r="AR403" s="79">
        <f t="shared" si="504"/>
        <v>0</v>
      </c>
      <c r="AS403" s="79">
        <f t="shared" si="505"/>
        <v>0</v>
      </c>
      <c r="AT403" s="79">
        <v>455</v>
      </c>
      <c r="AV403" s="79"/>
      <c r="BV403" s="79">
        <f t="shared" si="506"/>
        <v>0</v>
      </c>
      <c r="BW403" s="79">
        <f t="shared" si="507"/>
        <v>0</v>
      </c>
      <c r="BX403" s="79">
        <f t="shared" si="508"/>
        <v>455</v>
      </c>
      <c r="DB403" s="79">
        <f t="shared" si="509"/>
        <v>0</v>
      </c>
      <c r="DC403" s="79">
        <f t="shared" si="510"/>
        <v>0</v>
      </c>
      <c r="DD403" s="79">
        <f t="shared" si="511"/>
        <v>0</v>
      </c>
      <c r="DE403" s="79">
        <f t="shared" si="512"/>
        <v>455</v>
      </c>
      <c r="DP403" s="131"/>
      <c r="EJ403" s="79">
        <f t="shared" si="513"/>
        <v>0</v>
      </c>
      <c r="EK403" s="79">
        <f t="shared" si="514"/>
        <v>0</v>
      </c>
      <c r="EL403" s="79">
        <f t="shared" si="515"/>
        <v>0</v>
      </c>
      <c r="EM403" s="79">
        <f t="shared" si="516"/>
        <v>455</v>
      </c>
      <c r="FI403" s="66">
        <f t="shared" si="495"/>
        <v>0</v>
      </c>
      <c r="FJ403" s="66">
        <f t="shared" si="496"/>
        <v>0</v>
      </c>
      <c r="FK403" s="66">
        <f t="shared" si="497"/>
        <v>0</v>
      </c>
      <c r="FL403" s="173">
        <f t="shared" si="498"/>
        <v>455</v>
      </c>
    </row>
    <row r="404" spans="1:168" hidden="1" outlineLevel="1" x14ac:dyDescent="0.2">
      <c r="A404" s="76" t="s">
        <v>230</v>
      </c>
      <c r="B404" s="77" t="s">
        <v>293</v>
      </c>
      <c r="C404" s="76" t="s">
        <v>232</v>
      </c>
      <c r="D404" s="76" t="s">
        <v>294</v>
      </c>
      <c r="E404" s="77" t="s">
        <v>228</v>
      </c>
      <c r="F404" s="77" t="s">
        <v>716</v>
      </c>
      <c r="G404" s="77" t="str">
        <f t="shared" si="499"/>
        <v>1</v>
      </c>
      <c r="H404" s="77" t="str">
        <f t="shared" si="500"/>
        <v>0</v>
      </c>
      <c r="I404" s="77" t="str">
        <f t="shared" si="501"/>
        <v>0</v>
      </c>
      <c r="J404" s="77" t="str">
        <f t="shared" si="502"/>
        <v>0</v>
      </c>
      <c r="K404" s="77" t="str">
        <f t="shared" si="503"/>
        <v>1000</v>
      </c>
      <c r="L404" s="77" t="str">
        <f>IFERROR(VLOOKUP(K404,Sheet2!$A$20:$B$23,2,FALSE),"X")</f>
        <v>01</v>
      </c>
      <c r="M404" s="77" t="str">
        <f t="shared" si="481"/>
        <v>10103920Turnaround Network</v>
      </c>
      <c r="N404" s="76" t="s">
        <v>161</v>
      </c>
      <c r="O404" s="76" t="s">
        <v>160</v>
      </c>
      <c r="P404" s="69" t="s">
        <v>168</v>
      </c>
      <c r="Q404" s="78"/>
      <c r="R404" s="78"/>
      <c r="S404" s="79">
        <v>50000</v>
      </c>
      <c r="AR404" s="79">
        <f t="shared" si="504"/>
        <v>0</v>
      </c>
      <c r="AS404" s="79">
        <f t="shared" si="505"/>
        <v>0</v>
      </c>
      <c r="AT404" s="79">
        <f>S404+(AR404+AS404)</f>
        <v>50000</v>
      </c>
      <c r="AU404" s="79"/>
      <c r="AV404" s="79"/>
      <c r="AZ404" s="79">
        <v>-5675</v>
      </c>
      <c r="BD404" s="79">
        <v>-199</v>
      </c>
      <c r="BL404" s="79">
        <v>-10976</v>
      </c>
      <c r="BN404" s="79">
        <v>-30593</v>
      </c>
      <c r="BP404" s="79">
        <v>-1411</v>
      </c>
      <c r="BV404" s="79">
        <f t="shared" si="506"/>
        <v>-48854</v>
      </c>
      <c r="BW404" s="79">
        <f t="shared" si="507"/>
        <v>0</v>
      </c>
      <c r="BX404" s="79">
        <f t="shared" si="508"/>
        <v>1146</v>
      </c>
      <c r="BY404" s="79"/>
      <c r="CG404" s="79">
        <v>-727</v>
      </c>
      <c r="DB404" s="79">
        <f t="shared" si="509"/>
        <v>0</v>
      </c>
      <c r="DC404" s="79">
        <f t="shared" si="510"/>
        <v>-727</v>
      </c>
      <c r="DD404" s="79">
        <f t="shared" si="511"/>
        <v>0</v>
      </c>
      <c r="DE404" s="79">
        <f t="shared" si="512"/>
        <v>419</v>
      </c>
      <c r="DF404" s="79"/>
      <c r="DP404" s="131"/>
      <c r="EJ404" s="79">
        <f t="shared" si="513"/>
        <v>0</v>
      </c>
      <c r="EK404" s="79">
        <f t="shared" si="514"/>
        <v>0</v>
      </c>
      <c r="EL404" s="79">
        <f t="shared" si="515"/>
        <v>0</v>
      </c>
      <c r="EM404" s="79">
        <f t="shared" si="516"/>
        <v>419</v>
      </c>
      <c r="FI404" s="66">
        <f t="shared" si="495"/>
        <v>0</v>
      </c>
      <c r="FJ404" s="66">
        <f t="shared" si="496"/>
        <v>0</v>
      </c>
      <c r="FK404" s="66">
        <f t="shared" si="497"/>
        <v>0</v>
      </c>
      <c r="FL404" s="173">
        <f t="shared" si="498"/>
        <v>419</v>
      </c>
    </row>
    <row r="405" spans="1:168" hidden="1" outlineLevel="1" x14ac:dyDescent="0.2">
      <c r="A405" s="76" t="s">
        <v>230</v>
      </c>
      <c r="B405" s="77" t="s">
        <v>237</v>
      </c>
      <c r="C405" s="76" t="s">
        <v>232</v>
      </c>
      <c r="D405" s="76" t="s">
        <v>255</v>
      </c>
      <c r="E405" s="77" t="s">
        <v>228</v>
      </c>
      <c r="F405" s="77" t="s">
        <v>716</v>
      </c>
      <c r="G405" s="77" t="str">
        <f t="shared" si="499"/>
        <v>0</v>
      </c>
      <c r="H405" s="77" t="str">
        <f t="shared" si="500"/>
        <v>0</v>
      </c>
      <c r="I405" s="77" t="str">
        <f t="shared" si="501"/>
        <v>0</v>
      </c>
      <c r="J405" s="77" t="str">
        <f t="shared" si="502"/>
        <v>0</v>
      </c>
      <c r="K405" s="77" t="str">
        <f t="shared" si="503"/>
        <v>0000</v>
      </c>
      <c r="L405" s="77" t="str">
        <f>IFERROR(VLOOKUP(K405,Sheet2!$A$20:$B$23,2,FALSE),"X")</f>
        <v>X</v>
      </c>
      <c r="M405" s="77" t="str">
        <f t="shared" si="481"/>
        <v>10105988Turnaround Network</v>
      </c>
      <c r="N405" s="76" t="s">
        <v>315</v>
      </c>
      <c r="O405" s="76" t="s">
        <v>160</v>
      </c>
      <c r="P405" s="69" t="s">
        <v>168</v>
      </c>
      <c r="Q405" s="78"/>
      <c r="R405" s="78"/>
      <c r="AR405" s="79">
        <f t="shared" si="504"/>
        <v>0</v>
      </c>
      <c r="AS405" s="79">
        <f t="shared" si="505"/>
        <v>0</v>
      </c>
      <c r="AT405" s="79">
        <v>1777</v>
      </c>
      <c r="AV405" s="79"/>
      <c r="BV405" s="79">
        <f t="shared" si="506"/>
        <v>0</v>
      </c>
      <c r="BW405" s="79">
        <f t="shared" si="507"/>
        <v>0</v>
      </c>
      <c r="BX405" s="79">
        <f t="shared" si="508"/>
        <v>1777</v>
      </c>
      <c r="CP405" s="79">
        <v>-1777</v>
      </c>
      <c r="DB405" s="79">
        <f t="shared" si="509"/>
        <v>0</v>
      </c>
      <c r="DC405" s="79">
        <f t="shared" si="510"/>
        <v>-1777</v>
      </c>
      <c r="DD405" s="79">
        <f t="shared" si="511"/>
        <v>0</v>
      </c>
      <c r="DE405" s="79">
        <f t="shared" si="512"/>
        <v>0</v>
      </c>
      <c r="DP405" s="131"/>
      <c r="EJ405" s="79">
        <f t="shared" si="513"/>
        <v>0</v>
      </c>
      <c r="EK405" s="79">
        <f t="shared" si="514"/>
        <v>0</v>
      </c>
      <c r="EL405" s="79">
        <f t="shared" si="515"/>
        <v>0</v>
      </c>
      <c r="EM405" s="79">
        <f t="shared" si="516"/>
        <v>0</v>
      </c>
      <c r="FI405" s="66">
        <f t="shared" si="495"/>
        <v>0</v>
      </c>
      <c r="FJ405" s="66">
        <f t="shared" si="496"/>
        <v>0</v>
      </c>
      <c r="FK405" s="66">
        <f t="shared" si="497"/>
        <v>0</v>
      </c>
      <c r="FL405" s="173">
        <f t="shared" si="498"/>
        <v>0</v>
      </c>
    </row>
    <row r="406" spans="1:168" hidden="1" outlineLevel="1" x14ac:dyDescent="0.2">
      <c r="A406" s="76" t="s">
        <v>230</v>
      </c>
      <c r="B406" s="77" t="s">
        <v>237</v>
      </c>
      <c r="C406" s="76" t="s">
        <v>232</v>
      </c>
      <c r="D406" s="76" t="s">
        <v>255</v>
      </c>
      <c r="E406" s="77" t="s">
        <v>228</v>
      </c>
      <c r="F406" s="77" t="s">
        <v>716</v>
      </c>
      <c r="G406" s="77" t="str">
        <f t="shared" si="499"/>
        <v>1</v>
      </c>
      <c r="H406" s="77" t="str">
        <f t="shared" si="500"/>
        <v>0</v>
      </c>
      <c r="I406" s="77" t="str">
        <f t="shared" si="501"/>
        <v>0</v>
      </c>
      <c r="J406" s="77" t="str">
        <f t="shared" si="502"/>
        <v>0</v>
      </c>
      <c r="K406" s="77" t="str">
        <f t="shared" si="503"/>
        <v>1000</v>
      </c>
      <c r="L406" s="77" t="str">
        <f>IFERROR(VLOOKUP(K406,Sheet2!$A$20:$B$23,2,FALSE),"X")</f>
        <v>01</v>
      </c>
      <c r="M406" s="77" t="str">
        <f t="shared" si="481"/>
        <v>10105988Turnaround Network</v>
      </c>
      <c r="N406" s="76" t="s">
        <v>161</v>
      </c>
      <c r="O406" s="76" t="s">
        <v>160</v>
      </c>
      <c r="P406" s="69" t="s">
        <v>168</v>
      </c>
      <c r="Q406" s="78"/>
      <c r="R406" s="78"/>
      <c r="S406" s="79">
        <v>100000</v>
      </c>
      <c r="AR406" s="79">
        <f t="shared" si="504"/>
        <v>0</v>
      </c>
      <c r="AS406" s="79">
        <f t="shared" si="505"/>
        <v>0</v>
      </c>
      <c r="AT406" s="79">
        <f>S406+(AR406+AS406)</f>
        <v>100000</v>
      </c>
      <c r="AU406" s="79"/>
      <c r="AV406" s="79"/>
      <c r="BD406" s="79">
        <v>-638</v>
      </c>
      <c r="BF406" s="79">
        <v>-2800</v>
      </c>
      <c r="BH406" s="79">
        <v>-1010</v>
      </c>
      <c r="BJ406" s="79">
        <v>-1107</v>
      </c>
      <c r="BL406" s="79">
        <v>-12023</v>
      </c>
      <c r="BN406" s="79">
        <v>-5053</v>
      </c>
      <c r="BP406" s="79">
        <v>-15177</v>
      </c>
      <c r="BT406" s="79">
        <v>-38869</v>
      </c>
      <c r="BV406" s="79">
        <f t="shared" si="506"/>
        <v>-76677</v>
      </c>
      <c r="BW406" s="79">
        <f t="shared" si="507"/>
        <v>0</v>
      </c>
      <c r="BX406" s="79">
        <f t="shared" si="508"/>
        <v>23323</v>
      </c>
      <c r="BY406" s="79" t="s">
        <v>336</v>
      </c>
      <c r="CA406" s="79">
        <v>32016</v>
      </c>
      <c r="CG406" s="79">
        <v>-22506</v>
      </c>
      <c r="CP406" s="79">
        <v>-12714.5</v>
      </c>
      <c r="CT406" s="79">
        <v>-7245.75</v>
      </c>
      <c r="CX406" s="79">
        <v>-8706.49</v>
      </c>
      <c r="DB406" s="79">
        <f t="shared" si="509"/>
        <v>0</v>
      </c>
      <c r="DC406" s="79">
        <f t="shared" si="510"/>
        <v>-51172.74</v>
      </c>
      <c r="DD406" s="79">
        <f t="shared" si="511"/>
        <v>0</v>
      </c>
      <c r="DE406" s="79">
        <f t="shared" si="512"/>
        <v>4166.260000000002</v>
      </c>
      <c r="DF406" s="79"/>
      <c r="DM406" s="79">
        <v>-486.92</v>
      </c>
      <c r="DP406" s="131"/>
      <c r="EC406" s="79">
        <v>-222.39</v>
      </c>
      <c r="EE406" s="79">
        <v>-96.16</v>
      </c>
      <c r="EJ406" s="79">
        <f t="shared" si="513"/>
        <v>0</v>
      </c>
      <c r="EK406" s="79">
        <f t="shared" si="514"/>
        <v>-805.46999999999991</v>
      </c>
      <c r="EL406" s="79">
        <f t="shared" si="515"/>
        <v>0</v>
      </c>
      <c r="EM406" s="79">
        <f t="shared" si="516"/>
        <v>3360.7900000000022</v>
      </c>
      <c r="ET406" s="144">
        <v>-5.77</v>
      </c>
      <c r="FI406" s="66">
        <f t="shared" si="495"/>
        <v>0</v>
      </c>
      <c r="FJ406" s="66">
        <f t="shared" si="496"/>
        <v>0</v>
      </c>
      <c r="FK406" s="66">
        <f t="shared" si="497"/>
        <v>-5.77</v>
      </c>
      <c r="FL406" s="173">
        <f t="shared" si="498"/>
        <v>3355.0200000000023</v>
      </c>
    </row>
    <row r="407" spans="1:168" hidden="1" outlineLevel="1" x14ac:dyDescent="0.2">
      <c r="A407" s="76" t="s">
        <v>230</v>
      </c>
      <c r="B407" s="77" t="s">
        <v>301</v>
      </c>
      <c r="C407" s="76" t="s">
        <v>232</v>
      </c>
      <c r="D407" s="76" t="s">
        <v>302</v>
      </c>
      <c r="E407" s="77" t="s">
        <v>228</v>
      </c>
      <c r="F407" s="77" t="s">
        <v>716</v>
      </c>
      <c r="G407" s="77" t="str">
        <f t="shared" si="499"/>
        <v>0</v>
      </c>
      <c r="H407" s="77" t="str">
        <f t="shared" si="500"/>
        <v>0</v>
      </c>
      <c r="I407" s="77" t="str">
        <f t="shared" si="501"/>
        <v>0</v>
      </c>
      <c r="J407" s="77" t="str">
        <f t="shared" si="502"/>
        <v>0</v>
      </c>
      <c r="K407" s="77" t="str">
        <f t="shared" si="503"/>
        <v>0000</v>
      </c>
      <c r="L407" s="77" t="str">
        <f>IFERROR(VLOOKUP(K407,Sheet2!$A$20:$B$23,2,FALSE),"X")</f>
        <v>X</v>
      </c>
      <c r="M407" s="77" t="str">
        <f t="shared" si="481"/>
        <v>10108457Turnaround Network</v>
      </c>
      <c r="N407" s="76" t="s">
        <v>315</v>
      </c>
      <c r="O407" s="76" t="s">
        <v>160</v>
      </c>
      <c r="P407" s="69" t="s">
        <v>168</v>
      </c>
      <c r="Q407" s="78"/>
      <c r="R407" s="78"/>
      <c r="AR407" s="79">
        <f t="shared" si="504"/>
        <v>0</v>
      </c>
      <c r="AS407" s="79">
        <f t="shared" si="505"/>
        <v>0</v>
      </c>
      <c r="AT407" s="79">
        <v>2906</v>
      </c>
      <c r="AV407" s="79"/>
      <c r="BV407" s="79">
        <f t="shared" si="506"/>
        <v>0</v>
      </c>
      <c r="BW407" s="79">
        <f t="shared" si="507"/>
        <v>0</v>
      </c>
      <c r="BX407" s="79">
        <f t="shared" si="508"/>
        <v>2906</v>
      </c>
      <c r="DB407" s="79">
        <f t="shared" si="509"/>
        <v>0</v>
      </c>
      <c r="DC407" s="79">
        <f t="shared" si="510"/>
        <v>0</v>
      </c>
      <c r="DD407" s="79">
        <f t="shared" si="511"/>
        <v>0</v>
      </c>
      <c r="DE407" s="79">
        <f t="shared" si="512"/>
        <v>2906</v>
      </c>
      <c r="DP407" s="131"/>
      <c r="EJ407" s="79">
        <f t="shared" si="513"/>
        <v>0</v>
      </c>
      <c r="EK407" s="79">
        <f t="shared" si="514"/>
        <v>0</v>
      </c>
      <c r="EL407" s="79">
        <f t="shared" si="515"/>
        <v>0</v>
      </c>
      <c r="EM407" s="79">
        <f t="shared" si="516"/>
        <v>2906</v>
      </c>
      <c r="EX407" s="66">
        <v>-1950</v>
      </c>
      <c r="FC407" s="66">
        <v>-195.37</v>
      </c>
      <c r="FI407" s="66">
        <f t="shared" si="495"/>
        <v>0</v>
      </c>
      <c r="FJ407" s="66">
        <f t="shared" si="496"/>
        <v>0</v>
      </c>
      <c r="FK407" s="66">
        <f t="shared" si="497"/>
        <v>-2145.37</v>
      </c>
      <c r="FL407" s="173">
        <f t="shared" si="498"/>
        <v>760.63000000000011</v>
      </c>
    </row>
    <row r="408" spans="1:168" hidden="1" outlineLevel="1" x14ac:dyDescent="0.2">
      <c r="A408" s="76" t="s">
        <v>230</v>
      </c>
      <c r="B408" s="77" t="s">
        <v>301</v>
      </c>
      <c r="C408" s="76" t="s">
        <v>232</v>
      </c>
      <c r="D408" s="76" t="s">
        <v>282</v>
      </c>
      <c r="E408" s="77" t="s">
        <v>228</v>
      </c>
      <c r="F408" s="77" t="s">
        <v>716</v>
      </c>
      <c r="G408" s="77" t="str">
        <f t="shared" si="499"/>
        <v>1</v>
      </c>
      <c r="H408" s="77" t="str">
        <f t="shared" si="500"/>
        <v>0</v>
      </c>
      <c r="I408" s="77" t="str">
        <f t="shared" si="501"/>
        <v>0</v>
      </c>
      <c r="J408" s="77" t="str">
        <f t="shared" si="502"/>
        <v>0</v>
      </c>
      <c r="K408" s="77" t="str">
        <f t="shared" si="503"/>
        <v>1000</v>
      </c>
      <c r="L408" s="77" t="str">
        <f>IFERROR(VLOOKUP(K408,Sheet2!$A$20:$B$23,2,FALSE),"X")</f>
        <v>01</v>
      </c>
      <c r="M408" s="77" t="str">
        <f t="shared" si="481"/>
        <v>10108457Turnaround Network</v>
      </c>
      <c r="N408" s="76" t="s">
        <v>161</v>
      </c>
      <c r="O408" s="76" t="s">
        <v>160</v>
      </c>
      <c r="P408" s="69" t="s">
        <v>168</v>
      </c>
      <c r="Q408" s="78"/>
      <c r="R408" s="78"/>
      <c r="S408" s="79">
        <v>50000</v>
      </c>
      <c r="AR408" s="79">
        <f t="shared" si="504"/>
        <v>0</v>
      </c>
      <c r="AS408" s="79">
        <f t="shared" si="505"/>
        <v>0</v>
      </c>
      <c r="AT408" s="79">
        <f>S408+(AR408+AS408)</f>
        <v>50000</v>
      </c>
      <c r="AU408" s="79"/>
      <c r="AV408" s="79"/>
      <c r="BL408" s="79">
        <v>-11250</v>
      </c>
      <c r="BP408" s="79">
        <v>-12040</v>
      </c>
      <c r="BT408" s="79">
        <v>-11250</v>
      </c>
      <c r="BV408" s="79">
        <f t="shared" si="506"/>
        <v>-34540</v>
      </c>
      <c r="BW408" s="79">
        <f t="shared" si="507"/>
        <v>0</v>
      </c>
      <c r="BX408" s="79">
        <f t="shared" si="508"/>
        <v>15460</v>
      </c>
      <c r="BY408" s="79"/>
      <c r="CG408" s="79">
        <v>-15398</v>
      </c>
      <c r="DB408" s="79">
        <f t="shared" si="509"/>
        <v>0</v>
      </c>
      <c r="DC408" s="79">
        <f t="shared" si="510"/>
        <v>-15398</v>
      </c>
      <c r="DD408" s="79">
        <f t="shared" si="511"/>
        <v>0</v>
      </c>
      <c r="DE408" s="79">
        <f t="shared" si="512"/>
        <v>62</v>
      </c>
      <c r="DF408" s="79"/>
      <c r="DP408" s="131"/>
      <c r="EJ408" s="79">
        <f t="shared" si="513"/>
        <v>0</v>
      </c>
      <c r="EK408" s="79">
        <f t="shared" si="514"/>
        <v>0</v>
      </c>
      <c r="EL408" s="79">
        <f t="shared" si="515"/>
        <v>0</v>
      </c>
      <c r="EM408" s="79">
        <f t="shared" si="516"/>
        <v>62</v>
      </c>
      <c r="FI408" s="66">
        <f t="shared" si="495"/>
        <v>0</v>
      </c>
      <c r="FJ408" s="66">
        <f t="shared" si="496"/>
        <v>0</v>
      </c>
      <c r="FK408" s="66">
        <f t="shared" si="497"/>
        <v>0</v>
      </c>
      <c r="FL408" s="173">
        <f t="shared" si="498"/>
        <v>62</v>
      </c>
    </row>
    <row r="409" spans="1:168" hidden="1" outlineLevel="1" x14ac:dyDescent="0.2">
      <c r="A409" s="76" t="s">
        <v>230</v>
      </c>
      <c r="B409" s="77" t="s">
        <v>303</v>
      </c>
      <c r="C409" s="76" t="s">
        <v>232</v>
      </c>
      <c r="D409" s="76" t="s">
        <v>304</v>
      </c>
      <c r="E409" s="77" t="s">
        <v>228</v>
      </c>
      <c r="F409" s="77" t="s">
        <v>716</v>
      </c>
      <c r="G409" s="77" t="str">
        <f t="shared" si="499"/>
        <v>0</v>
      </c>
      <c r="H409" s="77" t="str">
        <f t="shared" si="500"/>
        <v>0</v>
      </c>
      <c r="I409" s="77" t="str">
        <f t="shared" si="501"/>
        <v>0</v>
      </c>
      <c r="J409" s="77" t="str">
        <f t="shared" si="502"/>
        <v>0</v>
      </c>
      <c r="K409" s="77" t="str">
        <f t="shared" si="503"/>
        <v>0000</v>
      </c>
      <c r="L409" s="77" t="str">
        <f>IFERROR(VLOOKUP(K409,Sheet2!$A$20:$B$23,2,FALSE),"X")</f>
        <v>X</v>
      </c>
      <c r="M409" s="77" t="str">
        <f t="shared" si="481"/>
        <v>10109404Turnaround Network</v>
      </c>
      <c r="N409" s="76" t="s">
        <v>315</v>
      </c>
      <c r="O409" s="76" t="s">
        <v>160</v>
      </c>
      <c r="P409" s="69" t="s">
        <v>168</v>
      </c>
      <c r="Q409" s="78"/>
      <c r="R409" s="78"/>
      <c r="AR409" s="79">
        <f t="shared" si="504"/>
        <v>0</v>
      </c>
      <c r="AS409" s="79">
        <f t="shared" si="505"/>
        <v>0</v>
      </c>
      <c r="AT409" s="79">
        <v>1</v>
      </c>
      <c r="AV409" s="79"/>
      <c r="BV409" s="79">
        <f t="shared" si="506"/>
        <v>0</v>
      </c>
      <c r="BW409" s="79">
        <f t="shared" si="507"/>
        <v>0</v>
      </c>
      <c r="BX409" s="79">
        <f t="shared" si="508"/>
        <v>1</v>
      </c>
      <c r="DB409" s="79">
        <f t="shared" si="509"/>
        <v>0</v>
      </c>
      <c r="DC409" s="79">
        <f t="shared" si="510"/>
        <v>0</v>
      </c>
      <c r="DD409" s="79">
        <f t="shared" si="511"/>
        <v>0</v>
      </c>
      <c r="DE409" s="79">
        <f t="shared" si="512"/>
        <v>1</v>
      </c>
      <c r="DP409" s="131"/>
      <c r="EJ409" s="79">
        <f t="shared" si="513"/>
        <v>0</v>
      </c>
      <c r="EK409" s="79">
        <f t="shared" si="514"/>
        <v>0</v>
      </c>
      <c r="EL409" s="79">
        <f t="shared" si="515"/>
        <v>0</v>
      </c>
      <c r="EM409" s="79">
        <f t="shared" si="516"/>
        <v>1</v>
      </c>
      <c r="FI409" s="66">
        <f t="shared" si="495"/>
        <v>0</v>
      </c>
      <c r="FJ409" s="66">
        <f t="shared" si="496"/>
        <v>0</v>
      </c>
      <c r="FK409" s="66">
        <f t="shared" si="497"/>
        <v>0</v>
      </c>
      <c r="FL409" s="173">
        <f t="shared" si="498"/>
        <v>1</v>
      </c>
    </row>
    <row r="410" spans="1:168" hidden="1" outlineLevel="1" x14ac:dyDescent="0.2">
      <c r="A410" s="76" t="s">
        <v>230</v>
      </c>
      <c r="B410" s="77" t="s">
        <v>238</v>
      </c>
      <c r="C410" s="76" t="s">
        <v>232</v>
      </c>
      <c r="D410" s="76" t="s">
        <v>256</v>
      </c>
      <c r="E410" s="77" t="s">
        <v>228</v>
      </c>
      <c r="F410" s="77" t="s">
        <v>716</v>
      </c>
      <c r="G410" s="77" t="str">
        <f t="shared" si="499"/>
        <v>1</v>
      </c>
      <c r="H410" s="77" t="str">
        <f t="shared" si="500"/>
        <v>0</v>
      </c>
      <c r="I410" s="77" t="str">
        <f t="shared" si="501"/>
        <v>0</v>
      </c>
      <c r="J410" s="77" t="str">
        <f t="shared" si="502"/>
        <v>0</v>
      </c>
      <c r="K410" s="77" t="str">
        <f t="shared" si="503"/>
        <v>1000</v>
      </c>
      <c r="L410" s="77" t="str">
        <f>IFERROR(VLOOKUP(K410,Sheet2!$A$20:$B$23,2,FALSE),"X")</f>
        <v>01</v>
      </c>
      <c r="M410" s="77" t="str">
        <f t="shared" si="481"/>
        <v>10109445Turnaround Network</v>
      </c>
      <c r="N410" s="76" t="s">
        <v>161</v>
      </c>
      <c r="O410" s="76" t="s">
        <v>160</v>
      </c>
      <c r="P410" s="69" t="s">
        <v>168</v>
      </c>
      <c r="Q410" s="78"/>
      <c r="R410" s="78"/>
      <c r="S410" s="79">
        <v>50000</v>
      </c>
      <c r="AR410" s="79">
        <f t="shared" si="504"/>
        <v>0</v>
      </c>
      <c r="AS410" s="79">
        <f t="shared" si="505"/>
        <v>0</v>
      </c>
      <c r="AT410" s="79">
        <f>S410+(AR410+AS410)</f>
        <v>50000</v>
      </c>
      <c r="AU410" s="79"/>
      <c r="AV410" s="79"/>
      <c r="BD410" s="79">
        <v>-6262</v>
      </c>
      <c r="BF410" s="79">
        <v>-1509</v>
      </c>
      <c r="BH410" s="79">
        <v>-522</v>
      </c>
      <c r="BJ410" s="79">
        <v>-143</v>
      </c>
      <c r="BL410" s="79">
        <v>-11325</v>
      </c>
      <c r="BN410" s="79">
        <v>-1113</v>
      </c>
      <c r="BP410" s="79">
        <v>-10146</v>
      </c>
      <c r="BR410" s="79">
        <v>-8250</v>
      </c>
      <c r="BT410" s="79">
        <v>-233</v>
      </c>
      <c r="BV410" s="79">
        <f t="shared" si="506"/>
        <v>-39503</v>
      </c>
      <c r="BW410" s="79">
        <f t="shared" si="507"/>
        <v>0</v>
      </c>
      <c r="BX410" s="79">
        <f t="shared" si="508"/>
        <v>10497</v>
      </c>
      <c r="BY410" s="79"/>
      <c r="CG410" s="79">
        <v>-10442</v>
      </c>
      <c r="DB410" s="79">
        <f t="shared" si="509"/>
        <v>0</v>
      </c>
      <c r="DC410" s="79">
        <f t="shared" si="510"/>
        <v>-10442</v>
      </c>
      <c r="DD410" s="79">
        <f t="shared" si="511"/>
        <v>0</v>
      </c>
      <c r="DE410" s="79">
        <f t="shared" si="512"/>
        <v>55</v>
      </c>
      <c r="DF410" s="79"/>
      <c r="DP410" s="131"/>
      <c r="EJ410" s="79">
        <f t="shared" si="513"/>
        <v>0</v>
      </c>
      <c r="EK410" s="79">
        <f t="shared" si="514"/>
        <v>0</v>
      </c>
      <c r="EL410" s="79">
        <f t="shared" si="515"/>
        <v>0</v>
      </c>
      <c r="EM410" s="79">
        <f t="shared" si="516"/>
        <v>55</v>
      </c>
      <c r="FI410" s="66">
        <f t="shared" si="495"/>
        <v>0</v>
      </c>
      <c r="FJ410" s="66">
        <f t="shared" si="496"/>
        <v>0</v>
      </c>
      <c r="FK410" s="66">
        <f t="shared" si="497"/>
        <v>0</v>
      </c>
      <c r="FL410" s="173">
        <f t="shared" si="498"/>
        <v>55</v>
      </c>
    </row>
    <row r="411" spans="1:168" hidden="1" outlineLevel="1" x14ac:dyDescent="0.2">
      <c r="A411" s="76" t="s">
        <v>230</v>
      </c>
      <c r="B411" s="77" t="s">
        <v>305</v>
      </c>
      <c r="C411" s="76" t="s">
        <v>232</v>
      </c>
      <c r="D411" s="76" t="s">
        <v>283</v>
      </c>
      <c r="E411" s="77" t="s">
        <v>228</v>
      </c>
      <c r="F411" s="77" t="s">
        <v>716</v>
      </c>
      <c r="G411" s="77" t="str">
        <f t="shared" si="499"/>
        <v>1</v>
      </c>
      <c r="H411" s="77" t="str">
        <f t="shared" si="500"/>
        <v>0</v>
      </c>
      <c r="I411" s="77" t="str">
        <f t="shared" si="501"/>
        <v>0</v>
      </c>
      <c r="J411" s="77" t="str">
        <f t="shared" si="502"/>
        <v>0</v>
      </c>
      <c r="K411" s="77" t="str">
        <f t="shared" si="503"/>
        <v>1000</v>
      </c>
      <c r="L411" s="77" t="str">
        <f>IFERROR(VLOOKUP(K411,Sheet2!$A$20:$B$23,2,FALSE),"X")</f>
        <v>01</v>
      </c>
      <c r="M411" s="77" t="str">
        <f t="shared" si="481"/>
        <v>10109618Turnaround Network</v>
      </c>
      <c r="N411" s="76" t="s">
        <v>161</v>
      </c>
      <c r="O411" s="76" t="s">
        <v>160</v>
      </c>
      <c r="P411" s="69" t="s">
        <v>168</v>
      </c>
      <c r="Q411" s="78"/>
      <c r="R411" s="78"/>
      <c r="S411" s="92">
        <f>100000-29897</f>
        <v>70103</v>
      </c>
      <c r="AR411" s="79">
        <f t="shared" si="504"/>
        <v>0</v>
      </c>
      <c r="AS411" s="79">
        <f t="shared" si="505"/>
        <v>0</v>
      </c>
      <c r="AT411" s="79">
        <f>S411+(AR411+AS411)</f>
        <v>70103</v>
      </c>
      <c r="AU411" s="79"/>
      <c r="AV411" s="79"/>
      <c r="AZ411" s="79">
        <v>-6730</v>
      </c>
      <c r="BD411" s="79">
        <v>-9391</v>
      </c>
      <c r="BF411" s="79">
        <v>-3782</v>
      </c>
      <c r="BJ411" s="79">
        <v>-132</v>
      </c>
      <c r="BL411" s="79">
        <v>-8250</v>
      </c>
      <c r="BN411" s="79">
        <v>-1725</v>
      </c>
      <c r="BP411" s="79">
        <v>-10104</v>
      </c>
      <c r="BT411" s="79">
        <v>-18601</v>
      </c>
      <c r="BV411" s="79">
        <f t="shared" si="506"/>
        <v>-58715</v>
      </c>
      <c r="BW411" s="79">
        <f t="shared" si="507"/>
        <v>0</v>
      </c>
      <c r="BX411" s="79">
        <f t="shared" si="508"/>
        <v>11388</v>
      </c>
      <c r="BY411" s="158" t="s">
        <v>336</v>
      </c>
      <c r="CA411" s="79">
        <v>61913</v>
      </c>
      <c r="CG411" s="79">
        <v>-9550</v>
      </c>
      <c r="CP411" s="79">
        <v>-22028.52</v>
      </c>
      <c r="CR411" s="79">
        <v>-2033.88</v>
      </c>
      <c r="CT411" s="79">
        <v>-7245.75</v>
      </c>
      <c r="CV411" s="79">
        <f>-426.85-14227.5</f>
        <v>-14654.35</v>
      </c>
      <c r="CZ411" s="79">
        <v>-4695.75</v>
      </c>
      <c r="DB411" s="79">
        <f t="shared" si="509"/>
        <v>0</v>
      </c>
      <c r="DC411" s="79">
        <f t="shared" si="510"/>
        <v>-60208.25</v>
      </c>
      <c r="DD411" s="79">
        <f t="shared" si="511"/>
        <v>0</v>
      </c>
      <c r="DE411" s="79">
        <f t="shared" si="512"/>
        <v>13092.75</v>
      </c>
      <c r="DM411" s="79">
        <v>-345.8</v>
      </c>
      <c r="DP411" s="131"/>
      <c r="DW411" s="79">
        <v>-6215.23</v>
      </c>
      <c r="DY411" s="79">
        <f>-(6215.23+277.21)</f>
        <v>-6492.44</v>
      </c>
      <c r="EE411" s="92">
        <v>6215.23</v>
      </c>
      <c r="EI411" s="79">
        <v>-39.28</v>
      </c>
      <c r="EJ411" s="79">
        <f t="shared" si="513"/>
        <v>0</v>
      </c>
      <c r="EK411" s="79">
        <f t="shared" si="514"/>
        <v>-6838.24</v>
      </c>
      <c r="EL411" s="79">
        <f t="shared" si="515"/>
        <v>-39.28</v>
      </c>
      <c r="EM411" s="79">
        <f t="shared" si="516"/>
        <v>6215.2300000000005</v>
      </c>
      <c r="ES411" s="144">
        <f>-(2931.71+2892.43)</f>
        <v>-5824.1399999999994</v>
      </c>
      <c r="ET411" s="144">
        <v>-351.8</v>
      </c>
      <c r="FI411" s="66">
        <f t="shared" si="495"/>
        <v>0</v>
      </c>
      <c r="FJ411" s="66">
        <f t="shared" si="496"/>
        <v>0</v>
      </c>
      <c r="FK411" s="66">
        <f t="shared" si="497"/>
        <v>-6175.94</v>
      </c>
      <c r="FL411" s="173">
        <f t="shared" si="498"/>
        <v>39.290000000000873</v>
      </c>
    </row>
    <row r="412" spans="1:168" hidden="1" outlineLevel="1" x14ac:dyDescent="0.2">
      <c r="A412" s="76" t="s">
        <v>230</v>
      </c>
      <c r="B412" s="77" t="s">
        <v>34</v>
      </c>
      <c r="C412" s="76" t="s">
        <v>232</v>
      </c>
      <c r="D412" s="76" t="s">
        <v>111</v>
      </c>
      <c r="E412" s="77" t="s">
        <v>228</v>
      </c>
      <c r="F412" s="77" t="s">
        <v>716</v>
      </c>
      <c r="G412" s="77" t="str">
        <f t="shared" si="499"/>
        <v>0</v>
      </c>
      <c r="H412" s="77" t="str">
        <f t="shared" si="500"/>
        <v>0</v>
      </c>
      <c r="I412" s="77" t="str">
        <f t="shared" si="501"/>
        <v>0</v>
      </c>
      <c r="J412" s="77" t="str">
        <f t="shared" si="502"/>
        <v>0</v>
      </c>
      <c r="K412" s="77" t="str">
        <f t="shared" si="503"/>
        <v>0000</v>
      </c>
      <c r="L412" s="77" t="str">
        <f>IFERROR(VLOOKUP(K412,Sheet2!$A$20:$B$23,2,FALSE),"X")</f>
        <v>X</v>
      </c>
      <c r="M412" s="77" t="str">
        <f t="shared" si="481"/>
        <v>1010N/ATurnaround Network</v>
      </c>
      <c r="N412" s="76" t="s">
        <v>315</v>
      </c>
      <c r="O412" s="76" t="s">
        <v>160</v>
      </c>
      <c r="P412" s="69" t="s">
        <v>168</v>
      </c>
      <c r="Q412" s="78"/>
      <c r="R412" s="78"/>
      <c r="AR412" s="79">
        <f t="shared" si="504"/>
        <v>0</v>
      </c>
      <c r="AS412" s="79">
        <f t="shared" si="505"/>
        <v>0</v>
      </c>
      <c r="AT412" s="79">
        <v>205</v>
      </c>
      <c r="AV412" s="79"/>
      <c r="BV412" s="79">
        <f t="shared" si="506"/>
        <v>0</v>
      </c>
      <c r="BW412" s="79">
        <f t="shared" si="507"/>
        <v>0</v>
      </c>
      <c r="BX412" s="79">
        <f t="shared" si="508"/>
        <v>205</v>
      </c>
      <c r="CT412" s="92">
        <v>-205</v>
      </c>
      <c r="DB412" s="79">
        <f t="shared" si="509"/>
        <v>0</v>
      </c>
      <c r="DC412" s="79">
        <f t="shared" si="510"/>
        <v>-205</v>
      </c>
      <c r="DD412" s="79">
        <f t="shared" si="511"/>
        <v>0</v>
      </c>
      <c r="DE412" s="79">
        <f t="shared" si="512"/>
        <v>0</v>
      </c>
      <c r="DP412" s="131"/>
      <c r="EJ412" s="79">
        <f t="shared" si="513"/>
        <v>0</v>
      </c>
      <c r="EK412" s="79">
        <f t="shared" si="514"/>
        <v>0</v>
      </c>
      <c r="EL412" s="79">
        <f t="shared" si="515"/>
        <v>0</v>
      </c>
      <c r="EM412" s="79">
        <f t="shared" si="516"/>
        <v>0</v>
      </c>
      <c r="FI412" s="66">
        <f t="shared" si="495"/>
        <v>0</v>
      </c>
      <c r="FJ412" s="66">
        <f t="shared" si="496"/>
        <v>0</v>
      </c>
      <c r="FK412" s="66">
        <f t="shared" si="497"/>
        <v>0</v>
      </c>
      <c r="FL412" s="173">
        <f t="shared" si="498"/>
        <v>0</v>
      </c>
    </row>
    <row r="413" spans="1:168" hidden="1" outlineLevel="1" x14ac:dyDescent="0.2">
      <c r="A413" s="76" t="s">
        <v>230</v>
      </c>
      <c r="B413" s="77" t="s">
        <v>34</v>
      </c>
      <c r="C413" s="76" t="s">
        <v>232</v>
      </c>
      <c r="D413" s="76" t="s">
        <v>111</v>
      </c>
      <c r="E413" s="77" t="s">
        <v>228</v>
      </c>
      <c r="F413" s="77" t="s">
        <v>716</v>
      </c>
      <c r="G413" s="77" t="str">
        <f t="shared" si="499"/>
        <v>1</v>
      </c>
      <c r="H413" s="77" t="str">
        <f t="shared" si="500"/>
        <v>0</v>
      </c>
      <c r="I413" s="77" t="str">
        <f t="shared" si="501"/>
        <v>0</v>
      </c>
      <c r="J413" s="77" t="str">
        <f t="shared" si="502"/>
        <v>0</v>
      </c>
      <c r="K413" s="77" t="str">
        <f t="shared" si="503"/>
        <v>1000</v>
      </c>
      <c r="L413" s="77" t="str">
        <f>IFERROR(VLOOKUP(K413,Sheet2!$A$20:$B$23,2,FALSE),"X")</f>
        <v>01</v>
      </c>
      <c r="M413" s="77" t="str">
        <f t="shared" si="481"/>
        <v>1010N/ATurnaround Network</v>
      </c>
      <c r="N413" s="76" t="s">
        <v>161</v>
      </c>
      <c r="O413" s="76" t="s">
        <v>160</v>
      </c>
      <c r="P413" s="69" t="s">
        <v>168</v>
      </c>
      <c r="Q413" s="78"/>
      <c r="R413" s="78"/>
      <c r="S413" s="79">
        <v>50000</v>
      </c>
      <c r="AR413" s="79">
        <f t="shared" si="504"/>
        <v>0</v>
      </c>
      <c r="AS413" s="79">
        <f t="shared" si="505"/>
        <v>0</v>
      </c>
      <c r="AT413" s="79">
        <f>S413+(AR413+AS413)</f>
        <v>50000</v>
      </c>
      <c r="AU413" s="79"/>
      <c r="AV413" s="79"/>
      <c r="BD413" s="92">
        <v>-770</v>
      </c>
      <c r="BF413" s="92">
        <v>-3087</v>
      </c>
      <c r="BJ413" s="92">
        <v>-964</v>
      </c>
      <c r="BL413" s="92">
        <v>-8250</v>
      </c>
      <c r="BN413" s="92">
        <v>-2418</v>
      </c>
      <c r="BP413" s="92">
        <v>-8915</v>
      </c>
      <c r="BR413" s="92">
        <v>-8250</v>
      </c>
      <c r="BT413" s="92">
        <v>-940</v>
      </c>
      <c r="BV413" s="79">
        <f t="shared" si="506"/>
        <v>-33594</v>
      </c>
      <c r="BW413" s="79">
        <f t="shared" si="507"/>
        <v>0</v>
      </c>
      <c r="BX413" s="79">
        <f t="shared" si="508"/>
        <v>16406</v>
      </c>
      <c r="BY413" s="79" t="s">
        <v>336</v>
      </c>
      <c r="CA413" s="79">
        <v>21344</v>
      </c>
      <c r="CG413" s="92">
        <v>-9963</v>
      </c>
      <c r="CP413" s="92">
        <v>-13277</v>
      </c>
      <c r="CR413" s="92">
        <v>-350</v>
      </c>
      <c r="CT413" s="92">
        <v>-4216.03</v>
      </c>
      <c r="CV413" s="92">
        <v>-1195.78</v>
      </c>
      <c r="CX413" s="92">
        <v>-2754.25</v>
      </c>
      <c r="CZ413" s="92">
        <v>-3758.5</v>
      </c>
      <c r="DB413" s="79">
        <f t="shared" si="509"/>
        <v>0</v>
      </c>
      <c r="DC413" s="79">
        <f t="shared" si="510"/>
        <v>-35514.559999999998</v>
      </c>
      <c r="DD413" s="79">
        <f t="shared" si="511"/>
        <v>0</v>
      </c>
      <c r="DE413" s="79">
        <f t="shared" si="512"/>
        <v>2235.4400000000023</v>
      </c>
      <c r="DF413" s="79"/>
      <c r="DP413" s="131"/>
      <c r="DW413" s="92">
        <v>-2370.92</v>
      </c>
      <c r="EJ413" s="79">
        <f t="shared" si="513"/>
        <v>0</v>
      </c>
      <c r="EK413" s="79">
        <f t="shared" si="514"/>
        <v>-2370.92</v>
      </c>
      <c r="EL413" s="79">
        <f t="shared" si="515"/>
        <v>0</v>
      </c>
      <c r="EM413" s="79">
        <f t="shared" si="516"/>
        <v>-135.47999999999774</v>
      </c>
      <c r="ET413" s="144">
        <v>-134.21</v>
      </c>
      <c r="EV413" s="220">
        <v>556.6</v>
      </c>
      <c r="EZ413" s="220">
        <v>-556.6</v>
      </c>
      <c r="FB413" s="220">
        <v>556.6</v>
      </c>
      <c r="FI413" s="66">
        <f t="shared" si="495"/>
        <v>0</v>
      </c>
      <c r="FJ413" s="66">
        <f t="shared" si="496"/>
        <v>0</v>
      </c>
      <c r="FK413" s="66">
        <f t="shared" si="497"/>
        <v>422.39</v>
      </c>
      <c r="FL413" s="173">
        <f t="shared" si="498"/>
        <v>286.91000000000224</v>
      </c>
    </row>
    <row r="414" spans="1:168" hidden="1" outlineLevel="1" x14ac:dyDescent="0.2">
      <c r="A414" s="76" t="s">
        <v>16</v>
      </c>
      <c r="B414" s="77" t="s">
        <v>316</v>
      </c>
      <c r="C414" s="76" t="s">
        <v>96</v>
      </c>
      <c r="D414" s="76" t="s">
        <v>284</v>
      </c>
      <c r="E414" s="77" t="s">
        <v>228</v>
      </c>
      <c r="F414" s="77" t="s">
        <v>716</v>
      </c>
      <c r="G414" s="77" t="str">
        <f t="shared" si="499"/>
        <v>1</v>
      </c>
      <c r="H414" s="77" t="str">
        <f t="shared" si="500"/>
        <v>0</v>
      </c>
      <c r="I414" s="77" t="str">
        <f t="shared" si="501"/>
        <v>0</v>
      </c>
      <c r="J414" s="77" t="str">
        <f t="shared" si="502"/>
        <v>0</v>
      </c>
      <c r="K414" s="77" t="str">
        <f t="shared" si="503"/>
        <v>1000</v>
      </c>
      <c r="L414" s="77" t="str">
        <f>IFERROR(VLOOKUP(K414,Sheet2!$A$20:$B$23,2,FALSE),"X")</f>
        <v>01</v>
      </c>
      <c r="M414" s="77" t="str">
        <f t="shared" si="481"/>
        <v>11808038Turnaround Network</v>
      </c>
      <c r="N414" s="76" t="s">
        <v>161</v>
      </c>
      <c r="O414" s="76" t="s">
        <v>160</v>
      </c>
      <c r="P414" s="69" t="s">
        <v>168</v>
      </c>
      <c r="Q414" s="78"/>
      <c r="R414" s="78"/>
      <c r="S414" s="79">
        <v>70444</v>
      </c>
      <c r="AR414" s="79">
        <f t="shared" si="504"/>
        <v>0</v>
      </c>
      <c r="AS414" s="79">
        <f t="shared" si="505"/>
        <v>0</v>
      </c>
      <c r="AT414" s="79">
        <f>S414+(AR414+AS414)</f>
        <v>70444</v>
      </c>
      <c r="AU414" s="79"/>
      <c r="AV414" s="79"/>
      <c r="BF414" s="79">
        <v>-28755</v>
      </c>
      <c r="BT414" s="79">
        <v>-29673</v>
      </c>
      <c r="BV414" s="79">
        <f t="shared" si="506"/>
        <v>-58428</v>
      </c>
      <c r="BW414" s="79">
        <f t="shared" si="507"/>
        <v>0</v>
      </c>
      <c r="BX414" s="79">
        <f t="shared" si="508"/>
        <v>12016</v>
      </c>
      <c r="BY414" s="158" t="s">
        <v>341</v>
      </c>
      <c r="CA414" s="79">
        <v>60000</v>
      </c>
      <c r="DB414" s="79">
        <f t="shared" si="509"/>
        <v>0</v>
      </c>
      <c r="DC414" s="79">
        <f t="shared" si="510"/>
        <v>0</v>
      </c>
      <c r="DD414" s="79">
        <f t="shared" si="511"/>
        <v>0</v>
      </c>
      <c r="DE414" s="79">
        <f t="shared" si="512"/>
        <v>72016</v>
      </c>
      <c r="DG414" s="79">
        <v>21266</v>
      </c>
      <c r="DP414" s="131"/>
      <c r="DQ414" s="79">
        <f>-12016-14258</f>
        <v>-26274</v>
      </c>
      <c r="EE414" s="79">
        <f>-11709.3</f>
        <v>-11709.3</v>
      </c>
      <c r="EJ414" s="79">
        <f t="shared" si="513"/>
        <v>0</v>
      </c>
      <c r="EK414" s="79">
        <f t="shared" si="514"/>
        <v>-37983.300000000003</v>
      </c>
      <c r="EL414" s="79">
        <f t="shared" si="515"/>
        <v>0</v>
      </c>
      <c r="EM414" s="79">
        <f t="shared" si="516"/>
        <v>55298.7</v>
      </c>
      <c r="ET414" s="144">
        <f>-52696.9</f>
        <v>-52696.9</v>
      </c>
      <c r="EV414" s="220">
        <v>10089</v>
      </c>
      <c r="EW414" s="144">
        <v>-2050.94</v>
      </c>
      <c r="EX414" s="66" t="s">
        <v>701</v>
      </c>
      <c r="EZ414" s="220">
        <v>-10089</v>
      </c>
      <c r="FB414" s="220">
        <v>10089</v>
      </c>
      <c r="FI414" s="66">
        <f t="shared" si="495"/>
        <v>0</v>
      </c>
      <c r="FJ414" s="66">
        <f t="shared" si="496"/>
        <v>0</v>
      </c>
      <c r="FK414" s="66">
        <f t="shared" si="497"/>
        <v>-44658.840000000004</v>
      </c>
      <c r="FL414" s="173">
        <f t="shared" si="498"/>
        <v>10639.859999999993</v>
      </c>
    </row>
    <row r="415" spans="1:168" hidden="1" outlineLevel="1" x14ac:dyDescent="0.2">
      <c r="A415" s="76" t="s">
        <v>25</v>
      </c>
      <c r="B415" s="77" t="s">
        <v>278</v>
      </c>
      <c r="C415" s="76" t="s">
        <v>103</v>
      </c>
      <c r="D415" s="76" t="s">
        <v>285</v>
      </c>
      <c r="E415" s="77" t="s">
        <v>228</v>
      </c>
      <c r="F415" s="77" t="s">
        <v>716</v>
      </c>
      <c r="G415" s="77" t="str">
        <f t="shared" si="499"/>
        <v>1</v>
      </c>
      <c r="H415" s="77" t="str">
        <f t="shared" si="500"/>
        <v>0</v>
      </c>
      <c r="I415" s="77" t="str">
        <f t="shared" si="501"/>
        <v>0</v>
      </c>
      <c r="J415" s="77" t="str">
        <f t="shared" si="502"/>
        <v>0</v>
      </c>
      <c r="K415" s="77" t="str">
        <f t="shared" si="503"/>
        <v>1000</v>
      </c>
      <c r="L415" s="77" t="str">
        <f>IFERROR(VLOOKUP(K415,Sheet2!$A$20:$B$23,2,FALSE),"X")</f>
        <v>01</v>
      </c>
      <c r="M415" s="77" t="str">
        <f t="shared" si="481"/>
        <v>14200109Turnaround Network</v>
      </c>
      <c r="N415" s="76" t="s">
        <v>161</v>
      </c>
      <c r="O415" s="76" t="s">
        <v>160</v>
      </c>
      <c r="P415" s="69" t="s">
        <v>168</v>
      </c>
      <c r="Q415" s="78">
        <v>43229</v>
      </c>
      <c r="R415" s="78">
        <v>43229</v>
      </c>
      <c r="S415" s="79">
        <v>79215</v>
      </c>
      <c r="AR415" s="79">
        <f t="shared" si="504"/>
        <v>0</v>
      </c>
      <c r="AS415" s="79">
        <f t="shared" si="505"/>
        <v>0</v>
      </c>
      <c r="AT415" s="79">
        <f>S415+(AR415+AS415)</f>
        <v>79215</v>
      </c>
      <c r="AU415" s="79"/>
      <c r="AV415" s="79"/>
      <c r="BD415" s="79">
        <v>-35288</v>
      </c>
      <c r="BF415" s="79">
        <v>-3342</v>
      </c>
      <c r="BH415" s="79">
        <v>-7667</v>
      </c>
      <c r="BJ415" s="79">
        <v>-3490</v>
      </c>
      <c r="BL415" s="79">
        <v>-5079</v>
      </c>
      <c r="BN415" s="79">
        <v>-3582</v>
      </c>
      <c r="BP415" s="79">
        <v>-3941</v>
      </c>
      <c r="BR415" s="79">
        <v>-3411</v>
      </c>
      <c r="BT415" s="79">
        <v>-3410</v>
      </c>
      <c r="BV415" s="79">
        <f t="shared" si="506"/>
        <v>-69210</v>
      </c>
      <c r="BW415" s="79">
        <f t="shared" si="507"/>
        <v>0</v>
      </c>
      <c r="BX415" s="79">
        <f t="shared" si="508"/>
        <v>10005</v>
      </c>
      <c r="BY415" s="79" t="s">
        <v>341</v>
      </c>
      <c r="CA415" s="79">
        <v>75000</v>
      </c>
      <c r="CD415" s="79">
        <v>-3409</v>
      </c>
      <c r="CH415" s="79">
        <v>-6596</v>
      </c>
      <c r="CN415" s="79">
        <v>-32319.96</v>
      </c>
      <c r="CT415" s="79">
        <v>-1750.58</v>
      </c>
      <c r="CV415" s="79">
        <v>-2950.85</v>
      </c>
      <c r="DB415" s="79">
        <f t="shared" si="509"/>
        <v>-3409</v>
      </c>
      <c r="DC415" s="79">
        <f t="shared" si="510"/>
        <v>-43617.39</v>
      </c>
      <c r="DD415" s="79">
        <f t="shared" si="511"/>
        <v>0</v>
      </c>
      <c r="DE415" s="79">
        <f t="shared" si="512"/>
        <v>37978.61</v>
      </c>
      <c r="DF415" s="79"/>
      <c r="DG415" s="79">
        <v>31491</v>
      </c>
      <c r="DK415" s="79">
        <v>-13943.41</v>
      </c>
      <c r="DP415" s="131"/>
      <c r="DY415" s="79">
        <v>-15745.5</v>
      </c>
      <c r="EA415" s="79">
        <v>-442.21</v>
      </c>
      <c r="EJ415" s="79">
        <f t="shared" si="513"/>
        <v>0</v>
      </c>
      <c r="EK415" s="79">
        <f t="shared" si="514"/>
        <v>-30131.119999999999</v>
      </c>
      <c r="EL415" s="79">
        <f t="shared" si="515"/>
        <v>0</v>
      </c>
      <c r="EM415" s="79">
        <f t="shared" si="516"/>
        <v>39338.490000000005</v>
      </c>
      <c r="EX415" s="144">
        <f>-32868.91-4980.26</f>
        <v>-37849.170000000006</v>
      </c>
      <c r="EY415" s="144"/>
      <c r="FI415" s="66">
        <f t="shared" si="495"/>
        <v>0</v>
      </c>
      <c r="FJ415" s="66">
        <f t="shared" si="496"/>
        <v>0</v>
      </c>
      <c r="FK415" s="66">
        <f t="shared" si="497"/>
        <v>-37849.170000000006</v>
      </c>
      <c r="FL415" s="173">
        <f t="shared" si="498"/>
        <v>1489.3199999999997</v>
      </c>
    </row>
    <row r="416" spans="1:168" hidden="1" outlineLevel="1" x14ac:dyDescent="0.2">
      <c r="A416" s="76" t="s">
        <v>25</v>
      </c>
      <c r="B416" s="77" t="s">
        <v>239</v>
      </c>
      <c r="C416" s="76" t="s">
        <v>103</v>
      </c>
      <c r="D416" s="76" t="s">
        <v>257</v>
      </c>
      <c r="E416" s="77" t="s">
        <v>228</v>
      </c>
      <c r="F416" s="77" t="s">
        <v>716</v>
      </c>
      <c r="G416" s="77" t="str">
        <f t="shared" si="499"/>
        <v>1</v>
      </c>
      <c r="H416" s="77" t="str">
        <f t="shared" si="500"/>
        <v>0</v>
      </c>
      <c r="I416" s="77" t="str">
        <f t="shared" si="501"/>
        <v>0</v>
      </c>
      <c r="J416" s="77" t="str">
        <f t="shared" si="502"/>
        <v>0</v>
      </c>
      <c r="K416" s="77" t="str">
        <f t="shared" si="503"/>
        <v>1000</v>
      </c>
      <c r="L416" s="77" t="str">
        <f>IFERROR(VLOOKUP(K416,Sheet2!$A$20:$B$23,2,FALSE),"X")</f>
        <v>01</v>
      </c>
      <c r="M416" s="77" t="str">
        <f t="shared" ref="M416:M449" si="517">A416&amp;B416&amp;E416</f>
        <v>14204422Turnaround Network</v>
      </c>
      <c r="N416" s="76" t="s">
        <v>161</v>
      </c>
      <c r="O416" s="76" t="s">
        <v>160</v>
      </c>
      <c r="P416" s="69" t="s">
        <v>168</v>
      </c>
      <c r="Q416" s="78">
        <v>43229</v>
      </c>
      <c r="R416" s="78">
        <v>43229</v>
      </c>
      <c r="S416" s="79">
        <v>50350</v>
      </c>
      <c r="AR416" s="79">
        <f t="shared" si="504"/>
        <v>0</v>
      </c>
      <c r="AS416" s="79">
        <f t="shared" si="505"/>
        <v>0</v>
      </c>
      <c r="AT416" s="79">
        <f>S416+(AR416+AS416)</f>
        <v>50350</v>
      </c>
      <c r="AU416" s="79"/>
      <c r="AV416" s="79"/>
      <c r="BD416" s="79">
        <v>-3797</v>
      </c>
      <c r="BF416" s="79">
        <v>-3797</v>
      </c>
      <c r="BH416" s="79">
        <v>-3766</v>
      </c>
      <c r="BJ416" s="79">
        <v>-3757</v>
      </c>
      <c r="BL416" s="79">
        <v>-3769</v>
      </c>
      <c r="BN416" s="79">
        <v>-3765</v>
      </c>
      <c r="BP416" s="79">
        <v>-3760</v>
      </c>
      <c r="BR416" s="79">
        <v>-3768</v>
      </c>
      <c r="BT416" s="79">
        <v>-3760</v>
      </c>
      <c r="BV416" s="79">
        <f t="shared" si="506"/>
        <v>-33939</v>
      </c>
      <c r="BW416" s="79">
        <f t="shared" si="507"/>
        <v>0</v>
      </c>
      <c r="BX416" s="79">
        <f t="shared" si="508"/>
        <v>16411</v>
      </c>
      <c r="BY416" s="79"/>
      <c r="CH416" s="79">
        <v>-4239.6000000000004</v>
      </c>
      <c r="CJ416" s="79">
        <v>-12171.4</v>
      </c>
      <c r="DB416" s="79">
        <f t="shared" si="509"/>
        <v>0</v>
      </c>
      <c r="DC416" s="79">
        <f t="shared" si="510"/>
        <v>-16411</v>
      </c>
      <c r="DD416" s="79">
        <f t="shared" si="511"/>
        <v>0</v>
      </c>
      <c r="DE416" s="79">
        <f t="shared" si="512"/>
        <v>0</v>
      </c>
      <c r="DF416" s="79"/>
      <c r="DP416" s="131"/>
      <c r="EJ416" s="79">
        <f t="shared" si="513"/>
        <v>0</v>
      </c>
      <c r="EK416" s="79">
        <f t="shared" si="514"/>
        <v>0</v>
      </c>
      <c r="EL416" s="79">
        <f t="shared" si="515"/>
        <v>0</v>
      </c>
      <c r="EM416" s="79">
        <f t="shared" si="516"/>
        <v>0</v>
      </c>
      <c r="FI416" s="66">
        <f t="shared" ref="FI416:FI447" si="518">SUMIF($ES$2:$FH$2,$FI$2,$ES416:$FH416)</f>
        <v>0</v>
      </c>
      <c r="FJ416" s="66">
        <f t="shared" ref="FJ416:FJ447" si="519">SUMIF($ES$2:$FH$2,$FJ$2,$ES416:$FH416)</f>
        <v>0</v>
      </c>
      <c r="FK416" s="66">
        <f t="shared" ref="FK416:FK447" si="520">SUMIF($ES$2:$FH$2,$FK$2,$ES416:$FH416)</f>
        <v>0</v>
      </c>
      <c r="FL416" s="173">
        <f t="shared" ref="FL416:FL447" si="521">EM416+EO416+EP416+EQ416+(FK416+FI416+FJ416)</f>
        <v>0</v>
      </c>
    </row>
    <row r="417" spans="1:168" hidden="1" outlineLevel="1" x14ac:dyDescent="0.2">
      <c r="A417" s="76" t="s">
        <v>25</v>
      </c>
      <c r="B417" s="77" t="s">
        <v>306</v>
      </c>
      <c r="C417" s="76" t="s">
        <v>103</v>
      </c>
      <c r="D417" s="76" t="s">
        <v>286</v>
      </c>
      <c r="E417" s="77" t="s">
        <v>228</v>
      </c>
      <c r="F417" s="77" t="s">
        <v>716</v>
      </c>
      <c r="G417" s="77" t="str">
        <f t="shared" si="499"/>
        <v>1</v>
      </c>
      <c r="H417" s="77" t="str">
        <f t="shared" si="500"/>
        <v>0</v>
      </c>
      <c r="I417" s="77" t="str">
        <f t="shared" si="501"/>
        <v>0</v>
      </c>
      <c r="J417" s="77" t="str">
        <f t="shared" si="502"/>
        <v>0</v>
      </c>
      <c r="K417" s="77" t="str">
        <f t="shared" si="503"/>
        <v>1000</v>
      </c>
      <c r="L417" s="77" t="str">
        <f>IFERROR(VLOOKUP(K417,Sheet2!$A$20:$B$23,2,FALSE),"X")</f>
        <v>01</v>
      </c>
      <c r="M417" s="77" t="str">
        <f t="shared" si="517"/>
        <v>14205354Turnaround Network</v>
      </c>
      <c r="N417" s="76" t="s">
        <v>161</v>
      </c>
      <c r="O417" s="76" t="s">
        <v>160</v>
      </c>
      <c r="P417" s="69" t="s">
        <v>168</v>
      </c>
      <c r="Q417" s="78"/>
      <c r="R417" s="78"/>
      <c r="S417" s="79">
        <v>101511</v>
      </c>
      <c r="AR417" s="79">
        <f t="shared" si="504"/>
        <v>0</v>
      </c>
      <c r="AS417" s="79">
        <f t="shared" si="505"/>
        <v>0</v>
      </c>
      <c r="AT417" s="79">
        <f>S417+(AR417+AS417)</f>
        <v>101511</v>
      </c>
      <c r="AU417" s="79"/>
      <c r="AV417" s="79"/>
      <c r="BD417" s="79">
        <v>-2955</v>
      </c>
      <c r="BF417" s="79">
        <v>-8141</v>
      </c>
      <c r="BH417" s="79">
        <v>-13550</v>
      </c>
      <c r="BJ417" s="79">
        <v>-6620</v>
      </c>
      <c r="BL417" s="79">
        <v>-1671</v>
      </c>
      <c r="BN417" s="79">
        <v>-5145</v>
      </c>
      <c r="BP417" s="79">
        <v>-2158</v>
      </c>
      <c r="BR417" s="79">
        <v>-1404</v>
      </c>
      <c r="BT417" s="79">
        <v>-7084</v>
      </c>
      <c r="BV417" s="79">
        <f t="shared" si="506"/>
        <v>-48728</v>
      </c>
      <c r="BW417" s="79">
        <f t="shared" si="507"/>
        <v>0</v>
      </c>
      <c r="BX417" s="79">
        <f t="shared" si="508"/>
        <v>52783</v>
      </c>
      <c r="BY417" s="158" t="s">
        <v>341</v>
      </c>
      <c r="BZ417" s="79">
        <v>30000</v>
      </c>
      <c r="CD417" s="79">
        <v>-5783</v>
      </c>
      <c r="CH417" s="79">
        <v>-23763.9</v>
      </c>
      <c r="CJ417" s="79">
        <v>-23236.1</v>
      </c>
      <c r="CN417" s="79">
        <v>-1974.15</v>
      </c>
      <c r="CP417" s="79">
        <v>-9801.6</v>
      </c>
      <c r="CR417" s="79">
        <v>-1358.47</v>
      </c>
      <c r="CT417" s="79">
        <v>-4475.59</v>
      </c>
      <c r="CV417" s="79">
        <v>-2366.3000000000002</v>
      </c>
      <c r="CX417" s="79">
        <v>-5369.14</v>
      </c>
      <c r="CZ417" s="79">
        <v>-4643.46</v>
      </c>
      <c r="DB417" s="79">
        <f t="shared" si="509"/>
        <v>-5783</v>
      </c>
      <c r="DC417" s="79">
        <f t="shared" si="510"/>
        <v>-76988.710000000006</v>
      </c>
      <c r="DD417" s="79">
        <f t="shared" si="511"/>
        <v>0</v>
      </c>
      <c r="DE417" s="79">
        <f t="shared" si="512"/>
        <v>11.289999999993597</v>
      </c>
      <c r="DP417" s="131">
        <v>-11.29</v>
      </c>
      <c r="EJ417" s="79">
        <f t="shared" si="513"/>
        <v>-11.29</v>
      </c>
      <c r="EK417" s="79">
        <f t="shared" si="514"/>
        <v>0</v>
      </c>
      <c r="EL417" s="79">
        <f t="shared" si="515"/>
        <v>0</v>
      </c>
      <c r="EM417" s="79">
        <f t="shared" si="516"/>
        <v>-6.4019900491985027E-12</v>
      </c>
      <c r="FI417" s="66">
        <f t="shared" si="518"/>
        <v>0</v>
      </c>
      <c r="FJ417" s="66">
        <f t="shared" si="519"/>
        <v>0</v>
      </c>
      <c r="FK417" s="66">
        <f t="shared" si="520"/>
        <v>0</v>
      </c>
      <c r="FL417" s="173">
        <f t="shared" si="521"/>
        <v>-6.4019900491985027E-12</v>
      </c>
    </row>
    <row r="418" spans="1:168" hidden="1" outlineLevel="1" x14ac:dyDescent="0.2">
      <c r="A418" s="76" t="s">
        <v>25</v>
      </c>
      <c r="B418" s="77" t="s">
        <v>240</v>
      </c>
      <c r="C418" s="76" t="s">
        <v>103</v>
      </c>
      <c r="D418" s="76" t="s">
        <v>258</v>
      </c>
      <c r="E418" s="77" t="s">
        <v>228</v>
      </c>
      <c r="F418" s="77" t="s">
        <v>716</v>
      </c>
      <c r="G418" s="77" t="str">
        <f t="shared" si="499"/>
        <v>0</v>
      </c>
      <c r="H418" s="77" t="str">
        <f t="shared" si="500"/>
        <v>0</v>
      </c>
      <c r="I418" s="77" t="str">
        <f t="shared" si="501"/>
        <v>0</v>
      </c>
      <c r="J418" s="77" t="str">
        <f t="shared" si="502"/>
        <v>0</v>
      </c>
      <c r="K418" s="77" t="str">
        <f t="shared" si="503"/>
        <v>0000</v>
      </c>
      <c r="L418" s="77" t="str">
        <f>IFERROR(VLOOKUP(K418,Sheet2!$A$20:$B$23,2,FALSE),"X")</f>
        <v>X</v>
      </c>
      <c r="M418" s="77" t="str">
        <f t="shared" si="517"/>
        <v>14205972Turnaround Network</v>
      </c>
      <c r="N418" s="76" t="s">
        <v>315</v>
      </c>
      <c r="O418" s="76" t="s">
        <v>160</v>
      </c>
      <c r="P418" s="69" t="s">
        <v>168</v>
      </c>
      <c r="Q418" s="78">
        <v>43229</v>
      </c>
      <c r="R418" s="78">
        <v>43229</v>
      </c>
      <c r="AR418" s="79">
        <f t="shared" si="504"/>
        <v>0</v>
      </c>
      <c r="AS418" s="79">
        <f t="shared" si="505"/>
        <v>0</v>
      </c>
      <c r="AT418" s="79">
        <v>7854</v>
      </c>
      <c r="AV418" s="79"/>
      <c r="BV418" s="79">
        <f t="shared" si="506"/>
        <v>0</v>
      </c>
      <c r="BW418" s="79">
        <f t="shared" si="507"/>
        <v>0</v>
      </c>
      <c r="BX418" s="79">
        <f t="shared" si="508"/>
        <v>7854</v>
      </c>
      <c r="CJ418" s="79">
        <v>-7854</v>
      </c>
      <c r="DB418" s="79">
        <f t="shared" si="509"/>
        <v>0</v>
      </c>
      <c r="DC418" s="79">
        <f t="shared" si="510"/>
        <v>-7854</v>
      </c>
      <c r="DD418" s="79">
        <f t="shared" si="511"/>
        <v>0</v>
      </c>
      <c r="DE418" s="79">
        <f t="shared" si="512"/>
        <v>0</v>
      </c>
      <c r="DP418" s="131"/>
      <c r="EJ418" s="79">
        <f t="shared" si="513"/>
        <v>0</v>
      </c>
      <c r="EK418" s="79">
        <f t="shared" si="514"/>
        <v>0</v>
      </c>
      <c r="EL418" s="79">
        <f t="shared" si="515"/>
        <v>0</v>
      </c>
      <c r="EM418" s="79">
        <f t="shared" si="516"/>
        <v>0</v>
      </c>
      <c r="FI418" s="66">
        <f t="shared" si="518"/>
        <v>0</v>
      </c>
      <c r="FJ418" s="66">
        <f t="shared" si="519"/>
        <v>0</v>
      </c>
      <c r="FK418" s="66">
        <f t="shared" si="520"/>
        <v>0</v>
      </c>
      <c r="FL418" s="173">
        <f t="shared" si="521"/>
        <v>0</v>
      </c>
    </row>
    <row r="419" spans="1:168" hidden="1" outlineLevel="1" x14ac:dyDescent="0.2">
      <c r="A419" s="76" t="s">
        <v>25</v>
      </c>
      <c r="B419" s="77" t="s">
        <v>240</v>
      </c>
      <c r="C419" s="76" t="s">
        <v>103</v>
      </c>
      <c r="D419" s="76" t="s">
        <v>258</v>
      </c>
      <c r="E419" s="77" t="s">
        <v>228</v>
      </c>
      <c r="F419" s="77" t="s">
        <v>716</v>
      </c>
      <c r="G419" s="77" t="str">
        <f t="shared" si="499"/>
        <v>1</v>
      </c>
      <c r="H419" s="77" t="str">
        <f t="shared" si="500"/>
        <v>0</v>
      </c>
      <c r="I419" s="77" t="str">
        <f t="shared" si="501"/>
        <v>0</v>
      </c>
      <c r="J419" s="77" t="str">
        <f t="shared" si="502"/>
        <v>0</v>
      </c>
      <c r="K419" s="77" t="str">
        <f t="shared" si="503"/>
        <v>1000</v>
      </c>
      <c r="L419" s="77" t="str">
        <f>IFERROR(VLOOKUP(K419,Sheet2!$A$20:$B$23,2,FALSE),"X")</f>
        <v>01</v>
      </c>
      <c r="M419" s="77" t="str">
        <f t="shared" si="517"/>
        <v>14205972Turnaround Network</v>
      </c>
      <c r="N419" s="76" t="s">
        <v>161</v>
      </c>
      <c r="O419" s="76" t="s">
        <v>160</v>
      </c>
      <c r="P419" s="69" t="s">
        <v>168</v>
      </c>
      <c r="Q419" s="78">
        <v>43229</v>
      </c>
      <c r="R419" s="78">
        <v>43229</v>
      </c>
      <c r="S419" s="79">
        <v>101501</v>
      </c>
      <c r="AR419" s="79">
        <f t="shared" si="504"/>
        <v>0</v>
      </c>
      <c r="AS419" s="79">
        <f t="shared" si="505"/>
        <v>0</v>
      </c>
      <c r="AT419" s="79">
        <f t="shared" ref="AT419:AT424" si="522">S419+(AR419+AS419)</f>
        <v>101501</v>
      </c>
      <c r="AU419" s="79"/>
      <c r="AV419" s="79"/>
      <c r="BD419" s="79">
        <v>-14637</v>
      </c>
      <c r="BH419" s="79">
        <v>-16000</v>
      </c>
      <c r="BJ419" s="79">
        <v>-899</v>
      </c>
      <c r="BR419" s="79">
        <v>-295</v>
      </c>
      <c r="BT419" s="79">
        <v>-887</v>
      </c>
      <c r="BV419" s="79">
        <f t="shared" si="506"/>
        <v>-32718</v>
      </c>
      <c r="BW419" s="79">
        <f t="shared" si="507"/>
        <v>0</v>
      </c>
      <c r="BX419" s="79">
        <f t="shared" si="508"/>
        <v>68783</v>
      </c>
      <c r="BY419" s="158" t="s">
        <v>341</v>
      </c>
      <c r="BZ419" s="79">
        <v>30000</v>
      </c>
      <c r="CH419" s="79">
        <v>-2392.62</v>
      </c>
      <c r="CJ419" s="79">
        <v>-46183.5</v>
      </c>
      <c r="CN419" s="79">
        <v>-573.88</v>
      </c>
      <c r="CP419" s="79">
        <v>-8990.4599999999991</v>
      </c>
      <c r="CR419" s="79">
        <v>-531.04999999999995</v>
      </c>
      <c r="DB419" s="79">
        <f t="shared" si="509"/>
        <v>0</v>
      </c>
      <c r="DC419" s="79">
        <f t="shared" si="510"/>
        <v>-58671.51</v>
      </c>
      <c r="DD419" s="79">
        <f t="shared" si="511"/>
        <v>0</v>
      </c>
      <c r="DE419" s="79">
        <f t="shared" si="512"/>
        <v>40111.49</v>
      </c>
      <c r="DK419" s="79">
        <v>-10111.49</v>
      </c>
      <c r="DM419" s="79">
        <v>-9793.1200000000008</v>
      </c>
      <c r="DP419" s="131">
        <v>-9793.1200000000008</v>
      </c>
      <c r="EJ419" s="79">
        <f t="shared" si="513"/>
        <v>-9793.1200000000008</v>
      </c>
      <c r="EK419" s="79">
        <f t="shared" si="514"/>
        <v>-19904.61</v>
      </c>
      <c r="EL419" s="79">
        <f t="shared" si="515"/>
        <v>0</v>
      </c>
      <c r="EM419" s="79">
        <f t="shared" si="516"/>
        <v>10413.759999999995</v>
      </c>
      <c r="FI419" s="66">
        <f t="shared" si="518"/>
        <v>0</v>
      </c>
      <c r="FJ419" s="66">
        <f t="shared" si="519"/>
        <v>0</v>
      </c>
      <c r="FK419" s="66">
        <f t="shared" si="520"/>
        <v>0</v>
      </c>
      <c r="FL419" s="173">
        <f t="shared" si="521"/>
        <v>10413.759999999995</v>
      </c>
    </row>
    <row r="420" spans="1:168" hidden="1" outlineLevel="1" x14ac:dyDescent="0.2">
      <c r="A420" s="76" t="s">
        <v>25</v>
      </c>
      <c r="B420" s="77" t="s">
        <v>498</v>
      </c>
      <c r="C420" s="76" t="s">
        <v>103</v>
      </c>
      <c r="D420" s="76" t="s">
        <v>499</v>
      </c>
      <c r="E420" s="77" t="s">
        <v>228</v>
      </c>
      <c r="F420" s="77" t="s">
        <v>716</v>
      </c>
      <c r="G420" s="77" t="str">
        <f t="shared" si="499"/>
        <v>0</v>
      </c>
      <c r="H420" s="77" t="str">
        <f t="shared" si="500"/>
        <v>0</v>
      </c>
      <c r="I420" s="77" t="str">
        <f t="shared" si="501"/>
        <v>0</v>
      </c>
      <c r="J420" s="77" t="str">
        <f t="shared" si="502"/>
        <v>0</v>
      </c>
      <c r="K420" s="77" t="str">
        <f t="shared" si="503"/>
        <v>0000</v>
      </c>
      <c r="L420" s="77" t="str">
        <f>IFERROR(VLOOKUP(K420,Sheet2!$A$20:$B$23,2,FALSE),"X")</f>
        <v>X</v>
      </c>
      <c r="M420" s="77" t="str">
        <f t="shared" si="517"/>
        <v>14206090Turnaround Network</v>
      </c>
      <c r="O420" s="76" t="s">
        <v>160</v>
      </c>
      <c r="P420" s="69" t="s">
        <v>168</v>
      </c>
      <c r="Q420" s="78">
        <v>43168</v>
      </c>
      <c r="R420" s="78">
        <v>43168</v>
      </c>
      <c r="AR420" s="79">
        <f t="shared" si="504"/>
        <v>0</v>
      </c>
      <c r="AS420" s="79">
        <f t="shared" si="505"/>
        <v>0</v>
      </c>
      <c r="AT420" s="79">
        <f t="shared" si="522"/>
        <v>0</v>
      </c>
      <c r="AV420" s="79"/>
      <c r="BV420" s="79">
        <f t="shared" si="506"/>
        <v>0</v>
      </c>
      <c r="BW420" s="79">
        <f t="shared" si="507"/>
        <v>0</v>
      </c>
      <c r="BX420" s="79">
        <f t="shared" si="508"/>
        <v>0</v>
      </c>
      <c r="BY420" s="158" t="s">
        <v>341</v>
      </c>
      <c r="CA420" s="79">
        <v>30000</v>
      </c>
      <c r="DB420" s="79">
        <f t="shared" si="509"/>
        <v>0</v>
      </c>
      <c r="DC420" s="79">
        <f t="shared" si="510"/>
        <v>0</v>
      </c>
      <c r="DD420" s="79">
        <f t="shared" si="511"/>
        <v>0</v>
      </c>
      <c r="DE420" s="79">
        <f t="shared" si="512"/>
        <v>30000</v>
      </c>
      <c r="DP420" s="131"/>
      <c r="EJ420" s="79">
        <f t="shared" si="513"/>
        <v>0</v>
      </c>
      <c r="EK420" s="79">
        <f t="shared" si="514"/>
        <v>0</v>
      </c>
      <c r="EL420" s="79">
        <f t="shared" si="515"/>
        <v>0</v>
      </c>
      <c r="EM420" s="79">
        <f t="shared" si="516"/>
        <v>30000</v>
      </c>
      <c r="FC420" s="66">
        <v>-30000</v>
      </c>
      <c r="FI420" s="66">
        <f t="shared" si="518"/>
        <v>0</v>
      </c>
      <c r="FJ420" s="66">
        <f t="shared" si="519"/>
        <v>0</v>
      </c>
      <c r="FK420" s="66">
        <f t="shared" si="520"/>
        <v>-30000</v>
      </c>
      <c r="FL420" s="173">
        <f t="shared" si="521"/>
        <v>0</v>
      </c>
    </row>
    <row r="421" spans="1:168" hidden="1" outlineLevel="1" x14ac:dyDescent="0.2">
      <c r="A421" s="76" t="s">
        <v>25</v>
      </c>
      <c r="B421" s="77" t="s">
        <v>317</v>
      </c>
      <c r="C421" s="76" t="s">
        <v>103</v>
      </c>
      <c r="D421" s="76" t="s">
        <v>287</v>
      </c>
      <c r="E421" s="77" t="s">
        <v>228</v>
      </c>
      <c r="F421" s="77" t="s">
        <v>716</v>
      </c>
      <c r="G421" s="77" t="str">
        <f t="shared" si="499"/>
        <v>1</v>
      </c>
      <c r="H421" s="77" t="str">
        <f t="shared" si="500"/>
        <v>0</v>
      </c>
      <c r="I421" s="77" t="str">
        <f t="shared" si="501"/>
        <v>0</v>
      </c>
      <c r="J421" s="77" t="str">
        <f t="shared" si="502"/>
        <v>0</v>
      </c>
      <c r="K421" s="77" t="str">
        <f t="shared" si="503"/>
        <v>1000</v>
      </c>
      <c r="L421" s="77" t="str">
        <f>IFERROR(VLOOKUP(K421,Sheet2!$A$20:$B$23,2,FALSE),"X")</f>
        <v>01</v>
      </c>
      <c r="M421" s="77" t="str">
        <f t="shared" si="517"/>
        <v>14208834Turnaround Network</v>
      </c>
      <c r="N421" s="76" t="s">
        <v>161</v>
      </c>
      <c r="O421" s="76" t="s">
        <v>160</v>
      </c>
      <c r="P421" s="69" t="s">
        <v>168</v>
      </c>
      <c r="Q421" s="78"/>
      <c r="R421" s="78"/>
      <c r="S421" s="79">
        <v>51810</v>
      </c>
      <c r="AR421" s="79">
        <f t="shared" si="504"/>
        <v>0</v>
      </c>
      <c r="AS421" s="79">
        <f t="shared" si="505"/>
        <v>0</v>
      </c>
      <c r="AT421" s="79">
        <f t="shared" si="522"/>
        <v>51810</v>
      </c>
      <c r="AU421" s="79"/>
      <c r="AV421" s="79"/>
      <c r="BD421" s="79">
        <v>-23108</v>
      </c>
      <c r="BF421" s="79">
        <v>-4974</v>
      </c>
      <c r="BH421" s="79">
        <v>-2135</v>
      </c>
      <c r="BJ421" s="79">
        <v>-2904</v>
      </c>
      <c r="BL421" s="79">
        <v>-10465</v>
      </c>
      <c r="BN421" s="79">
        <v>-3680</v>
      </c>
      <c r="BP421" s="79">
        <v>-1208</v>
      </c>
      <c r="BR421" s="79">
        <v>-2096</v>
      </c>
      <c r="BV421" s="79">
        <f t="shared" si="506"/>
        <v>-50570</v>
      </c>
      <c r="BW421" s="79">
        <f t="shared" si="507"/>
        <v>0</v>
      </c>
      <c r="BX421" s="79">
        <f t="shared" si="508"/>
        <v>1240</v>
      </c>
      <c r="BY421" s="158" t="s">
        <v>341</v>
      </c>
      <c r="BZ421" s="79">
        <v>75000</v>
      </c>
      <c r="CG421" s="97">
        <v>-1240</v>
      </c>
      <c r="CN421" s="79">
        <v>-5331.7</v>
      </c>
      <c r="CP421" s="79">
        <v>-27876.29</v>
      </c>
      <c r="CR421" s="79">
        <v>-2938.27</v>
      </c>
      <c r="CT421" s="79">
        <v>-14368.93</v>
      </c>
      <c r="CV421" s="79">
        <v>-9242.48</v>
      </c>
      <c r="CX421" s="79">
        <v>-2503.71</v>
      </c>
      <c r="CZ421" s="79">
        <v>-2955.21</v>
      </c>
      <c r="DB421" s="79">
        <f t="shared" si="509"/>
        <v>0</v>
      </c>
      <c r="DC421" s="79">
        <f t="shared" si="510"/>
        <v>-66456.59</v>
      </c>
      <c r="DD421" s="79">
        <f t="shared" si="511"/>
        <v>0</v>
      </c>
      <c r="DE421" s="79">
        <f t="shared" si="512"/>
        <v>9783.4100000000035</v>
      </c>
      <c r="DG421" s="79">
        <v>31491</v>
      </c>
      <c r="DK421" s="79">
        <v>-2981.48</v>
      </c>
      <c r="DP421" s="131">
        <v>-5929.66</v>
      </c>
      <c r="DU421" s="79">
        <f>-(872.27+9526.96)</f>
        <v>-10399.23</v>
      </c>
      <c r="EE421" s="79">
        <v>-590.46</v>
      </c>
      <c r="EJ421" s="79">
        <f t="shared" si="513"/>
        <v>-5929.66</v>
      </c>
      <c r="EK421" s="79">
        <f t="shared" si="514"/>
        <v>-13971.169999999998</v>
      </c>
      <c r="EL421" s="79">
        <f t="shared" si="515"/>
        <v>0</v>
      </c>
      <c r="EM421" s="79">
        <f t="shared" si="516"/>
        <v>21373.580000000005</v>
      </c>
      <c r="EY421" s="144">
        <v>-1489</v>
      </c>
      <c r="FE421" s="300">
        <v>-18393.580000000002</v>
      </c>
      <c r="FI421" s="66">
        <f t="shared" si="518"/>
        <v>0</v>
      </c>
      <c r="FJ421" s="66">
        <f t="shared" si="519"/>
        <v>0</v>
      </c>
      <c r="FK421" s="66">
        <f t="shared" si="520"/>
        <v>-19882.580000000002</v>
      </c>
      <c r="FL421" s="173">
        <f t="shared" si="521"/>
        <v>1491.0000000000036</v>
      </c>
    </row>
    <row r="422" spans="1:168" hidden="1" outlineLevel="1" x14ac:dyDescent="0.2">
      <c r="A422" s="76" t="s">
        <v>25</v>
      </c>
      <c r="B422" s="77" t="s">
        <v>241</v>
      </c>
      <c r="C422" s="76" t="s">
        <v>103</v>
      </c>
      <c r="D422" s="76" t="s">
        <v>259</v>
      </c>
      <c r="E422" s="77" t="s">
        <v>228</v>
      </c>
      <c r="F422" s="77" t="s">
        <v>716</v>
      </c>
      <c r="G422" s="77" t="str">
        <f t="shared" si="499"/>
        <v>1</v>
      </c>
      <c r="H422" s="77" t="str">
        <f t="shared" si="500"/>
        <v>0</v>
      </c>
      <c r="I422" s="77" t="str">
        <f t="shared" si="501"/>
        <v>0</v>
      </c>
      <c r="J422" s="77" t="str">
        <f t="shared" si="502"/>
        <v>0</v>
      </c>
      <c r="K422" s="77" t="str">
        <f t="shared" si="503"/>
        <v>1000</v>
      </c>
      <c r="L422" s="77" t="str">
        <f>IFERROR(VLOOKUP(K422,Sheet2!$A$20:$B$23,2,FALSE),"X")</f>
        <v>01</v>
      </c>
      <c r="M422" s="77" t="str">
        <f t="shared" si="517"/>
        <v>14209154Turnaround Network</v>
      </c>
      <c r="N422" s="76" t="s">
        <v>161</v>
      </c>
      <c r="O422" s="76" t="s">
        <v>160</v>
      </c>
      <c r="P422" s="69" t="s">
        <v>168</v>
      </c>
      <c r="Q422" s="78">
        <v>43229</v>
      </c>
      <c r="R422" s="78">
        <v>43229</v>
      </c>
      <c r="S422" s="79">
        <v>52810</v>
      </c>
      <c r="AR422" s="79">
        <f t="shared" si="504"/>
        <v>0</v>
      </c>
      <c r="AS422" s="79">
        <f t="shared" si="505"/>
        <v>0</v>
      </c>
      <c r="AT422" s="79">
        <f t="shared" si="522"/>
        <v>52810</v>
      </c>
      <c r="AU422" s="79"/>
      <c r="AV422" s="79"/>
      <c r="BD422" s="79">
        <v>-11155</v>
      </c>
      <c r="BF422" s="79">
        <v>-1011</v>
      </c>
      <c r="BH422" s="79">
        <v>-2221</v>
      </c>
      <c r="BJ422" s="79">
        <v>-146</v>
      </c>
      <c r="BN422" s="79">
        <v>-231</v>
      </c>
      <c r="BP422" s="79">
        <v>-524</v>
      </c>
      <c r="BR422" s="79">
        <v>-3913</v>
      </c>
      <c r="BV422" s="79">
        <f t="shared" si="506"/>
        <v>-19201</v>
      </c>
      <c r="BW422" s="79">
        <f t="shared" si="507"/>
        <v>0</v>
      </c>
      <c r="BX422" s="79">
        <f t="shared" si="508"/>
        <v>33609</v>
      </c>
      <c r="BY422" s="79"/>
      <c r="CD422" s="79">
        <v>-5170</v>
      </c>
      <c r="CG422" s="97">
        <v>-15976</v>
      </c>
      <c r="CH422" s="79">
        <v>-12463</v>
      </c>
      <c r="DB422" s="79">
        <f t="shared" si="509"/>
        <v>-5170</v>
      </c>
      <c r="DC422" s="79">
        <f t="shared" si="510"/>
        <v>-28439</v>
      </c>
      <c r="DD422" s="79">
        <f t="shared" si="511"/>
        <v>0</v>
      </c>
      <c r="DE422" s="79">
        <f t="shared" si="512"/>
        <v>0</v>
      </c>
      <c r="DF422" s="79"/>
      <c r="DP422" s="131"/>
      <c r="EJ422" s="79">
        <f t="shared" si="513"/>
        <v>0</v>
      </c>
      <c r="EK422" s="79">
        <f t="shared" si="514"/>
        <v>0</v>
      </c>
      <c r="EL422" s="79">
        <f t="shared" si="515"/>
        <v>0</v>
      </c>
      <c r="EM422" s="79">
        <f t="shared" si="516"/>
        <v>0</v>
      </c>
      <c r="FI422" s="66">
        <f t="shared" si="518"/>
        <v>0</v>
      </c>
      <c r="FJ422" s="66">
        <f t="shared" si="519"/>
        <v>0</v>
      </c>
      <c r="FK422" s="66">
        <f t="shared" si="520"/>
        <v>0</v>
      </c>
      <c r="FL422" s="173">
        <f t="shared" si="521"/>
        <v>0</v>
      </c>
    </row>
    <row r="423" spans="1:168" hidden="1" outlineLevel="1" x14ac:dyDescent="0.2">
      <c r="A423" s="76" t="s">
        <v>25</v>
      </c>
      <c r="B423" s="77" t="s">
        <v>34</v>
      </c>
      <c r="C423" s="76" t="s">
        <v>103</v>
      </c>
      <c r="D423" s="76" t="s">
        <v>111</v>
      </c>
      <c r="E423" s="77" t="s">
        <v>228</v>
      </c>
      <c r="F423" s="77" t="s">
        <v>716</v>
      </c>
      <c r="G423" s="77" t="str">
        <f t="shared" si="499"/>
        <v>1</v>
      </c>
      <c r="H423" s="77" t="str">
        <f t="shared" si="500"/>
        <v>0</v>
      </c>
      <c r="I423" s="77" t="str">
        <f t="shared" si="501"/>
        <v>0</v>
      </c>
      <c r="J423" s="77" t="str">
        <f t="shared" si="502"/>
        <v>0</v>
      </c>
      <c r="K423" s="77" t="str">
        <f t="shared" si="503"/>
        <v>1000</v>
      </c>
      <c r="L423" s="77" t="str">
        <f>IFERROR(VLOOKUP(K423,Sheet2!$A$20:$B$23,2,FALSE),"X")</f>
        <v>01</v>
      </c>
      <c r="M423" s="77" t="str">
        <f t="shared" si="517"/>
        <v>1420N/ATurnaround Network</v>
      </c>
      <c r="N423" s="76" t="s">
        <v>161</v>
      </c>
      <c r="O423" s="76" t="s">
        <v>160</v>
      </c>
      <c r="P423" s="69" t="s">
        <v>168</v>
      </c>
      <c r="Q423" s="78">
        <v>43229</v>
      </c>
      <c r="R423" s="78">
        <v>43229</v>
      </c>
      <c r="S423" s="79">
        <v>50438</v>
      </c>
      <c r="AR423" s="79">
        <f t="shared" si="504"/>
        <v>0</v>
      </c>
      <c r="AS423" s="79">
        <f t="shared" si="505"/>
        <v>0</v>
      </c>
      <c r="AT423" s="79">
        <f t="shared" si="522"/>
        <v>50438</v>
      </c>
      <c r="AU423" s="79"/>
      <c r="AV423" s="79"/>
      <c r="BD423" s="79">
        <v>-39630</v>
      </c>
      <c r="BF423" s="79">
        <v>-1098</v>
      </c>
      <c r="BH423" s="79">
        <v>-811</v>
      </c>
      <c r="BJ423" s="79">
        <v>-1080</v>
      </c>
      <c r="BL423" s="79">
        <v>-1295</v>
      </c>
      <c r="BN423" s="79">
        <v>-789</v>
      </c>
      <c r="BT423" s="79">
        <v>-5735</v>
      </c>
      <c r="BV423" s="79">
        <f t="shared" si="506"/>
        <v>-50438</v>
      </c>
      <c r="BW423" s="79">
        <f t="shared" si="507"/>
        <v>0</v>
      </c>
      <c r="BX423" s="79">
        <f t="shared" si="508"/>
        <v>0</v>
      </c>
      <c r="BY423" s="158" t="s">
        <v>341</v>
      </c>
      <c r="BZ423" s="79">
        <v>70000</v>
      </c>
      <c r="DB423" s="79">
        <f t="shared" si="509"/>
        <v>0</v>
      </c>
      <c r="DC423" s="79">
        <f t="shared" si="510"/>
        <v>0</v>
      </c>
      <c r="DD423" s="79">
        <f t="shared" si="511"/>
        <v>0</v>
      </c>
      <c r="DE423" s="79">
        <f t="shared" si="512"/>
        <v>70000</v>
      </c>
      <c r="DG423" s="79">
        <v>73479</v>
      </c>
      <c r="DP423" s="131"/>
      <c r="DR423" s="79">
        <v>-48178.48</v>
      </c>
      <c r="EF423" s="79">
        <v>48178.48</v>
      </c>
      <c r="EG423" s="131">
        <f>-EF423</f>
        <v>-48178.48</v>
      </c>
      <c r="EJ423" s="79">
        <f t="shared" si="513"/>
        <v>-48178.48</v>
      </c>
      <c r="EK423" s="79">
        <f t="shared" si="514"/>
        <v>0</v>
      </c>
      <c r="EL423" s="79">
        <f t="shared" si="515"/>
        <v>0</v>
      </c>
      <c r="EM423" s="79">
        <f t="shared" si="516"/>
        <v>95300.51999999999</v>
      </c>
      <c r="EX423" s="144">
        <v>-29613.79</v>
      </c>
      <c r="EY423" s="144">
        <v>-4513.18</v>
      </c>
      <c r="FD423" s="66">
        <v>-6833.5</v>
      </c>
      <c r="FE423" s="312">
        <v>-4046.88</v>
      </c>
      <c r="FI423" s="66">
        <f t="shared" si="518"/>
        <v>0</v>
      </c>
      <c r="FJ423" s="66">
        <f t="shared" si="519"/>
        <v>0</v>
      </c>
      <c r="FK423" s="66">
        <f t="shared" si="520"/>
        <v>-45007.35</v>
      </c>
      <c r="FL423" s="173">
        <f t="shared" si="521"/>
        <v>50293.169999999991</v>
      </c>
    </row>
    <row r="424" spans="1:168" hidden="1" outlineLevel="1" x14ac:dyDescent="0.2">
      <c r="A424" s="76" t="s">
        <v>222</v>
      </c>
      <c r="B424" s="76" t="s">
        <v>442</v>
      </c>
      <c r="C424" s="76" t="s">
        <v>223</v>
      </c>
      <c r="D424" s="76" t="s">
        <v>501</v>
      </c>
      <c r="E424" s="77" t="s">
        <v>228</v>
      </c>
      <c r="F424" s="77" t="s">
        <v>716</v>
      </c>
      <c r="G424" s="77" t="str">
        <f t="shared" si="499"/>
        <v>0</v>
      </c>
      <c r="H424" s="77" t="str">
        <f t="shared" si="500"/>
        <v>1</v>
      </c>
      <c r="I424" s="77" t="str">
        <f t="shared" si="501"/>
        <v>0</v>
      </c>
      <c r="J424" s="77" t="str">
        <f t="shared" si="502"/>
        <v>0</v>
      </c>
      <c r="K424" s="77" t="str">
        <f t="shared" si="503"/>
        <v>0100</v>
      </c>
      <c r="L424" s="77" t="str">
        <f>IFERROR(VLOOKUP(K424,Sheet2!$A$20:$B$23,2,FALSE),"X")</f>
        <v>02</v>
      </c>
      <c r="M424" s="77" t="str">
        <f t="shared" si="517"/>
        <v>15600510Turnaround Network</v>
      </c>
      <c r="O424" s="76" t="s">
        <v>160</v>
      </c>
      <c r="P424" s="69" t="s">
        <v>168</v>
      </c>
      <c r="Q424" s="78"/>
      <c r="R424" s="78"/>
      <c r="AR424" s="79">
        <f t="shared" si="504"/>
        <v>0</v>
      </c>
      <c r="AS424" s="79">
        <f t="shared" si="505"/>
        <v>0</v>
      </c>
      <c r="AT424" s="79">
        <f t="shared" si="522"/>
        <v>0</v>
      </c>
      <c r="AU424" s="158" t="s">
        <v>336</v>
      </c>
      <c r="AV424" s="79"/>
      <c r="AW424" s="79">
        <v>30000</v>
      </c>
      <c r="BV424" s="79">
        <f t="shared" si="506"/>
        <v>0</v>
      </c>
      <c r="BW424" s="79">
        <f t="shared" si="507"/>
        <v>0</v>
      </c>
      <c r="BX424" s="79">
        <f t="shared" si="508"/>
        <v>30000</v>
      </c>
      <c r="BY424" s="79"/>
      <c r="CD424" s="79">
        <v>-5789.06</v>
      </c>
      <c r="CG424" s="79">
        <v>-4617.3999999999996</v>
      </c>
      <c r="CH424" s="79">
        <v>-2800</v>
      </c>
      <c r="CN424" s="79">
        <v>-8812.8900000000012</v>
      </c>
      <c r="CV424" s="79">
        <v>-1799.12</v>
      </c>
      <c r="CX424" s="79">
        <v>-5271.92</v>
      </c>
      <c r="DB424" s="79">
        <f t="shared" si="509"/>
        <v>-5789.06</v>
      </c>
      <c r="DC424" s="79">
        <f t="shared" si="510"/>
        <v>-23301.33</v>
      </c>
      <c r="DD424" s="79">
        <f t="shared" si="511"/>
        <v>0</v>
      </c>
      <c r="DE424" s="79">
        <f t="shared" si="512"/>
        <v>909.60999999999694</v>
      </c>
      <c r="DF424" s="79"/>
      <c r="DG424" s="42">
        <v>105459.25140000001</v>
      </c>
      <c r="DK424" s="79">
        <v>-2285.5300000000002</v>
      </c>
      <c r="DP424" s="131"/>
      <c r="DU424" s="79">
        <f>-(767.06+898.02+11754.28)</f>
        <v>-13419.36</v>
      </c>
      <c r="DW424" s="79">
        <v>-3253.37</v>
      </c>
      <c r="EA424" s="79">
        <v>-7028.94</v>
      </c>
      <c r="EJ424" s="79">
        <f t="shared" si="513"/>
        <v>0</v>
      </c>
      <c r="EK424" s="79">
        <f t="shared" si="514"/>
        <v>-25987.200000000001</v>
      </c>
      <c r="EL424" s="79">
        <f t="shared" si="515"/>
        <v>0</v>
      </c>
      <c r="EM424" s="79">
        <f t="shared" si="516"/>
        <v>80381.661400000012</v>
      </c>
      <c r="EO424" s="79">
        <v>36036</v>
      </c>
      <c r="ES424" s="66">
        <v>-18782.330000000002</v>
      </c>
      <c r="FI424" s="66">
        <f t="shared" si="518"/>
        <v>0</v>
      </c>
      <c r="FJ424" s="66">
        <f t="shared" si="519"/>
        <v>0</v>
      </c>
      <c r="FK424" s="66">
        <f t="shared" si="520"/>
        <v>-18782.330000000002</v>
      </c>
      <c r="FL424" s="173">
        <f t="shared" si="521"/>
        <v>97635.33140000001</v>
      </c>
    </row>
    <row r="425" spans="1:168" hidden="1" outlineLevel="1" x14ac:dyDescent="0.2">
      <c r="A425" s="76" t="s">
        <v>222</v>
      </c>
      <c r="B425" s="77" t="s">
        <v>242</v>
      </c>
      <c r="C425" s="76" t="s">
        <v>223</v>
      </c>
      <c r="D425" s="76" t="s">
        <v>307</v>
      </c>
      <c r="E425" s="77" t="s">
        <v>228</v>
      </c>
      <c r="F425" s="77" t="s">
        <v>716</v>
      </c>
      <c r="G425" s="77" t="str">
        <f t="shared" si="499"/>
        <v>0</v>
      </c>
      <c r="H425" s="77" t="str">
        <f t="shared" si="500"/>
        <v>0</v>
      </c>
      <c r="I425" s="77" t="str">
        <f t="shared" si="501"/>
        <v>0</v>
      </c>
      <c r="J425" s="77" t="str">
        <f t="shared" si="502"/>
        <v>0</v>
      </c>
      <c r="K425" s="77" t="str">
        <f t="shared" si="503"/>
        <v>0000</v>
      </c>
      <c r="L425" s="77" t="str">
        <f>IFERROR(VLOOKUP(K425,Sheet2!$A$20:$B$23,2,FALSE),"X")</f>
        <v>X</v>
      </c>
      <c r="M425" s="77" t="str">
        <f t="shared" si="517"/>
        <v>15605170Turnaround Network</v>
      </c>
      <c r="N425" s="76" t="s">
        <v>315</v>
      </c>
      <c r="O425" s="76" t="s">
        <v>160</v>
      </c>
      <c r="P425" s="69" t="s">
        <v>168</v>
      </c>
      <c r="Q425" s="78"/>
      <c r="R425" s="78"/>
      <c r="AR425" s="79">
        <f t="shared" si="504"/>
        <v>0</v>
      </c>
      <c r="AS425" s="79">
        <f t="shared" si="505"/>
        <v>0</v>
      </c>
      <c r="AT425" s="79">
        <v>7943</v>
      </c>
      <c r="AV425" s="79"/>
      <c r="BV425" s="79">
        <f t="shared" si="506"/>
        <v>0</v>
      </c>
      <c r="BW425" s="79">
        <f t="shared" si="507"/>
        <v>0</v>
      </c>
      <c r="BX425" s="79">
        <f t="shared" si="508"/>
        <v>7943</v>
      </c>
      <c r="CN425" s="79">
        <v>-1017.7</v>
      </c>
      <c r="CP425" s="79">
        <v>-729.96</v>
      </c>
      <c r="CR425" s="79">
        <v>-1128.75</v>
      </c>
      <c r="CT425" s="79">
        <v>-1414.21</v>
      </c>
      <c r="CV425" s="79">
        <v>-1834.14</v>
      </c>
      <c r="CX425" s="79">
        <v>-220</v>
      </c>
      <c r="DB425" s="79">
        <f t="shared" si="509"/>
        <v>0</v>
      </c>
      <c r="DC425" s="79">
        <f t="shared" si="510"/>
        <v>-6344.76</v>
      </c>
      <c r="DD425" s="79">
        <f t="shared" si="511"/>
        <v>0</v>
      </c>
      <c r="DE425" s="79">
        <f t="shared" si="512"/>
        <v>1598.2399999999998</v>
      </c>
      <c r="DP425" s="131"/>
      <c r="EJ425" s="79">
        <f t="shared" si="513"/>
        <v>0</v>
      </c>
      <c r="EK425" s="79">
        <f t="shared" si="514"/>
        <v>0</v>
      </c>
      <c r="EL425" s="79">
        <f t="shared" si="515"/>
        <v>0</v>
      </c>
      <c r="EM425" s="79">
        <f t="shared" si="516"/>
        <v>1598.2399999999998</v>
      </c>
      <c r="ES425" s="66">
        <v>-1598.24</v>
      </c>
      <c r="FI425" s="66">
        <f t="shared" si="518"/>
        <v>0</v>
      </c>
      <c r="FJ425" s="66">
        <f t="shared" si="519"/>
        <v>0</v>
      </c>
      <c r="FK425" s="66">
        <f t="shared" si="520"/>
        <v>-1598.24</v>
      </c>
      <c r="FL425" s="173">
        <f t="shared" si="521"/>
        <v>0</v>
      </c>
    </row>
    <row r="426" spans="1:168" hidden="1" outlineLevel="1" x14ac:dyDescent="0.2">
      <c r="A426" s="76" t="s">
        <v>222</v>
      </c>
      <c r="B426" s="77" t="s">
        <v>242</v>
      </c>
      <c r="C426" s="76" t="s">
        <v>223</v>
      </c>
      <c r="D426" s="76" t="s">
        <v>260</v>
      </c>
      <c r="E426" s="77" t="s">
        <v>228</v>
      </c>
      <c r="F426" s="77" t="s">
        <v>716</v>
      </c>
      <c r="G426" s="77" t="str">
        <f t="shared" si="499"/>
        <v>1</v>
      </c>
      <c r="H426" s="77" t="str">
        <f t="shared" si="500"/>
        <v>1</v>
      </c>
      <c r="I426" s="77" t="str">
        <f t="shared" si="501"/>
        <v>0</v>
      </c>
      <c r="J426" s="77" t="str">
        <f t="shared" si="502"/>
        <v>0</v>
      </c>
      <c r="K426" s="77" t="str">
        <f t="shared" si="503"/>
        <v>1100</v>
      </c>
      <c r="L426" s="77" t="str">
        <f>IFERROR(VLOOKUP(K426,Sheet2!$A$20:$B$23,2,FALSE),"X")</f>
        <v>X</v>
      </c>
      <c r="M426" s="77" t="str">
        <f t="shared" si="517"/>
        <v>15605170Turnaround Network</v>
      </c>
      <c r="N426" s="76" t="s">
        <v>161</v>
      </c>
      <c r="O426" s="76" t="s">
        <v>160</v>
      </c>
      <c r="P426" s="69" t="s">
        <v>168</v>
      </c>
      <c r="Q426" s="78"/>
      <c r="R426" s="78"/>
      <c r="S426" s="79">
        <v>100260</v>
      </c>
      <c r="AR426" s="79">
        <f t="shared" si="504"/>
        <v>0</v>
      </c>
      <c r="AS426" s="79">
        <f t="shared" si="505"/>
        <v>0</v>
      </c>
      <c r="AT426" s="79">
        <f>S426+(AR426+AS426)</f>
        <v>100260</v>
      </c>
      <c r="AU426" s="158" t="s">
        <v>336</v>
      </c>
      <c r="AV426" s="79"/>
      <c r="AW426" s="79">
        <v>29924</v>
      </c>
      <c r="BF426" s="79">
        <v>-54417</v>
      </c>
      <c r="BH426" s="79">
        <v>-2375</v>
      </c>
      <c r="BJ426" s="79">
        <v>-2815</v>
      </c>
      <c r="BL426" s="79">
        <v>-231</v>
      </c>
      <c r="BN426" s="79">
        <v>-6385</v>
      </c>
      <c r="BP426" s="79">
        <v>-2064</v>
      </c>
      <c r="BR426" s="79">
        <v>-2838</v>
      </c>
      <c r="BV426" s="79">
        <f t="shared" si="506"/>
        <v>-71125</v>
      </c>
      <c r="BW426" s="79">
        <f t="shared" si="507"/>
        <v>0</v>
      </c>
      <c r="BX426" s="79">
        <f t="shared" si="508"/>
        <v>59059</v>
      </c>
      <c r="BY426" s="79"/>
      <c r="CG426" s="79">
        <v>-3635.09</v>
      </c>
      <c r="CH426" s="79">
        <v>-5900.04</v>
      </c>
      <c r="CN426" s="79">
        <v>-14194.13</v>
      </c>
      <c r="DB426" s="79">
        <f t="shared" si="509"/>
        <v>0</v>
      </c>
      <c r="DC426" s="79">
        <f t="shared" si="510"/>
        <v>-23729.260000000002</v>
      </c>
      <c r="DD426" s="79">
        <f t="shared" si="511"/>
        <v>0</v>
      </c>
      <c r="DE426" s="79">
        <f t="shared" si="512"/>
        <v>35329.74</v>
      </c>
      <c r="DF426" s="79"/>
      <c r="DP426" s="131"/>
      <c r="DU426" s="79">
        <v>-406</v>
      </c>
      <c r="EA426" s="79">
        <v>-2916</v>
      </c>
      <c r="EJ426" s="79">
        <f t="shared" si="513"/>
        <v>0</v>
      </c>
      <c r="EK426" s="79">
        <f t="shared" si="514"/>
        <v>-3322</v>
      </c>
      <c r="EL426" s="79">
        <f t="shared" si="515"/>
        <v>0</v>
      </c>
      <c r="EM426" s="79">
        <f t="shared" si="516"/>
        <v>32007.739999999998</v>
      </c>
      <c r="ES426" s="66">
        <v>-14643.41</v>
      </c>
      <c r="FI426" s="66">
        <f t="shared" si="518"/>
        <v>0</v>
      </c>
      <c r="FJ426" s="66">
        <f t="shared" si="519"/>
        <v>0</v>
      </c>
      <c r="FK426" s="66">
        <f t="shared" si="520"/>
        <v>-14643.41</v>
      </c>
      <c r="FL426" s="173">
        <f t="shared" si="521"/>
        <v>17364.329999999998</v>
      </c>
    </row>
    <row r="427" spans="1:168" hidden="1" outlineLevel="1" x14ac:dyDescent="0.2">
      <c r="A427" s="76" t="s">
        <v>222</v>
      </c>
      <c r="B427" s="76" t="s">
        <v>443</v>
      </c>
      <c r="C427" s="76" t="s">
        <v>223</v>
      </c>
      <c r="D427" s="76" t="s">
        <v>502</v>
      </c>
      <c r="E427" s="77" t="s">
        <v>228</v>
      </c>
      <c r="F427" s="77" t="s">
        <v>716</v>
      </c>
      <c r="G427" s="77" t="str">
        <f t="shared" si="499"/>
        <v>0</v>
      </c>
      <c r="H427" s="77" t="str">
        <f t="shared" si="500"/>
        <v>1</v>
      </c>
      <c r="I427" s="77" t="str">
        <f t="shared" si="501"/>
        <v>0</v>
      </c>
      <c r="J427" s="77" t="str">
        <f t="shared" si="502"/>
        <v>0</v>
      </c>
      <c r="K427" s="77" t="str">
        <f t="shared" si="503"/>
        <v>0100</v>
      </c>
      <c r="L427" s="77" t="str">
        <f>IFERROR(VLOOKUP(K427,Sheet2!$A$20:$B$23,2,FALSE),"X")</f>
        <v>02</v>
      </c>
      <c r="M427" s="77" t="str">
        <f t="shared" si="517"/>
        <v>15606194Turnaround Network</v>
      </c>
      <c r="O427" s="76" t="s">
        <v>160</v>
      </c>
      <c r="P427" s="69" t="s">
        <v>168</v>
      </c>
      <c r="Q427" s="78"/>
      <c r="R427" s="78"/>
      <c r="AR427" s="79">
        <f t="shared" si="504"/>
        <v>0</v>
      </c>
      <c r="AS427" s="79">
        <f t="shared" si="505"/>
        <v>0</v>
      </c>
      <c r="AT427" s="79">
        <f>S427+(AR427+AS427)</f>
        <v>0</v>
      </c>
      <c r="AU427" s="158" t="s">
        <v>336</v>
      </c>
      <c r="AV427" s="79"/>
      <c r="AW427" s="79">
        <v>30000</v>
      </c>
      <c r="BV427" s="79">
        <f t="shared" si="506"/>
        <v>0</v>
      </c>
      <c r="BW427" s="79">
        <f t="shared" si="507"/>
        <v>0</v>
      </c>
      <c r="BX427" s="79">
        <f t="shared" si="508"/>
        <v>30000</v>
      </c>
      <c r="BY427" s="79"/>
      <c r="CN427" s="79">
        <v>-5261.91</v>
      </c>
      <c r="CP427" s="79">
        <v>-1158.43</v>
      </c>
      <c r="CR427" s="79">
        <v>-140.66</v>
      </c>
      <c r="CT427" s="79">
        <v>-855.2</v>
      </c>
      <c r="CV427" s="79">
        <v>-320</v>
      </c>
      <c r="CX427" s="79">
        <v>-512.64</v>
      </c>
      <c r="CZ427" s="79">
        <v>-1491.46</v>
      </c>
      <c r="DB427" s="79">
        <f t="shared" si="509"/>
        <v>0</v>
      </c>
      <c r="DC427" s="79">
        <f t="shared" si="510"/>
        <v>-9740.2999999999993</v>
      </c>
      <c r="DD427" s="79">
        <f t="shared" si="511"/>
        <v>0</v>
      </c>
      <c r="DE427" s="79">
        <f t="shared" si="512"/>
        <v>20259.7</v>
      </c>
      <c r="DF427" s="79"/>
      <c r="DP427" s="131"/>
      <c r="EA427" s="79">
        <v>-907.19</v>
      </c>
      <c r="EJ427" s="79">
        <f t="shared" si="513"/>
        <v>0</v>
      </c>
      <c r="EK427" s="79">
        <f t="shared" si="514"/>
        <v>-907.19</v>
      </c>
      <c r="EL427" s="79">
        <f t="shared" si="515"/>
        <v>0</v>
      </c>
      <c r="EM427" s="79">
        <f t="shared" si="516"/>
        <v>19352.510000000002</v>
      </c>
      <c r="ES427" s="66">
        <v>-10347.23</v>
      </c>
      <c r="FI427" s="66">
        <f t="shared" si="518"/>
        <v>0</v>
      </c>
      <c r="FJ427" s="66">
        <f t="shared" si="519"/>
        <v>0</v>
      </c>
      <c r="FK427" s="66">
        <f t="shared" si="520"/>
        <v>-10347.23</v>
      </c>
      <c r="FL427" s="173">
        <f t="shared" si="521"/>
        <v>9005.2800000000025</v>
      </c>
    </row>
    <row r="428" spans="1:168" hidden="1" outlineLevel="1" x14ac:dyDescent="0.2">
      <c r="A428" s="76" t="s">
        <v>222</v>
      </c>
      <c r="B428" s="76" t="s">
        <v>243</v>
      </c>
      <c r="C428" s="76" t="s">
        <v>223</v>
      </c>
      <c r="D428" s="76" t="s">
        <v>308</v>
      </c>
      <c r="E428" s="77" t="s">
        <v>228</v>
      </c>
      <c r="F428" s="77" t="s">
        <v>716</v>
      </c>
      <c r="G428" s="77" t="str">
        <f t="shared" si="499"/>
        <v>0</v>
      </c>
      <c r="H428" s="77" t="str">
        <f t="shared" si="500"/>
        <v>0</v>
      </c>
      <c r="I428" s="77" t="str">
        <f t="shared" si="501"/>
        <v>0</v>
      </c>
      <c r="J428" s="77" t="str">
        <f t="shared" si="502"/>
        <v>0</v>
      </c>
      <c r="K428" s="77" t="str">
        <f t="shared" si="503"/>
        <v>0000</v>
      </c>
      <c r="L428" s="77" t="str">
        <f>IFERROR(VLOOKUP(K428,Sheet2!$A$20:$B$23,2,FALSE),"X")</f>
        <v>X</v>
      </c>
      <c r="M428" s="77" t="str">
        <f t="shared" si="517"/>
        <v>15608918Turnaround Network</v>
      </c>
      <c r="N428" s="76" t="s">
        <v>315</v>
      </c>
      <c r="O428" s="76" t="s">
        <v>160</v>
      </c>
      <c r="P428" s="69" t="s">
        <v>168</v>
      </c>
      <c r="Q428" s="78"/>
      <c r="R428" s="78"/>
      <c r="AR428" s="79">
        <f t="shared" si="504"/>
        <v>0</v>
      </c>
      <c r="AS428" s="79">
        <f t="shared" si="505"/>
        <v>0</v>
      </c>
      <c r="AT428" s="79">
        <v>11883</v>
      </c>
      <c r="AV428" s="79"/>
      <c r="BV428" s="79">
        <f t="shared" si="506"/>
        <v>0</v>
      </c>
      <c r="BW428" s="79">
        <f t="shared" si="507"/>
        <v>0</v>
      </c>
      <c r="BX428" s="79">
        <f t="shared" si="508"/>
        <v>11883</v>
      </c>
      <c r="CN428" s="79">
        <v>-54.83</v>
      </c>
      <c r="CP428" s="79">
        <v>-151.83000000000001</v>
      </c>
      <c r="CR428" s="79">
        <v>-7732.03</v>
      </c>
      <c r="CT428" s="79">
        <v>-700</v>
      </c>
      <c r="CX428" s="79">
        <v>-252.84</v>
      </c>
      <c r="CZ428" s="79">
        <v>-56</v>
      </c>
      <c r="DB428" s="79">
        <f t="shared" si="509"/>
        <v>0</v>
      </c>
      <c r="DC428" s="79">
        <f t="shared" si="510"/>
        <v>-8947.5299999999988</v>
      </c>
      <c r="DD428" s="79">
        <f t="shared" si="511"/>
        <v>0</v>
      </c>
      <c r="DE428" s="79">
        <f t="shared" si="512"/>
        <v>2935.4700000000012</v>
      </c>
      <c r="DP428" s="131"/>
      <c r="EA428" s="79">
        <v>-661</v>
      </c>
      <c r="EJ428" s="79">
        <f t="shared" si="513"/>
        <v>0</v>
      </c>
      <c r="EK428" s="79">
        <f t="shared" si="514"/>
        <v>-661</v>
      </c>
      <c r="EL428" s="79">
        <f t="shared" si="515"/>
        <v>0</v>
      </c>
      <c r="EM428" s="79">
        <f t="shared" si="516"/>
        <v>2274.4700000000012</v>
      </c>
      <c r="ES428" s="66">
        <v>-2274.4699999999998</v>
      </c>
      <c r="FI428" s="66">
        <f t="shared" si="518"/>
        <v>0</v>
      </c>
      <c r="FJ428" s="66">
        <f t="shared" si="519"/>
        <v>0</v>
      </c>
      <c r="FK428" s="66">
        <f t="shared" si="520"/>
        <v>-2274.4699999999998</v>
      </c>
      <c r="FL428" s="173">
        <f t="shared" si="521"/>
        <v>0</v>
      </c>
    </row>
    <row r="429" spans="1:168" hidden="1" outlineLevel="1" x14ac:dyDescent="0.2">
      <c r="A429" s="76" t="s">
        <v>222</v>
      </c>
      <c r="B429" s="77" t="s">
        <v>243</v>
      </c>
      <c r="C429" s="76" t="s">
        <v>223</v>
      </c>
      <c r="D429" s="76" t="s">
        <v>261</v>
      </c>
      <c r="E429" s="77" t="s">
        <v>228</v>
      </c>
      <c r="F429" s="77" t="s">
        <v>716</v>
      </c>
      <c r="G429" s="77" t="str">
        <f t="shared" si="499"/>
        <v>1</v>
      </c>
      <c r="H429" s="77" t="str">
        <f t="shared" si="500"/>
        <v>1</v>
      </c>
      <c r="I429" s="77" t="str">
        <f t="shared" si="501"/>
        <v>0</v>
      </c>
      <c r="J429" s="77" t="str">
        <f t="shared" si="502"/>
        <v>0</v>
      </c>
      <c r="K429" s="77" t="str">
        <f t="shared" si="503"/>
        <v>1100</v>
      </c>
      <c r="L429" s="77" t="str">
        <f>IFERROR(VLOOKUP(K429,Sheet2!$A$20:$B$23,2,FALSE),"X")</f>
        <v>X</v>
      </c>
      <c r="M429" s="77" t="str">
        <f t="shared" si="517"/>
        <v>15608918Turnaround Network</v>
      </c>
      <c r="N429" s="76" t="s">
        <v>161</v>
      </c>
      <c r="O429" s="76" t="s">
        <v>160</v>
      </c>
      <c r="P429" s="69" t="s">
        <v>168</v>
      </c>
      <c r="Q429" s="78"/>
      <c r="R429" s="78"/>
      <c r="S429" s="79">
        <v>100270</v>
      </c>
      <c r="AR429" s="79">
        <f t="shared" si="504"/>
        <v>0</v>
      </c>
      <c r="AS429" s="79">
        <f t="shared" si="505"/>
        <v>0</v>
      </c>
      <c r="AT429" s="79">
        <f>S429+(AR429+AS429)</f>
        <v>100270</v>
      </c>
      <c r="AU429" s="158" t="s">
        <v>336</v>
      </c>
      <c r="AV429" s="79"/>
      <c r="AW429" s="79">
        <v>30000</v>
      </c>
      <c r="BF429" s="79">
        <v>-14192</v>
      </c>
      <c r="BH429" s="79">
        <v>-5294</v>
      </c>
      <c r="BJ429" s="79">
        <v>-415</v>
      </c>
      <c r="BL429" s="79">
        <v>-14677</v>
      </c>
      <c r="BN429" s="79">
        <v>-3998</v>
      </c>
      <c r="BP429" s="79">
        <v>-2980</v>
      </c>
      <c r="BR429" s="79">
        <v>-3431</v>
      </c>
      <c r="BV429" s="79">
        <f t="shared" si="506"/>
        <v>-44987</v>
      </c>
      <c r="BW429" s="79">
        <f t="shared" si="507"/>
        <v>0</v>
      </c>
      <c r="BX429" s="79">
        <f t="shared" si="508"/>
        <v>85283</v>
      </c>
      <c r="BY429" s="79"/>
      <c r="CD429" s="79">
        <v>-2295.06</v>
      </c>
      <c r="CG429" s="79">
        <v>-759.2</v>
      </c>
      <c r="CH429" s="79">
        <v>-626</v>
      </c>
      <c r="CN429" s="79">
        <v>-11826.69</v>
      </c>
      <c r="DB429" s="79">
        <f t="shared" si="509"/>
        <v>-2295.06</v>
      </c>
      <c r="DC429" s="79">
        <f t="shared" si="510"/>
        <v>-13211.890000000001</v>
      </c>
      <c r="DD429" s="79">
        <f t="shared" si="511"/>
        <v>0</v>
      </c>
      <c r="DE429" s="79">
        <f t="shared" si="512"/>
        <v>69776.05</v>
      </c>
      <c r="DF429" s="79"/>
      <c r="DK429" s="79">
        <v>-1144</v>
      </c>
      <c r="DP429" s="131"/>
      <c r="DU429" s="79">
        <f>-(17049.13+9056)</f>
        <v>-26105.13</v>
      </c>
      <c r="EA429" s="79" t="s">
        <v>701</v>
      </c>
      <c r="EJ429" s="79">
        <f t="shared" si="513"/>
        <v>0</v>
      </c>
      <c r="EK429" s="79">
        <f t="shared" si="514"/>
        <v>-27249.13</v>
      </c>
      <c r="EL429" s="79">
        <f t="shared" si="515"/>
        <v>0</v>
      </c>
      <c r="EM429" s="79">
        <f t="shared" si="516"/>
        <v>42526.92</v>
      </c>
      <c r="ES429" s="66">
        <v>-11372.339999999998</v>
      </c>
      <c r="FI429" s="66">
        <f t="shared" si="518"/>
        <v>0</v>
      </c>
      <c r="FJ429" s="66">
        <f t="shared" si="519"/>
        <v>0</v>
      </c>
      <c r="FK429" s="66">
        <f t="shared" si="520"/>
        <v>-11372.339999999998</v>
      </c>
      <c r="FL429" s="173">
        <f t="shared" si="521"/>
        <v>31154.58</v>
      </c>
    </row>
    <row r="430" spans="1:168" hidden="1" outlineLevel="1" x14ac:dyDescent="0.2">
      <c r="A430" s="76" t="s">
        <v>222</v>
      </c>
      <c r="B430" s="76" t="s">
        <v>444</v>
      </c>
      <c r="C430" s="76" t="s">
        <v>223</v>
      </c>
      <c r="D430" s="76" t="s">
        <v>505</v>
      </c>
      <c r="E430" s="77" t="s">
        <v>228</v>
      </c>
      <c r="F430" s="77" t="s">
        <v>716</v>
      </c>
      <c r="G430" s="77" t="str">
        <f t="shared" si="499"/>
        <v>0</v>
      </c>
      <c r="H430" s="77" t="str">
        <f t="shared" si="500"/>
        <v>1</v>
      </c>
      <c r="I430" s="77" t="str">
        <f t="shared" si="501"/>
        <v>0</v>
      </c>
      <c r="J430" s="77" t="str">
        <f t="shared" si="502"/>
        <v>0</v>
      </c>
      <c r="K430" s="77" t="str">
        <f t="shared" si="503"/>
        <v>0100</v>
      </c>
      <c r="L430" s="77" t="str">
        <f>IFERROR(VLOOKUP(K430,Sheet2!$A$20:$B$23,2,FALSE),"X")</f>
        <v>02</v>
      </c>
      <c r="M430" s="77" t="str">
        <f t="shared" si="517"/>
        <v>15609228Turnaround Network</v>
      </c>
      <c r="O430" s="76" t="s">
        <v>160</v>
      </c>
      <c r="P430" s="69" t="s">
        <v>168</v>
      </c>
      <c r="Q430" s="78"/>
      <c r="R430" s="78"/>
      <c r="AR430" s="79">
        <f t="shared" si="504"/>
        <v>0</v>
      </c>
      <c r="AS430" s="79">
        <f t="shared" si="505"/>
        <v>0</v>
      </c>
      <c r="AT430" s="79">
        <f>S430+(AR430+AS430)</f>
        <v>0</v>
      </c>
      <c r="AU430" s="158" t="s">
        <v>336</v>
      </c>
      <c r="AV430" s="79"/>
      <c r="AW430" s="79">
        <v>30000</v>
      </c>
      <c r="BV430" s="79">
        <f t="shared" si="506"/>
        <v>0</v>
      </c>
      <c r="BW430" s="79">
        <f t="shared" si="507"/>
        <v>0</v>
      </c>
      <c r="BX430" s="79">
        <f t="shared" si="508"/>
        <v>30000</v>
      </c>
      <c r="BY430" s="79"/>
      <c r="CG430" s="79">
        <v>-4865.1400000000003</v>
      </c>
      <c r="CH430" s="79">
        <v>-3470</v>
      </c>
      <c r="CN430" s="79">
        <v>-10851.22</v>
      </c>
      <c r="CR430" s="79">
        <v>-1327.36</v>
      </c>
      <c r="CT430" s="79">
        <v>-1486.43</v>
      </c>
      <c r="CV430" s="79">
        <v>-7410</v>
      </c>
      <c r="CX430" s="79">
        <v>-589.85</v>
      </c>
      <c r="DB430" s="79">
        <f t="shared" si="509"/>
        <v>0</v>
      </c>
      <c r="DC430" s="79">
        <f t="shared" si="510"/>
        <v>-30000</v>
      </c>
      <c r="DD430" s="79">
        <f t="shared" si="511"/>
        <v>0</v>
      </c>
      <c r="DE430" s="79">
        <f t="shared" si="512"/>
        <v>0</v>
      </c>
      <c r="DF430" s="79"/>
      <c r="DG430" s="42">
        <v>94479.242400000003</v>
      </c>
      <c r="DP430" s="131"/>
      <c r="DU430" s="79">
        <v>-21983.26</v>
      </c>
      <c r="DW430" s="79">
        <v>-3582.23</v>
      </c>
      <c r="EA430" s="79">
        <v>-8325.17</v>
      </c>
      <c r="EE430" s="79">
        <v>-9187.69</v>
      </c>
      <c r="EJ430" s="79">
        <f t="shared" si="513"/>
        <v>0</v>
      </c>
      <c r="EK430" s="79">
        <f t="shared" si="514"/>
        <v>-43078.35</v>
      </c>
      <c r="EL430" s="79">
        <f t="shared" si="515"/>
        <v>0</v>
      </c>
      <c r="EM430" s="79">
        <f t="shared" si="516"/>
        <v>51400.892400000004</v>
      </c>
      <c r="EO430" s="79">
        <v>36036</v>
      </c>
      <c r="ES430" s="66">
        <v>-19396.07</v>
      </c>
      <c r="FI430" s="66">
        <f t="shared" si="518"/>
        <v>0</v>
      </c>
      <c r="FJ430" s="66">
        <f t="shared" si="519"/>
        <v>0</v>
      </c>
      <c r="FK430" s="66">
        <f t="shared" si="520"/>
        <v>-19396.07</v>
      </c>
      <c r="FL430" s="173">
        <f t="shared" si="521"/>
        <v>68040.822400000005</v>
      </c>
    </row>
    <row r="431" spans="1:168" hidden="1" outlineLevel="1" x14ac:dyDescent="0.2">
      <c r="A431" s="76" t="s">
        <v>222</v>
      </c>
      <c r="B431" s="77" t="s">
        <v>244</v>
      </c>
      <c r="C431" s="76" t="s">
        <v>223</v>
      </c>
      <c r="D431" s="76" t="s">
        <v>309</v>
      </c>
      <c r="E431" s="77" t="s">
        <v>228</v>
      </c>
      <c r="F431" s="77" t="s">
        <v>716</v>
      </c>
      <c r="G431" s="77" t="str">
        <f t="shared" si="499"/>
        <v>0</v>
      </c>
      <c r="H431" s="77" t="str">
        <f t="shared" si="500"/>
        <v>0</v>
      </c>
      <c r="I431" s="77" t="str">
        <f t="shared" si="501"/>
        <v>0</v>
      </c>
      <c r="J431" s="77" t="str">
        <f t="shared" si="502"/>
        <v>0</v>
      </c>
      <c r="K431" s="77" t="str">
        <f t="shared" si="503"/>
        <v>0000</v>
      </c>
      <c r="L431" s="77" t="str">
        <f>IFERROR(VLOOKUP(K431,Sheet2!$A$20:$B$23,2,FALSE),"X")</f>
        <v>X</v>
      </c>
      <c r="M431" s="77" t="str">
        <f t="shared" si="517"/>
        <v>15609674Turnaround Network</v>
      </c>
      <c r="N431" s="76" t="s">
        <v>315</v>
      </c>
      <c r="O431" s="76" t="s">
        <v>160</v>
      </c>
      <c r="P431" s="69" t="s">
        <v>168</v>
      </c>
      <c r="Q431" s="78"/>
      <c r="R431" s="78"/>
      <c r="AR431" s="79">
        <f t="shared" si="504"/>
        <v>0</v>
      </c>
      <c r="AS431" s="79">
        <f t="shared" si="505"/>
        <v>0</v>
      </c>
      <c r="AT431" s="79">
        <v>6463</v>
      </c>
      <c r="AV431" s="79"/>
      <c r="BV431" s="79">
        <f t="shared" si="506"/>
        <v>0</v>
      </c>
      <c r="BW431" s="79">
        <f t="shared" si="507"/>
        <v>0</v>
      </c>
      <c r="BX431" s="79">
        <f t="shared" si="508"/>
        <v>6463</v>
      </c>
      <c r="DB431" s="79">
        <f t="shared" si="509"/>
        <v>0</v>
      </c>
      <c r="DC431" s="79">
        <f t="shared" si="510"/>
        <v>0</v>
      </c>
      <c r="DD431" s="79">
        <f t="shared" si="511"/>
        <v>0</v>
      </c>
      <c r="DE431" s="79">
        <f t="shared" si="512"/>
        <v>6463</v>
      </c>
      <c r="DP431" s="131"/>
      <c r="EJ431" s="79">
        <f t="shared" si="513"/>
        <v>0</v>
      </c>
      <c r="EK431" s="79">
        <f t="shared" si="514"/>
        <v>0</v>
      </c>
      <c r="EL431" s="79">
        <f t="shared" si="515"/>
        <v>0</v>
      </c>
      <c r="EM431" s="79">
        <f t="shared" ref="EM431:EM457" si="523">DE431+DH431+DG431+DJ431+(EJ431+EK431+EL431)</f>
        <v>6463</v>
      </c>
      <c r="ES431" s="66">
        <v>-6463</v>
      </c>
      <c r="FI431" s="66">
        <f t="shared" si="518"/>
        <v>0</v>
      </c>
      <c r="FJ431" s="66">
        <f t="shared" si="519"/>
        <v>0</v>
      </c>
      <c r="FK431" s="66">
        <f t="shared" si="520"/>
        <v>-6463</v>
      </c>
      <c r="FL431" s="173">
        <f t="shared" si="521"/>
        <v>0</v>
      </c>
    </row>
    <row r="432" spans="1:168" hidden="1" outlineLevel="1" x14ac:dyDescent="0.2">
      <c r="A432" s="76" t="s">
        <v>222</v>
      </c>
      <c r="B432" s="77" t="s">
        <v>244</v>
      </c>
      <c r="C432" s="76" t="s">
        <v>223</v>
      </c>
      <c r="D432" s="76" t="s">
        <v>262</v>
      </c>
      <c r="E432" s="77" t="s">
        <v>228</v>
      </c>
      <c r="F432" s="77" t="s">
        <v>716</v>
      </c>
      <c r="G432" s="77" t="str">
        <f t="shared" si="499"/>
        <v>1</v>
      </c>
      <c r="H432" s="77" t="str">
        <f t="shared" si="500"/>
        <v>0</v>
      </c>
      <c r="I432" s="77" t="str">
        <f t="shared" si="501"/>
        <v>0</v>
      </c>
      <c r="J432" s="77" t="str">
        <f t="shared" si="502"/>
        <v>0</v>
      </c>
      <c r="K432" s="77" t="str">
        <f t="shared" si="503"/>
        <v>1000</v>
      </c>
      <c r="L432" s="77" t="str">
        <f>IFERROR(VLOOKUP(K432,Sheet2!$A$20:$B$23,2,FALSE),"X")</f>
        <v>01</v>
      </c>
      <c r="M432" s="77" t="str">
        <f t="shared" si="517"/>
        <v>15609674Turnaround Network</v>
      </c>
      <c r="N432" s="76" t="s">
        <v>161</v>
      </c>
      <c r="O432" s="76" t="s">
        <v>160</v>
      </c>
      <c r="P432" s="69" t="s">
        <v>168</v>
      </c>
      <c r="Q432" s="78"/>
      <c r="R432" s="78"/>
      <c r="S432" s="79">
        <v>100265</v>
      </c>
      <c r="AR432" s="79">
        <f t="shared" si="504"/>
        <v>0</v>
      </c>
      <c r="AS432" s="79">
        <f t="shared" si="505"/>
        <v>0</v>
      </c>
      <c r="AT432" s="79">
        <f>S432+(AR432+AS432)</f>
        <v>100265</v>
      </c>
      <c r="AU432" s="79"/>
      <c r="AV432" s="79"/>
      <c r="BF432" s="79">
        <v>-23683</v>
      </c>
      <c r="BH432" s="79">
        <v>-3020</v>
      </c>
      <c r="BJ432" s="79">
        <v>-2814</v>
      </c>
      <c r="BL432" s="79">
        <v>-7838</v>
      </c>
      <c r="BN432" s="79">
        <v>-2909</v>
      </c>
      <c r="BP432" s="79">
        <v>-6620</v>
      </c>
      <c r="BR432" s="79">
        <v>-10732</v>
      </c>
      <c r="BV432" s="79">
        <f t="shared" si="506"/>
        <v>-57616</v>
      </c>
      <c r="BW432" s="79">
        <f t="shared" si="507"/>
        <v>0</v>
      </c>
      <c r="BX432" s="79">
        <f t="shared" si="508"/>
        <v>42649</v>
      </c>
      <c r="BY432" s="79"/>
      <c r="CD432" s="79">
        <v>-6995.38</v>
      </c>
      <c r="CG432" s="79">
        <v>-8235.86</v>
      </c>
      <c r="CH432" s="79">
        <v>-1283</v>
      </c>
      <c r="DB432" s="79">
        <f t="shared" si="509"/>
        <v>-6995.38</v>
      </c>
      <c r="DC432" s="79">
        <f t="shared" si="510"/>
        <v>-9518.86</v>
      </c>
      <c r="DD432" s="79">
        <f t="shared" si="511"/>
        <v>0</v>
      </c>
      <c r="DE432" s="79">
        <f t="shared" si="512"/>
        <v>26134.76</v>
      </c>
      <c r="DF432" s="79"/>
      <c r="DP432" s="131"/>
      <c r="EJ432" s="79">
        <f t="shared" si="513"/>
        <v>0</v>
      </c>
      <c r="EK432" s="79">
        <f t="shared" si="514"/>
        <v>0</v>
      </c>
      <c r="EL432" s="79">
        <f t="shared" si="515"/>
        <v>0</v>
      </c>
      <c r="EM432" s="79">
        <f t="shared" si="523"/>
        <v>26134.76</v>
      </c>
      <c r="ES432" s="66">
        <v>-6529.9599999999991</v>
      </c>
      <c r="FI432" s="66">
        <f t="shared" si="518"/>
        <v>0</v>
      </c>
      <c r="FJ432" s="66">
        <f t="shared" si="519"/>
        <v>0</v>
      </c>
      <c r="FK432" s="66">
        <f t="shared" si="520"/>
        <v>-6529.9599999999991</v>
      </c>
      <c r="FL432" s="173">
        <f t="shared" si="521"/>
        <v>19604.8</v>
      </c>
    </row>
    <row r="433" spans="1:169" hidden="1" outlineLevel="1" x14ac:dyDescent="0.2">
      <c r="A433" s="76" t="s">
        <v>222</v>
      </c>
      <c r="B433" s="77" t="s">
        <v>34</v>
      </c>
      <c r="C433" s="76" t="s">
        <v>223</v>
      </c>
      <c r="D433" s="76" t="s">
        <v>111</v>
      </c>
      <c r="E433" s="77" t="s">
        <v>228</v>
      </c>
      <c r="F433" s="77" t="s">
        <v>716</v>
      </c>
      <c r="G433" s="77" t="str">
        <f t="shared" si="499"/>
        <v>0</v>
      </c>
      <c r="H433" s="77" t="str">
        <f t="shared" si="500"/>
        <v>0</v>
      </c>
      <c r="I433" s="77" t="str">
        <f t="shared" si="501"/>
        <v>0</v>
      </c>
      <c r="J433" s="77" t="str">
        <f t="shared" si="502"/>
        <v>0</v>
      </c>
      <c r="K433" s="77" t="str">
        <f t="shared" si="503"/>
        <v>0000</v>
      </c>
      <c r="L433" s="77" t="str">
        <f>IFERROR(VLOOKUP(K433,Sheet2!$A$20:$B$23,2,FALSE),"X")</f>
        <v>X</v>
      </c>
      <c r="M433" s="77" t="str">
        <f t="shared" si="517"/>
        <v>1560N/ATurnaround Network</v>
      </c>
      <c r="N433" s="76" t="s">
        <v>315</v>
      </c>
      <c r="O433" s="76" t="s">
        <v>160</v>
      </c>
      <c r="P433" s="69" t="s">
        <v>168</v>
      </c>
      <c r="Q433" s="78"/>
      <c r="R433" s="78"/>
      <c r="AR433" s="79">
        <f t="shared" si="504"/>
        <v>0</v>
      </c>
      <c r="AS433" s="79">
        <f t="shared" si="505"/>
        <v>0</v>
      </c>
      <c r="AT433" s="79">
        <v>11982.41</v>
      </c>
      <c r="AV433" s="79"/>
      <c r="BV433" s="79">
        <f t="shared" si="506"/>
        <v>0</v>
      </c>
      <c r="BW433" s="79">
        <f t="shared" si="507"/>
        <v>0</v>
      </c>
      <c r="BX433" s="79">
        <f t="shared" si="508"/>
        <v>11982.41</v>
      </c>
      <c r="CV433" s="79">
        <v>-403.45</v>
      </c>
      <c r="DB433" s="79">
        <f t="shared" si="509"/>
        <v>0</v>
      </c>
      <c r="DC433" s="79">
        <f t="shared" si="510"/>
        <v>-403.45</v>
      </c>
      <c r="DD433" s="79">
        <f t="shared" si="511"/>
        <v>0</v>
      </c>
      <c r="DE433" s="79">
        <f t="shared" si="512"/>
        <v>11578.96</v>
      </c>
      <c r="DP433" s="131"/>
      <c r="EJ433" s="79">
        <f t="shared" si="513"/>
        <v>0</v>
      </c>
      <c r="EK433" s="79">
        <f t="shared" si="514"/>
        <v>0</v>
      </c>
      <c r="EL433" s="79">
        <f t="shared" si="515"/>
        <v>0</v>
      </c>
      <c r="EM433" s="79">
        <f t="shared" si="523"/>
        <v>11578.96</v>
      </c>
      <c r="FI433" s="66">
        <f t="shared" si="518"/>
        <v>0</v>
      </c>
      <c r="FJ433" s="66">
        <f t="shared" si="519"/>
        <v>0</v>
      </c>
      <c r="FK433" s="66">
        <f t="shared" si="520"/>
        <v>0</v>
      </c>
      <c r="FL433" s="173">
        <f t="shared" si="521"/>
        <v>11578.96</v>
      </c>
    </row>
    <row r="434" spans="1:169" hidden="1" outlineLevel="1" x14ac:dyDescent="0.2">
      <c r="A434" s="76" t="s">
        <v>222</v>
      </c>
      <c r="B434" s="77" t="s">
        <v>34</v>
      </c>
      <c r="C434" s="76" t="s">
        <v>223</v>
      </c>
      <c r="D434" s="76" t="s">
        <v>111</v>
      </c>
      <c r="E434" s="77" t="s">
        <v>228</v>
      </c>
      <c r="F434" s="77" t="s">
        <v>716</v>
      </c>
      <c r="G434" s="77" t="str">
        <f t="shared" si="499"/>
        <v>1</v>
      </c>
      <c r="H434" s="77" t="str">
        <f t="shared" si="500"/>
        <v>1</v>
      </c>
      <c r="I434" s="77" t="str">
        <f t="shared" si="501"/>
        <v>0</v>
      </c>
      <c r="J434" s="77" t="str">
        <f t="shared" si="502"/>
        <v>0</v>
      </c>
      <c r="K434" s="77" t="str">
        <f t="shared" si="503"/>
        <v>1100</v>
      </c>
      <c r="L434" s="77" t="str">
        <f>IFERROR(VLOOKUP(K434,Sheet2!$A$20:$B$23,2,FALSE),"X")</f>
        <v>X</v>
      </c>
      <c r="M434" s="77" t="str">
        <f t="shared" si="517"/>
        <v>1560N/ATurnaround Network</v>
      </c>
      <c r="N434" s="76" t="s">
        <v>161</v>
      </c>
      <c r="O434" s="76" t="s">
        <v>160</v>
      </c>
      <c r="P434" s="69" t="s">
        <v>168</v>
      </c>
      <c r="Q434" s="78"/>
      <c r="R434" s="78"/>
      <c r="S434" s="79">
        <v>49998</v>
      </c>
      <c r="AR434" s="79">
        <f t="shared" si="504"/>
        <v>0</v>
      </c>
      <c r="AS434" s="79">
        <f t="shared" si="505"/>
        <v>0</v>
      </c>
      <c r="AT434" s="79">
        <f>S434+(AR434+AS434)</f>
        <v>49998</v>
      </c>
      <c r="AU434" s="79" t="s">
        <v>336</v>
      </c>
      <c r="AV434" s="79"/>
      <c r="AW434" s="79">
        <v>50000</v>
      </c>
      <c r="BF434" s="79">
        <v>-8868</v>
      </c>
      <c r="BH434" s="79">
        <v>-304</v>
      </c>
      <c r="BJ434" s="79">
        <v>-170</v>
      </c>
      <c r="BL434" s="79">
        <v>-14000</v>
      </c>
      <c r="BP434" s="79">
        <v>-1189</v>
      </c>
      <c r="BR434" s="79">
        <v>-2462</v>
      </c>
      <c r="BV434" s="79">
        <f t="shared" si="506"/>
        <v>-26993</v>
      </c>
      <c r="BW434" s="79">
        <f t="shared" si="507"/>
        <v>0</v>
      </c>
      <c r="BX434" s="79">
        <f t="shared" si="508"/>
        <v>73005</v>
      </c>
      <c r="BY434" s="79"/>
      <c r="CD434" s="79">
        <v>-129.08000000000001</v>
      </c>
      <c r="CG434" s="79">
        <v>-4531.6000000000004</v>
      </c>
      <c r="CH434" s="79">
        <v>-473</v>
      </c>
      <c r="CN434" s="79">
        <v>-1322.02</v>
      </c>
      <c r="CR434" s="79">
        <v>-1565.84</v>
      </c>
      <c r="DB434" s="79">
        <f t="shared" si="509"/>
        <v>-129.08000000000001</v>
      </c>
      <c r="DC434" s="79">
        <f t="shared" si="510"/>
        <v>-7892.4600000000009</v>
      </c>
      <c r="DD434" s="79">
        <f t="shared" si="511"/>
        <v>0</v>
      </c>
      <c r="DE434" s="79">
        <f t="shared" si="512"/>
        <v>64983.46</v>
      </c>
      <c r="DF434" s="79"/>
      <c r="DG434" s="79">
        <v>20466</v>
      </c>
      <c r="DP434" s="131"/>
      <c r="DU434" s="79">
        <v>-1683.59</v>
      </c>
      <c r="EA434" s="79">
        <v>-5372</v>
      </c>
      <c r="EJ434" s="79">
        <f t="shared" si="513"/>
        <v>0</v>
      </c>
      <c r="EK434" s="79">
        <f t="shared" si="514"/>
        <v>-7055.59</v>
      </c>
      <c r="EL434" s="79">
        <f t="shared" si="515"/>
        <v>0</v>
      </c>
      <c r="EM434" s="79">
        <f t="shared" si="523"/>
        <v>78393.87</v>
      </c>
      <c r="EO434" s="79">
        <v>20592</v>
      </c>
      <c r="FI434" s="66">
        <f t="shared" si="518"/>
        <v>0</v>
      </c>
      <c r="FJ434" s="66">
        <f t="shared" si="519"/>
        <v>0</v>
      </c>
      <c r="FK434" s="66">
        <f t="shared" si="520"/>
        <v>0</v>
      </c>
      <c r="FL434" s="173">
        <f t="shared" si="521"/>
        <v>98985.87</v>
      </c>
    </row>
    <row r="435" spans="1:169" hidden="1" outlineLevel="1" x14ac:dyDescent="0.2">
      <c r="A435" s="88" t="s">
        <v>381</v>
      </c>
      <c r="B435" s="88" t="s">
        <v>17</v>
      </c>
      <c r="C435" s="88" t="s">
        <v>465</v>
      </c>
      <c r="D435" s="88" t="s">
        <v>683</v>
      </c>
      <c r="E435" s="89" t="s">
        <v>228</v>
      </c>
      <c r="F435" s="89" t="s">
        <v>716</v>
      </c>
      <c r="G435" s="77" t="str">
        <f t="shared" si="499"/>
        <v>0</v>
      </c>
      <c r="H435" s="77" t="str">
        <f t="shared" si="500"/>
        <v>0</v>
      </c>
      <c r="I435" s="77" t="str">
        <f t="shared" si="501"/>
        <v>1</v>
      </c>
      <c r="J435" s="77" t="str">
        <f t="shared" si="502"/>
        <v>0</v>
      </c>
      <c r="K435" s="77" t="str">
        <f t="shared" si="503"/>
        <v>0010</v>
      </c>
      <c r="L435" s="77" t="str">
        <f>IFERROR(VLOOKUP(K435,Sheet2!$A$20:$B$23,2,FALSE),"X")</f>
        <v>03</v>
      </c>
      <c r="M435" s="77" t="str">
        <f t="shared" si="517"/>
        <v>20001520Turnaround Network</v>
      </c>
      <c r="N435" s="88"/>
      <c r="O435" s="88" t="s">
        <v>160</v>
      </c>
      <c r="P435" s="90" t="s">
        <v>168</v>
      </c>
      <c r="Q435" s="91"/>
      <c r="R435" s="91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>
        <f t="shared" si="504"/>
        <v>0</v>
      </c>
      <c r="AS435" s="92">
        <f t="shared" si="505"/>
        <v>0</v>
      </c>
      <c r="AT435" s="92">
        <f>S435+(AR435+AS435)</f>
        <v>0</v>
      </c>
      <c r="AU435" s="161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>
        <f t="shared" si="506"/>
        <v>0</v>
      </c>
      <c r="BW435" s="92">
        <f t="shared" si="507"/>
        <v>0</v>
      </c>
      <c r="BX435" s="92">
        <f t="shared" si="508"/>
        <v>0</v>
      </c>
      <c r="BY435" s="92"/>
      <c r="BZ435" s="92"/>
      <c r="CA435" s="92"/>
      <c r="CB435" s="92"/>
      <c r="CC435" s="92">
        <v>15738</v>
      </c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  <c r="CZ435" s="92"/>
      <c r="DA435" s="92"/>
      <c r="DB435" s="92">
        <f t="shared" si="509"/>
        <v>0</v>
      </c>
      <c r="DC435" s="92">
        <f t="shared" si="510"/>
        <v>0</v>
      </c>
      <c r="DD435" s="92">
        <f t="shared" si="511"/>
        <v>0</v>
      </c>
      <c r="DE435" s="92">
        <f t="shared" si="512"/>
        <v>15738</v>
      </c>
      <c r="DF435" s="79"/>
      <c r="DH435" s="103">
        <v>15249</v>
      </c>
      <c r="DP435" s="131"/>
      <c r="DR435" s="79">
        <f>-15738-13639.6</f>
        <v>-29377.599999999999</v>
      </c>
      <c r="EE435" s="79" t="s">
        <v>701</v>
      </c>
      <c r="EF435" s="79">
        <v>29377.599999999999</v>
      </c>
      <c r="EG435" s="131">
        <f>-EF435</f>
        <v>-29377.599999999999</v>
      </c>
      <c r="EJ435" s="79">
        <f t="shared" si="513"/>
        <v>-29377.599999999999</v>
      </c>
      <c r="EK435" s="79">
        <f t="shared" si="514"/>
        <v>0</v>
      </c>
      <c r="EL435" s="79">
        <f t="shared" si="515"/>
        <v>0</v>
      </c>
      <c r="EM435" s="79">
        <f t="shared" si="523"/>
        <v>1609.4000000000015</v>
      </c>
      <c r="EP435" s="79">
        <v>78367.5</v>
      </c>
      <c r="FD435" s="66">
        <v>-17002.04</v>
      </c>
      <c r="FI435" s="66">
        <f t="shared" si="518"/>
        <v>0</v>
      </c>
      <c r="FJ435" s="66">
        <f t="shared" si="519"/>
        <v>0</v>
      </c>
      <c r="FK435" s="66">
        <f t="shared" si="520"/>
        <v>-17002.04</v>
      </c>
      <c r="FL435" s="173">
        <f t="shared" si="521"/>
        <v>62974.859999999993</v>
      </c>
    </row>
    <row r="436" spans="1:169" hidden="1" outlineLevel="1" x14ac:dyDescent="0.2">
      <c r="A436" s="76" t="s">
        <v>224</v>
      </c>
      <c r="B436" s="77" t="s">
        <v>318</v>
      </c>
      <c r="C436" s="76" t="s">
        <v>225</v>
      </c>
      <c r="D436" s="76" t="s">
        <v>288</v>
      </c>
      <c r="E436" s="77" t="s">
        <v>228</v>
      </c>
      <c r="F436" s="77" t="s">
        <v>716</v>
      </c>
      <c r="G436" s="77" t="str">
        <f t="shared" si="499"/>
        <v>1</v>
      </c>
      <c r="H436" s="77" t="str">
        <f t="shared" si="500"/>
        <v>0</v>
      </c>
      <c r="I436" s="77" t="str">
        <f t="shared" si="501"/>
        <v>0</v>
      </c>
      <c r="J436" s="77" t="str">
        <f t="shared" si="502"/>
        <v>0</v>
      </c>
      <c r="K436" s="77" t="str">
        <f t="shared" si="503"/>
        <v>1000</v>
      </c>
      <c r="L436" s="77" t="str">
        <f>IFERROR(VLOOKUP(K436,Sheet2!$A$20:$B$23,2,FALSE),"X")</f>
        <v>01</v>
      </c>
      <c r="M436" s="77" t="str">
        <f t="shared" si="517"/>
        <v>21806366Turnaround Network</v>
      </c>
      <c r="N436" s="76" t="s">
        <v>161</v>
      </c>
      <c r="O436" s="76" t="s">
        <v>160</v>
      </c>
      <c r="P436" s="69" t="s">
        <v>168</v>
      </c>
      <c r="Q436" s="78">
        <v>43229</v>
      </c>
      <c r="R436" s="78">
        <v>43229</v>
      </c>
      <c r="S436" s="79">
        <v>109068</v>
      </c>
      <c r="AR436" s="79">
        <f t="shared" si="504"/>
        <v>0</v>
      </c>
      <c r="AS436" s="79">
        <f t="shared" si="505"/>
        <v>0</v>
      </c>
      <c r="AT436" s="79">
        <f>S436+(AR436+AS436)</f>
        <v>109068</v>
      </c>
      <c r="AU436" s="79"/>
      <c r="AV436" s="79"/>
      <c r="BB436" s="79">
        <v>-45575</v>
      </c>
      <c r="BL436" s="79">
        <v>-33320</v>
      </c>
      <c r="BV436" s="79">
        <f t="shared" si="506"/>
        <v>-78895</v>
      </c>
      <c r="BW436" s="79">
        <f t="shared" si="507"/>
        <v>0</v>
      </c>
      <c r="BX436" s="79">
        <f t="shared" si="508"/>
        <v>30173</v>
      </c>
      <c r="BY436" s="158" t="s">
        <v>341</v>
      </c>
      <c r="BZ436" s="79">
        <v>25000</v>
      </c>
      <c r="CG436" s="79">
        <v>-23514</v>
      </c>
      <c r="CJ436" s="79">
        <v>-6659</v>
      </c>
      <c r="DB436" s="79">
        <f t="shared" si="509"/>
        <v>0</v>
      </c>
      <c r="DC436" s="79">
        <f t="shared" si="510"/>
        <v>-30173</v>
      </c>
      <c r="DD436" s="79">
        <f t="shared" si="511"/>
        <v>0</v>
      </c>
      <c r="DE436" s="79">
        <f t="shared" si="512"/>
        <v>25000</v>
      </c>
      <c r="DG436" s="79">
        <v>47508.0363</v>
      </c>
      <c r="DM436" s="79">
        <f>-11600-12801.5</f>
        <v>-24401.5</v>
      </c>
      <c r="DP436" s="131"/>
      <c r="DW436" s="79">
        <f>-598.5-2456.7</f>
        <v>-3055.2</v>
      </c>
      <c r="DY436" s="79">
        <v>-9930.18</v>
      </c>
      <c r="EJ436" s="79">
        <f t="shared" si="513"/>
        <v>0</v>
      </c>
      <c r="EK436" s="79">
        <f t="shared" si="514"/>
        <v>-37386.880000000005</v>
      </c>
      <c r="EL436" s="79">
        <f t="shared" si="515"/>
        <v>0</v>
      </c>
      <c r="EM436" s="79">
        <f t="shared" si="523"/>
        <v>35121.156300000002</v>
      </c>
      <c r="ES436" s="66">
        <v>-3225.9</v>
      </c>
      <c r="EU436" s="66">
        <v>-2949.3</v>
      </c>
      <c r="FC436" s="224">
        <v>-10745.94</v>
      </c>
      <c r="FI436" s="66">
        <f t="shared" si="518"/>
        <v>0</v>
      </c>
      <c r="FJ436" s="66">
        <f t="shared" si="519"/>
        <v>0</v>
      </c>
      <c r="FK436" s="66">
        <f t="shared" si="520"/>
        <v>-16921.14</v>
      </c>
      <c r="FL436" s="173">
        <f t="shared" si="521"/>
        <v>18200.016300000003</v>
      </c>
    </row>
    <row r="437" spans="1:169" s="118" customFormat="1" hidden="1" outlineLevel="1" x14ac:dyDescent="0.2">
      <c r="A437" s="119" t="s">
        <v>224</v>
      </c>
      <c r="B437" s="119" t="s">
        <v>808</v>
      </c>
      <c r="C437" s="118" t="s">
        <v>225</v>
      </c>
      <c r="D437" s="118" t="s">
        <v>330</v>
      </c>
      <c r="E437" s="119" t="s">
        <v>228</v>
      </c>
      <c r="F437" s="119"/>
      <c r="G437" s="119"/>
      <c r="H437" s="119"/>
      <c r="I437" s="119"/>
      <c r="J437" s="119"/>
      <c r="K437" s="119"/>
      <c r="L437" s="119"/>
      <c r="M437" s="119" t="str">
        <f t="shared" ref="M437" si="524">A437&amp;B437&amp;E437</f>
        <v>21804458Turnaround Network</v>
      </c>
      <c r="O437" s="119"/>
      <c r="P437" s="120"/>
      <c r="Q437" s="121"/>
      <c r="R437" s="121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122"/>
      <c r="AS437" s="122"/>
      <c r="AT437" s="122"/>
      <c r="AU437" s="122"/>
      <c r="AV437" s="122"/>
      <c r="AW437" s="122"/>
      <c r="AX437" s="122"/>
      <c r="AY437" s="122"/>
      <c r="AZ437" s="122"/>
      <c r="BA437" s="122"/>
      <c r="BB437" s="122"/>
      <c r="BC437" s="122"/>
      <c r="BD437" s="122"/>
      <c r="BE437" s="122"/>
      <c r="BF437" s="122"/>
      <c r="BG437" s="122"/>
      <c r="BH437" s="122"/>
      <c r="BI437" s="122"/>
      <c r="BJ437" s="122"/>
      <c r="BK437" s="122"/>
      <c r="BL437" s="122"/>
      <c r="BM437" s="122"/>
      <c r="BN437" s="122"/>
      <c r="BO437" s="122"/>
      <c r="BP437" s="122"/>
      <c r="BQ437" s="122"/>
      <c r="BR437" s="122"/>
      <c r="BS437" s="122"/>
      <c r="BT437" s="122"/>
      <c r="BU437" s="122"/>
      <c r="BV437" s="122"/>
      <c r="BW437" s="122"/>
      <c r="BX437" s="122"/>
      <c r="BY437" s="160"/>
      <c r="BZ437" s="122"/>
      <c r="CA437" s="122"/>
      <c r="CB437" s="122"/>
      <c r="CC437" s="122"/>
      <c r="CD437" s="122"/>
      <c r="CE437" s="122"/>
      <c r="CF437" s="122"/>
      <c r="CG437" s="122"/>
      <c r="CH437" s="122"/>
      <c r="CI437" s="122"/>
      <c r="CJ437" s="122"/>
      <c r="CK437" s="122"/>
      <c r="CL437" s="122"/>
      <c r="CM437" s="122"/>
      <c r="CN437" s="122"/>
      <c r="CO437" s="122"/>
      <c r="CP437" s="122"/>
      <c r="CQ437" s="122"/>
      <c r="CR437" s="122"/>
      <c r="CS437" s="122"/>
      <c r="CT437" s="122"/>
      <c r="CU437" s="122"/>
      <c r="CV437" s="122"/>
      <c r="CW437" s="122"/>
      <c r="CX437" s="122"/>
      <c r="CY437" s="122"/>
      <c r="CZ437" s="122"/>
      <c r="DA437" s="122"/>
      <c r="DB437" s="122"/>
      <c r="DC437" s="122"/>
      <c r="DD437" s="122"/>
      <c r="DE437" s="122"/>
      <c r="DF437" s="160"/>
      <c r="DG437" s="122"/>
      <c r="DH437" s="122"/>
      <c r="DI437" s="122"/>
      <c r="DJ437" s="122"/>
      <c r="DK437" s="122"/>
      <c r="DL437" s="122"/>
      <c r="DM437" s="122"/>
      <c r="DN437" s="122"/>
      <c r="DO437" s="122"/>
      <c r="DP437" s="122"/>
      <c r="DQ437" s="122"/>
      <c r="DR437" s="122"/>
      <c r="DS437" s="122"/>
      <c r="DT437" s="122"/>
      <c r="DU437" s="122"/>
      <c r="DV437" s="122"/>
      <c r="DW437" s="122"/>
      <c r="DX437" s="122"/>
      <c r="DY437" s="122"/>
      <c r="DZ437" s="122"/>
      <c r="EA437" s="122"/>
      <c r="EB437" s="122"/>
      <c r="EC437" s="122"/>
      <c r="ED437" s="122"/>
      <c r="EE437" s="122"/>
      <c r="EF437" s="122"/>
      <c r="EG437" s="131"/>
      <c r="EH437" s="122"/>
      <c r="EI437" s="122"/>
      <c r="EJ437" s="122"/>
      <c r="EK437" s="122"/>
      <c r="EL437" s="122"/>
      <c r="EM437" s="122"/>
      <c r="EN437" s="122"/>
      <c r="EO437" s="122"/>
      <c r="EP437" s="122"/>
      <c r="EQ437" s="122">
        <v>30000</v>
      </c>
      <c r="ER437" s="122"/>
      <c r="ES437" s="126"/>
      <c r="ET437" s="126"/>
      <c r="EU437" s="126"/>
      <c r="EV437" s="66"/>
      <c r="EW437" s="126"/>
      <c r="EX437" s="126"/>
      <c r="EY437" s="126"/>
      <c r="EZ437" s="126"/>
      <c r="FA437" s="126"/>
      <c r="FB437" s="126"/>
      <c r="FC437" s="224">
        <v>-3502.92</v>
      </c>
      <c r="FD437" s="126"/>
      <c r="FE437" s="126"/>
      <c r="FF437" s="126"/>
      <c r="FG437" s="126"/>
      <c r="FH437" s="126"/>
      <c r="FI437" s="66">
        <f t="shared" si="518"/>
        <v>0</v>
      </c>
      <c r="FJ437" s="66">
        <f t="shared" si="519"/>
        <v>0</v>
      </c>
      <c r="FK437" s="66">
        <f t="shared" si="520"/>
        <v>-3502.92</v>
      </c>
      <c r="FL437" s="173">
        <f t="shared" si="521"/>
        <v>26497.08</v>
      </c>
      <c r="FM437" s="123"/>
    </row>
    <row r="438" spans="1:169" s="118" customFormat="1" hidden="1" outlineLevel="1" x14ac:dyDescent="0.2">
      <c r="A438" s="119" t="s">
        <v>224</v>
      </c>
      <c r="B438" s="119" t="s">
        <v>428</v>
      </c>
      <c r="C438" s="118" t="s">
        <v>225</v>
      </c>
      <c r="D438" s="118" t="s">
        <v>801</v>
      </c>
      <c r="E438" s="119" t="s">
        <v>228</v>
      </c>
      <c r="F438" s="119"/>
      <c r="G438" s="119"/>
      <c r="H438" s="119"/>
      <c r="I438" s="119"/>
      <c r="J438" s="119"/>
      <c r="K438" s="119"/>
      <c r="L438" s="119"/>
      <c r="M438" s="119" t="str">
        <f t="shared" si="517"/>
        <v>21806466Turnaround Network</v>
      </c>
      <c r="O438" s="119" t="s">
        <v>160</v>
      </c>
      <c r="P438" s="120"/>
      <c r="Q438" s="121"/>
      <c r="R438" s="121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122"/>
      <c r="AS438" s="122"/>
      <c r="AT438" s="122"/>
      <c r="AU438" s="122"/>
      <c r="AV438" s="122"/>
      <c r="AW438" s="122"/>
      <c r="AX438" s="122"/>
      <c r="AY438" s="122"/>
      <c r="AZ438" s="122"/>
      <c r="BA438" s="122"/>
      <c r="BB438" s="122"/>
      <c r="BC438" s="122"/>
      <c r="BD438" s="122"/>
      <c r="BE438" s="122"/>
      <c r="BF438" s="122"/>
      <c r="BG438" s="122"/>
      <c r="BH438" s="122"/>
      <c r="BI438" s="122"/>
      <c r="BJ438" s="122"/>
      <c r="BK438" s="122"/>
      <c r="BL438" s="122"/>
      <c r="BM438" s="122"/>
      <c r="BN438" s="122"/>
      <c r="BO438" s="122"/>
      <c r="BP438" s="122"/>
      <c r="BQ438" s="122"/>
      <c r="BR438" s="122"/>
      <c r="BS438" s="122"/>
      <c r="BT438" s="122"/>
      <c r="BU438" s="122"/>
      <c r="BV438" s="122"/>
      <c r="BW438" s="122"/>
      <c r="BX438" s="122"/>
      <c r="BY438" s="160"/>
      <c r="BZ438" s="122"/>
      <c r="CA438" s="122"/>
      <c r="CB438" s="122"/>
      <c r="CC438" s="122"/>
      <c r="CD438" s="122"/>
      <c r="CE438" s="122"/>
      <c r="CF438" s="122"/>
      <c r="CG438" s="122"/>
      <c r="CH438" s="122"/>
      <c r="CI438" s="122"/>
      <c r="CJ438" s="122"/>
      <c r="CK438" s="122"/>
      <c r="CL438" s="122"/>
      <c r="CM438" s="122"/>
      <c r="CN438" s="122"/>
      <c r="CO438" s="122"/>
      <c r="CP438" s="122"/>
      <c r="CQ438" s="122"/>
      <c r="CR438" s="122"/>
      <c r="CS438" s="122"/>
      <c r="CT438" s="122"/>
      <c r="CU438" s="122"/>
      <c r="CV438" s="122"/>
      <c r="CW438" s="122"/>
      <c r="CX438" s="122"/>
      <c r="CY438" s="122"/>
      <c r="CZ438" s="122"/>
      <c r="DA438" s="122"/>
      <c r="DB438" s="122"/>
      <c r="DC438" s="122"/>
      <c r="DD438" s="122"/>
      <c r="DE438" s="122"/>
      <c r="DF438" s="160"/>
      <c r="DG438" s="122"/>
      <c r="DH438" s="122"/>
      <c r="DI438" s="122"/>
      <c r="DJ438" s="122">
        <v>0</v>
      </c>
      <c r="DK438" s="122"/>
      <c r="DL438" s="122"/>
      <c r="DM438" s="122"/>
      <c r="DN438" s="122"/>
      <c r="DO438" s="122"/>
      <c r="DP438" s="122"/>
      <c r="DQ438" s="122"/>
      <c r="DR438" s="122"/>
      <c r="DS438" s="122"/>
      <c r="DT438" s="122"/>
      <c r="DU438" s="122"/>
      <c r="DV438" s="122"/>
      <c r="DW438" s="122"/>
      <c r="DX438" s="122"/>
      <c r="DY438" s="122"/>
      <c r="DZ438" s="122"/>
      <c r="EA438" s="122"/>
      <c r="EB438" s="122"/>
      <c r="EC438" s="122"/>
      <c r="ED438" s="122"/>
      <c r="EE438" s="122"/>
      <c r="EF438" s="122"/>
      <c r="EG438" s="131"/>
      <c r="EH438" s="122"/>
      <c r="EI438" s="122"/>
      <c r="EJ438" s="122"/>
      <c r="EK438" s="122"/>
      <c r="EL438" s="122"/>
      <c r="EM438" s="122">
        <f t="shared" si="523"/>
        <v>0</v>
      </c>
      <c r="EN438" s="122"/>
      <c r="EO438" s="122"/>
      <c r="EP438" s="122"/>
      <c r="EQ438" s="122">
        <v>30000</v>
      </c>
      <c r="ER438" s="122"/>
      <c r="ES438" s="126"/>
      <c r="ET438" s="126"/>
      <c r="EU438" s="126"/>
      <c r="EV438" s="66"/>
      <c r="EW438" s="126"/>
      <c r="EX438" s="126"/>
      <c r="EY438" s="126"/>
      <c r="EZ438" s="126"/>
      <c r="FA438" s="126"/>
      <c r="FB438" s="126"/>
      <c r="FC438" s="224">
        <v>-9159.56</v>
      </c>
      <c r="FD438" s="126"/>
      <c r="FE438" s="126"/>
      <c r="FF438" s="126"/>
      <c r="FG438" s="126"/>
      <c r="FH438" s="126"/>
      <c r="FI438" s="66">
        <f t="shared" si="518"/>
        <v>0</v>
      </c>
      <c r="FJ438" s="66">
        <f t="shared" si="519"/>
        <v>0</v>
      </c>
      <c r="FK438" s="66">
        <f t="shared" si="520"/>
        <v>-9159.56</v>
      </c>
      <c r="FL438" s="173">
        <f t="shared" si="521"/>
        <v>20840.440000000002</v>
      </c>
      <c r="FM438" s="123"/>
    </row>
    <row r="439" spans="1:169" s="118" customFormat="1" hidden="1" outlineLevel="1" x14ac:dyDescent="0.2">
      <c r="A439" s="119" t="s">
        <v>224</v>
      </c>
      <c r="B439" s="119" t="s">
        <v>310</v>
      </c>
      <c r="C439" s="118" t="s">
        <v>225</v>
      </c>
      <c r="D439" s="118" t="s">
        <v>289</v>
      </c>
      <c r="E439" s="119" t="s">
        <v>228</v>
      </c>
      <c r="F439" s="119"/>
      <c r="G439" s="119"/>
      <c r="H439" s="119"/>
      <c r="I439" s="119"/>
      <c r="J439" s="119"/>
      <c r="K439" s="119"/>
      <c r="L439" s="119"/>
      <c r="M439" s="119" t="str">
        <f t="shared" si="517"/>
        <v>21806486Turnaround Network</v>
      </c>
      <c r="O439" s="119"/>
      <c r="P439" s="120"/>
      <c r="Q439" s="121"/>
      <c r="R439" s="121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122"/>
      <c r="AS439" s="122"/>
      <c r="AT439" s="122"/>
      <c r="AU439" s="122"/>
      <c r="AV439" s="122"/>
      <c r="AW439" s="122"/>
      <c r="AX439" s="122"/>
      <c r="AY439" s="122"/>
      <c r="AZ439" s="122"/>
      <c r="BA439" s="122"/>
      <c r="BB439" s="122"/>
      <c r="BC439" s="122"/>
      <c r="BD439" s="122"/>
      <c r="BE439" s="122"/>
      <c r="BF439" s="122"/>
      <c r="BG439" s="122"/>
      <c r="BH439" s="122"/>
      <c r="BI439" s="122"/>
      <c r="BJ439" s="122"/>
      <c r="BK439" s="122"/>
      <c r="BL439" s="122"/>
      <c r="BM439" s="122"/>
      <c r="BN439" s="122"/>
      <c r="BO439" s="122"/>
      <c r="BP439" s="122"/>
      <c r="BQ439" s="122"/>
      <c r="BR439" s="122"/>
      <c r="BS439" s="122"/>
      <c r="BT439" s="122"/>
      <c r="BU439" s="122"/>
      <c r="BV439" s="122"/>
      <c r="BW439" s="122"/>
      <c r="BX439" s="122"/>
      <c r="BY439" s="160"/>
      <c r="BZ439" s="122"/>
      <c r="CA439" s="122"/>
      <c r="CB439" s="122"/>
      <c r="CC439" s="122"/>
      <c r="CD439" s="122"/>
      <c r="CE439" s="122"/>
      <c r="CF439" s="122"/>
      <c r="CG439" s="122"/>
      <c r="CH439" s="122"/>
      <c r="CI439" s="122"/>
      <c r="CJ439" s="122"/>
      <c r="CK439" s="122"/>
      <c r="CL439" s="122"/>
      <c r="CM439" s="122"/>
      <c r="CN439" s="122"/>
      <c r="CO439" s="122"/>
      <c r="CP439" s="122"/>
      <c r="CQ439" s="122"/>
      <c r="CR439" s="122"/>
      <c r="CS439" s="122"/>
      <c r="CT439" s="122"/>
      <c r="CU439" s="122"/>
      <c r="CV439" s="122"/>
      <c r="CW439" s="122"/>
      <c r="CX439" s="122"/>
      <c r="CY439" s="122"/>
      <c r="CZ439" s="122"/>
      <c r="DA439" s="122"/>
      <c r="DB439" s="122"/>
      <c r="DC439" s="122"/>
      <c r="DD439" s="122"/>
      <c r="DE439" s="122"/>
      <c r="DF439" s="160"/>
      <c r="DG439" s="122"/>
      <c r="DH439" s="122"/>
      <c r="DI439" s="122"/>
      <c r="DJ439" s="122"/>
      <c r="DK439" s="122"/>
      <c r="DL439" s="122"/>
      <c r="DM439" s="122"/>
      <c r="DN439" s="122"/>
      <c r="DO439" s="122"/>
      <c r="DP439" s="122"/>
      <c r="DQ439" s="122"/>
      <c r="DR439" s="122"/>
      <c r="DS439" s="122"/>
      <c r="DT439" s="122"/>
      <c r="DU439" s="122"/>
      <c r="DV439" s="122"/>
      <c r="DW439" s="122"/>
      <c r="DX439" s="122"/>
      <c r="DY439" s="122"/>
      <c r="DZ439" s="122"/>
      <c r="EA439" s="122"/>
      <c r="EB439" s="122"/>
      <c r="EC439" s="122"/>
      <c r="ED439" s="122"/>
      <c r="EE439" s="122"/>
      <c r="EF439" s="122"/>
      <c r="EG439" s="131"/>
      <c r="EH439" s="122"/>
      <c r="EI439" s="122"/>
      <c r="EJ439" s="122"/>
      <c r="EK439" s="122"/>
      <c r="EL439" s="122"/>
      <c r="EM439" s="122"/>
      <c r="EN439" s="122"/>
      <c r="EO439" s="122"/>
      <c r="EP439" s="122"/>
      <c r="EQ439" s="122">
        <v>30000</v>
      </c>
      <c r="ER439" s="122"/>
      <c r="ES439" s="126"/>
      <c r="ET439" s="126"/>
      <c r="EU439" s="126"/>
      <c r="EV439" s="66"/>
      <c r="EW439" s="126"/>
      <c r="EX439" s="144">
        <v>-1485</v>
      </c>
      <c r="EY439" s="126"/>
      <c r="EZ439" s="126"/>
      <c r="FA439" s="126"/>
      <c r="FB439" s="126"/>
      <c r="FC439" s="224">
        <v>-13410.1</v>
      </c>
      <c r="FD439" s="126"/>
      <c r="FE439" s="126"/>
      <c r="FF439" s="126"/>
      <c r="FG439" s="126"/>
      <c r="FH439" s="126"/>
      <c r="FI439" s="66">
        <f t="shared" si="518"/>
        <v>0</v>
      </c>
      <c r="FJ439" s="66">
        <f t="shared" si="519"/>
        <v>0</v>
      </c>
      <c r="FK439" s="66">
        <f t="shared" si="520"/>
        <v>-14895.1</v>
      </c>
      <c r="FL439" s="173">
        <f t="shared" si="521"/>
        <v>15104.9</v>
      </c>
      <c r="FM439" s="123"/>
    </row>
    <row r="440" spans="1:169" hidden="1" outlineLevel="1" x14ac:dyDescent="0.2">
      <c r="A440" s="76" t="s">
        <v>224</v>
      </c>
      <c r="B440" s="77" t="s">
        <v>310</v>
      </c>
      <c r="C440" s="76" t="s">
        <v>225</v>
      </c>
      <c r="D440" s="76" t="s">
        <v>289</v>
      </c>
      <c r="E440" s="77" t="s">
        <v>228</v>
      </c>
      <c r="F440" s="77" t="s">
        <v>716</v>
      </c>
      <c r="G440" s="77" t="str">
        <f t="shared" ref="G440:G457" si="525">IF(S440&gt;0, "1", "0")</f>
        <v>0</v>
      </c>
      <c r="H440" s="77" t="str">
        <f t="shared" ref="H440:H457" si="526">IF(AW440&gt;0, "1", "0")</f>
        <v>0</v>
      </c>
      <c r="I440" s="77" t="str">
        <f t="shared" ref="I440:I457" si="527">IF(CC440&gt;0, "1", "0")</f>
        <v>0</v>
      </c>
      <c r="J440" s="77" t="str">
        <f t="shared" ref="J440:J457" si="528">IF(DJ440&gt;0, "1", "0")</f>
        <v>0</v>
      </c>
      <c r="K440" s="77" t="str">
        <f t="shared" ref="K440:K457" si="529">CONCATENATE(G440,H440,I440,J440)</f>
        <v>0000</v>
      </c>
      <c r="L440" s="77" t="str">
        <f>IFERROR(VLOOKUP(K440,Sheet2!$A$20:$B$23,2,FALSE),"X")</f>
        <v>X</v>
      </c>
      <c r="M440" s="77" t="str">
        <f t="shared" si="517"/>
        <v>21806486Turnaround Network</v>
      </c>
      <c r="N440" s="76" t="s">
        <v>315</v>
      </c>
      <c r="O440" s="76" t="s">
        <v>160</v>
      </c>
      <c r="P440" s="69" t="s">
        <v>168</v>
      </c>
      <c r="Q440" s="78"/>
      <c r="R440" s="78"/>
      <c r="AR440" s="79">
        <f t="shared" ref="AR440:AR457" si="530">SUMIF($T$2:$AQ$2,$AR$2,$T440:$AQ440)</f>
        <v>0</v>
      </c>
      <c r="AS440" s="79">
        <f t="shared" ref="AS440:AS457" si="531">SUMIF($T$2:$AQ$2,$AS$2,$T440:$AQ440)</f>
        <v>0</v>
      </c>
      <c r="AT440" s="79">
        <v>9285</v>
      </c>
      <c r="AV440" s="79"/>
      <c r="BV440" s="79">
        <f t="shared" ref="BV440:BV457" si="532">SUMIF($AX$2:$BU$2,$BV$2,$AX440:$BU440)</f>
        <v>0</v>
      </c>
      <c r="BW440" s="79">
        <f t="shared" ref="BW440:BW457" si="533">SUMIF($AX$2:$BU$2,$BW$2,$AX440:$BU440)</f>
        <v>0</v>
      </c>
      <c r="BX440" s="79">
        <f t="shared" ref="BX440:BX457" si="534">AT440+AV440+AW440+(BV440+BW440)</f>
        <v>9285</v>
      </c>
      <c r="CD440" s="79">
        <v>-3372</v>
      </c>
      <c r="CJ440" s="79">
        <v>-5771</v>
      </c>
      <c r="CV440" s="79">
        <v>-142</v>
      </c>
      <c r="DB440" s="79">
        <f t="shared" ref="DB440:DB457" si="535">SUMIF($CD$2:$DA$2,$DB$2,$CD440:$DA440)</f>
        <v>-3372</v>
      </c>
      <c r="DC440" s="79">
        <f t="shared" ref="DC440:DC457" si="536">SUMIF($CD$2:$DA$2,$DC$2,$CD440:$DA440)</f>
        <v>-5913</v>
      </c>
      <c r="DD440" s="79">
        <f t="shared" ref="DD440:DD457" si="537">SUMIF($CD$2:$DA$2,$DD$2,$CD440:$DA440)</f>
        <v>0</v>
      </c>
      <c r="DE440" s="79">
        <f t="shared" ref="DE440:DE457" si="538">BX440+CA440+BZ440+CC440+(DB440+DC440+DD440)</f>
        <v>0</v>
      </c>
      <c r="DP440" s="131"/>
      <c r="EJ440" s="79">
        <f t="shared" ref="EJ440:EJ457" si="539">SUMIF($DK$2:$EI$2,$EJ$2,$DK440:$EI440)</f>
        <v>0</v>
      </c>
      <c r="EK440" s="79">
        <f t="shared" ref="EK440:EK457" si="540">SUMIF($DK$2:$EI$2,$EK$2,$DK440:$EI440)</f>
        <v>0</v>
      </c>
      <c r="EL440" s="79">
        <f t="shared" ref="EL440:EL457" si="541">SUMIF($DK$2:$EI$2,$EL$2,$DK440:$EI440)</f>
        <v>0</v>
      </c>
      <c r="EM440" s="79">
        <f t="shared" si="523"/>
        <v>0</v>
      </c>
      <c r="FI440" s="66">
        <f t="shared" si="518"/>
        <v>0</v>
      </c>
      <c r="FJ440" s="66">
        <f t="shared" si="519"/>
        <v>0</v>
      </c>
      <c r="FK440" s="66">
        <f t="shared" si="520"/>
        <v>0</v>
      </c>
      <c r="FL440" s="173">
        <f t="shared" si="521"/>
        <v>0</v>
      </c>
    </row>
    <row r="441" spans="1:169" hidden="1" outlineLevel="1" x14ac:dyDescent="0.2">
      <c r="A441" s="76" t="s">
        <v>224</v>
      </c>
      <c r="B441" s="77" t="s">
        <v>319</v>
      </c>
      <c r="C441" s="76" t="s">
        <v>225</v>
      </c>
      <c r="D441" s="76" t="s">
        <v>289</v>
      </c>
      <c r="E441" s="77" t="s">
        <v>228</v>
      </c>
      <c r="F441" s="77" t="s">
        <v>716</v>
      </c>
      <c r="G441" s="77" t="str">
        <f t="shared" si="525"/>
        <v>1</v>
      </c>
      <c r="H441" s="77" t="str">
        <f t="shared" si="526"/>
        <v>0</v>
      </c>
      <c r="I441" s="77" t="str">
        <f t="shared" si="527"/>
        <v>0</v>
      </c>
      <c r="J441" s="77" t="str">
        <f t="shared" si="528"/>
        <v>0</v>
      </c>
      <c r="K441" s="77" t="str">
        <f t="shared" si="529"/>
        <v>1000</v>
      </c>
      <c r="L441" s="77" t="str">
        <f>IFERROR(VLOOKUP(K441,Sheet2!$A$20:$B$23,2,FALSE),"X")</f>
        <v>01</v>
      </c>
      <c r="M441" s="77" t="str">
        <f t="shared" si="517"/>
        <v>21806490Turnaround Network</v>
      </c>
      <c r="N441" s="76" t="s">
        <v>161</v>
      </c>
      <c r="O441" s="76" t="s">
        <v>160</v>
      </c>
      <c r="P441" s="69" t="s">
        <v>168</v>
      </c>
      <c r="Q441" s="78">
        <v>43229</v>
      </c>
      <c r="R441" s="78">
        <v>43229</v>
      </c>
      <c r="S441" s="79">
        <v>100631</v>
      </c>
      <c r="AR441" s="79">
        <f t="shared" si="530"/>
        <v>0</v>
      </c>
      <c r="AS441" s="79">
        <f t="shared" si="531"/>
        <v>0</v>
      </c>
      <c r="AT441" s="79">
        <f>S441+(AR441+AS441)</f>
        <v>100631</v>
      </c>
      <c r="AU441" s="158" t="s">
        <v>336</v>
      </c>
      <c r="AV441" s="97">
        <f>25000+(25000*0.0594)</f>
        <v>26485</v>
      </c>
      <c r="AZ441" s="79">
        <v>-21470</v>
      </c>
      <c r="BD441" s="79">
        <v>-32413</v>
      </c>
      <c r="BL441" s="79">
        <v>-38483</v>
      </c>
      <c r="BV441" s="79">
        <f t="shared" si="532"/>
        <v>-92366</v>
      </c>
      <c r="BW441" s="79">
        <f t="shared" si="533"/>
        <v>0</v>
      </c>
      <c r="BX441" s="79">
        <f t="shared" si="534"/>
        <v>34750</v>
      </c>
      <c r="BY441" s="79"/>
      <c r="CD441" s="79">
        <v>-8265</v>
      </c>
      <c r="CZ441" s="79">
        <v>-25000</v>
      </c>
      <c r="DB441" s="79">
        <f t="shared" si="535"/>
        <v>-8265</v>
      </c>
      <c r="DC441" s="79">
        <f t="shared" si="536"/>
        <v>-25000</v>
      </c>
      <c r="DD441" s="79">
        <f t="shared" si="537"/>
        <v>0</v>
      </c>
      <c r="DE441" s="79">
        <f t="shared" si="538"/>
        <v>1485</v>
      </c>
      <c r="DF441" s="79"/>
      <c r="DP441" s="131"/>
      <c r="EJ441" s="79">
        <f t="shared" si="539"/>
        <v>0</v>
      </c>
      <c r="EK441" s="79">
        <f t="shared" si="540"/>
        <v>0</v>
      </c>
      <c r="EL441" s="79">
        <f t="shared" si="541"/>
        <v>0</v>
      </c>
      <c r="EM441" s="79">
        <f t="shared" si="523"/>
        <v>1485</v>
      </c>
      <c r="FI441" s="66">
        <f t="shared" si="518"/>
        <v>0</v>
      </c>
      <c r="FJ441" s="66">
        <f t="shared" si="519"/>
        <v>0</v>
      </c>
      <c r="FK441" s="66">
        <f t="shared" si="520"/>
        <v>0</v>
      </c>
      <c r="FL441" s="173">
        <f t="shared" si="521"/>
        <v>1485</v>
      </c>
    </row>
    <row r="442" spans="1:169" hidden="1" outlineLevel="1" x14ac:dyDescent="0.2">
      <c r="A442" s="76" t="s">
        <v>224</v>
      </c>
      <c r="B442" s="77" t="s">
        <v>320</v>
      </c>
      <c r="C442" s="76" t="s">
        <v>225</v>
      </c>
      <c r="D442" s="76" t="s">
        <v>290</v>
      </c>
      <c r="E442" s="77" t="s">
        <v>228</v>
      </c>
      <c r="F442" s="77" t="s">
        <v>716</v>
      </c>
      <c r="G442" s="77" t="str">
        <f t="shared" si="525"/>
        <v>1</v>
      </c>
      <c r="H442" s="77" t="str">
        <f t="shared" si="526"/>
        <v>0</v>
      </c>
      <c r="I442" s="77" t="str">
        <f t="shared" si="527"/>
        <v>0</v>
      </c>
      <c r="J442" s="77" t="str">
        <f t="shared" si="528"/>
        <v>0</v>
      </c>
      <c r="K442" s="77" t="str">
        <f t="shared" si="529"/>
        <v>1000</v>
      </c>
      <c r="L442" s="77" t="str">
        <f>IFERROR(VLOOKUP(K442,Sheet2!$A$20:$B$23,2,FALSE),"X")</f>
        <v>01</v>
      </c>
      <c r="M442" s="77" t="str">
        <f t="shared" si="517"/>
        <v>21807106Turnaround Network</v>
      </c>
      <c r="N442" s="76" t="s">
        <v>161</v>
      </c>
      <c r="O442" s="76" t="s">
        <v>160</v>
      </c>
      <c r="P442" s="69" t="s">
        <v>168</v>
      </c>
      <c r="Q442" s="78">
        <v>43229</v>
      </c>
      <c r="R442" s="78">
        <v>43229</v>
      </c>
      <c r="S442" s="79">
        <v>125997</v>
      </c>
      <c r="AR442" s="79">
        <f t="shared" si="530"/>
        <v>0</v>
      </c>
      <c r="AS442" s="79">
        <f t="shared" si="531"/>
        <v>0</v>
      </c>
      <c r="AT442" s="79">
        <f>S442+(AR442+AS442)</f>
        <v>125997</v>
      </c>
      <c r="AU442" s="79"/>
      <c r="AV442" s="79"/>
      <c r="BB442" s="79">
        <v>-27142</v>
      </c>
      <c r="BL442" s="79">
        <v>-19346</v>
      </c>
      <c r="BV442" s="79">
        <f t="shared" si="532"/>
        <v>-46488</v>
      </c>
      <c r="BW442" s="79">
        <f t="shared" si="533"/>
        <v>0</v>
      </c>
      <c r="BX442" s="79">
        <f t="shared" si="534"/>
        <v>79509</v>
      </c>
      <c r="BY442" s="158" t="s">
        <v>341</v>
      </c>
      <c r="BZ442" s="79">
        <v>25000</v>
      </c>
      <c r="CD442" s="79">
        <v>-7225</v>
      </c>
      <c r="CJ442" s="79">
        <v>-72284</v>
      </c>
      <c r="DB442" s="79">
        <f t="shared" si="535"/>
        <v>-7225</v>
      </c>
      <c r="DC442" s="79">
        <f t="shared" si="536"/>
        <v>-72284</v>
      </c>
      <c r="DD442" s="79">
        <f t="shared" si="537"/>
        <v>0</v>
      </c>
      <c r="DE442" s="79">
        <f t="shared" si="538"/>
        <v>25000</v>
      </c>
      <c r="DG442" s="79">
        <v>47290.5</v>
      </c>
      <c r="DM442" s="79">
        <v>-15658.05</v>
      </c>
      <c r="DP442" s="131"/>
      <c r="DW442" s="79">
        <v>-7286.99</v>
      </c>
      <c r="DY442" s="79">
        <f>-(2054.96+6663.78)</f>
        <v>-8718.74</v>
      </c>
      <c r="EJ442" s="79">
        <f t="shared" si="539"/>
        <v>0</v>
      </c>
      <c r="EK442" s="79">
        <f t="shared" si="540"/>
        <v>-31663.78</v>
      </c>
      <c r="EL442" s="79">
        <f t="shared" si="541"/>
        <v>0</v>
      </c>
      <c r="EM442" s="79">
        <f t="shared" si="523"/>
        <v>40626.720000000001</v>
      </c>
      <c r="ES442" s="66">
        <v>-14259.51</v>
      </c>
      <c r="FC442" s="224">
        <v>-16690.89</v>
      </c>
      <c r="FI442" s="66">
        <f t="shared" si="518"/>
        <v>0</v>
      </c>
      <c r="FJ442" s="66">
        <f t="shared" si="519"/>
        <v>0</v>
      </c>
      <c r="FK442" s="66">
        <f t="shared" si="520"/>
        <v>-30950.400000000001</v>
      </c>
      <c r="FL442" s="173">
        <f t="shared" si="521"/>
        <v>9676.32</v>
      </c>
    </row>
    <row r="443" spans="1:169" hidden="1" outlineLevel="1" x14ac:dyDescent="0.2">
      <c r="A443" s="76" t="s">
        <v>224</v>
      </c>
      <c r="B443" s="77" t="s">
        <v>34</v>
      </c>
      <c r="C443" s="76" t="s">
        <v>225</v>
      </c>
      <c r="D443" s="76" t="s">
        <v>111</v>
      </c>
      <c r="E443" s="77" t="s">
        <v>228</v>
      </c>
      <c r="F443" s="77" t="s">
        <v>716</v>
      </c>
      <c r="G443" s="77" t="str">
        <f t="shared" si="525"/>
        <v>1</v>
      </c>
      <c r="H443" s="77" t="str">
        <f t="shared" si="526"/>
        <v>1</v>
      </c>
      <c r="I443" s="77" t="str">
        <f t="shared" si="527"/>
        <v>0</v>
      </c>
      <c r="J443" s="77" t="str">
        <f t="shared" si="528"/>
        <v>0</v>
      </c>
      <c r="K443" s="77" t="str">
        <f t="shared" si="529"/>
        <v>1100</v>
      </c>
      <c r="L443" s="77" t="str">
        <f>IFERROR(VLOOKUP(K443,Sheet2!$A$20:$B$23,2,FALSE),"X")</f>
        <v>X</v>
      </c>
      <c r="M443" s="77" t="str">
        <f t="shared" si="517"/>
        <v>2180N/ATurnaround Network</v>
      </c>
      <c r="N443" s="76" t="s">
        <v>161</v>
      </c>
      <c r="O443" s="76" t="s">
        <v>160</v>
      </c>
      <c r="P443" s="69" t="s">
        <v>168</v>
      </c>
      <c r="Q443" s="78">
        <v>43229</v>
      </c>
      <c r="R443" s="78">
        <v>43229</v>
      </c>
      <c r="S443" s="79">
        <v>52843</v>
      </c>
      <c r="AR443" s="79">
        <f t="shared" si="530"/>
        <v>0</v>
      </c>
      <c r="AS443" s="79">
        <f t="shared" si="531"/>
        <v>0</v>
      </c>
      <c r="AT443" s="79">
        <f>S443+(AR443+AS443)</f>
        <v>52843</v>
      </c>
      <c r="AU443" s="158" t="s">
        <v>336</v>
      </c>
      <c r="AV443" s="79"/>
      <c r="AW443" s="97">
        <f>40000+(40000*0.0594)</f>
        <v>42376</v>
      </c>
      <c r="AZ443" s="79">
        <v>-1947</v>
      </c>
      <c r="BL443" s="79">
        <v>-14940</v>
      </c>
      <c r="BV443" s="79">
        <f t="shared" si="532"/>
        <v>-16887</v>
      </c>
      <c r="BW443" s="79">
        <f t="shared" si="533"/>
        <v>0</v>
      </c>
      <c r="BX443" s="79">
        <f t="shared" si="534"/>
        <v>78332</v>
      </c>
      <c r="BY443" s="79"/>
      <c r="CD443" s="79">
        <v>-27124</v>
      </c>
      <c r="CN443" s="79">
        <v>-41524.57</v>
      </c>
      <c r="DB443" s="79">
        <f t="shared" si="535"/>
        <v>-27124</v>
      </c>
      <c r="DC443" s="79">
        <f t="shared" si="536"/>
        <v>-41524.57</v>
      </c>
      <c r="DD443" s="79">
        <f t="shared" si="537"/>
        <v>0</v>
      </c>
      <c r="DE443" s="79">
        <f t="shared" si="538"/>
        <v>9683.429999999993</v>
      </c>
      <c r="DF443" s="79"/>
      <c r="DG443" s="79">
        <v>94581</v>
      </c>
      <c r="DP443" s="131"/>
      <c r="DY443" s="79">
        <v>-1462.17</v>
      </c>
      <c r="EJ443" s="79">
        <f t="shared" si="539"/>
        <v>0</v>
      </c>
      <c r="EK443" s="79">
        <f t="shared" si="540"/>
        <v>-1462.17</v>
      </c>
      <c r="EL443" s="79">
        <f t="shared" si="541"/>
        <v>0</v>
      </c>
      <c r="EM443" s="79">
        <f t="shared" si="523"/>
        <v>102802.26</v>
      </c>
      <c r="ES443" s="66">
        <v>-52966.05</v>
      </c>
      <c r="EU443" s="66">
        <v>-37549.300000000003</v>
      </c>
      <c r="EX443" s="144">
        <v>-9366.24</v>
      </c>
      <c r="FI443" s="66">
        <f t="shared" si="518"/>
        <v>0</v>
      </c>
      <c r="FJ443" s="66">
        <f t="shared" si="519"/>
        <v>0</v>
      </c>
      <c r="FK443" s="66">
        <f t="shared" si="520"/>
        <v>-99881.590000000011</v>
      </c>
      <c r="FL443" s="173">
        <f t="shared" si="521"/>
        <v>2920.6699999999837</v>
      </c>
    </row>
    <row r="444" spans="1:169" hidden="1" outlineLevel="1" x14ac:dyDescent="0.2">
      <c r="A444" s="76" t="s">
        <v>19</v>
      </c>
      <c r="B444" s="77" t="s">
        <v>311</v>
      </c>
      <c r="C444" s="76" t="s">
        <v>98</v>
      </c>
      <c r="D444" s="76" t="s">
        <v>312</v>
      </c>
      <c r="E444" s="77" t="s">
        <v>228</v>
      </c>
      <c r="F444" s="77" t="s">
        <v>716</v>
      </c>
      <c r="G444" s="77" t="str">
        <f t="shared" si="525"/>
        <v>0</v>
      </c>
      <c r="H444" s="77" t="str">
        <f t="shared" si="526"/>
        <v>0</v>
      </c>
      <c r="I444" s="77" t="str">
        <f t="shared" si="527"/>
        <v>0</v>
      </c>
      <c r="J444" s="77" t="str">
        <f t="shared" si="528"/>
        <v>0</v>
      </c>
      <c r="K444" s="77" t="str">
        <f t="shared" si="529"/>
        <v>0000</v>
      </c>
      <c r="L444" s="77" t="str">
        <f>IFERROR(VLOOKUP(K444,Sheet2!$A$20:$B$23,2,FALSE),"X")</f>
        <v>X</v>
      </c>
      <c r="M444" s="77" t="str">
        <f t="shared" si="517"/>
        <v>26901304Turnaround Network</v>
      </c>
      <c r="N444" s="76" t="s">
        <v>315</v>
      </c>
      <c r="O444" s="76" t="s">
        <v>160</v>
      </c>
      <c r="P444" s="69" t="s">
        <v>168</v>
      </c>
      <c r="Q444" s="78">
        <v>43229</v>
      </c>
      <c r="R444" s="78">
        <v>43229</v>
      </c>
      <c r="AR444" s="79">
        <f t="shared" si="530"/>
        <v>0</v>
      </c>
      <c r="AS444" s="79">
        <f t="shared" si="531"/>
        <v>0</v>
      </c>
      <c r="AT444" s="79">
        <v>204</v>
      </c>
      <c r="AV444" s="79"/>
      <c r="BV444" s="79">
        <f t="shared" si="532"/>
        <v>0</v>
      </c>
      <c r="BW444" s="79">
        <f t="shared" si="533"/>
        <v>0</v>
      </c>
      <c r="BX444" s="79">
        <f t="shared" si="534"/>
        <v>204</v>
      </c>
      <c r="DB444" s="79">
        <f t="shared" si="535"/>
        <v>0</v>
      </c>
      <c r="DC444" s="79">
        <f t="shared" si="536"/>
        <v>0</v>
      </c>
      <c r="DD444" s="79">
        <f t="shared" si="537"/>
        <v>0</v>
      </c>
      <c r="DE444" s="79">
        <f t="shared" si="538"/>
        <v>204</v>
      </c>
      <c r="DP444" s="131"/>
      <c r="EJ444" s="79">
        <f t="shared" si="539"/>
        <v>0</v>
      </c>
      <c r="EK444" s="79">
        <f t="shared" si="540"/>
        <v>0</v>
      </c>
      <c r="EL444" s="79">
        <f t="shared" si="541"/>
        <v>0</v>
      </c>
      <c r="EM444" s="79">
        <f t="shared" si="523"/>
        <v>204</v>
      </c>
      <c r="FI444" s="66">
        <f t="shared" si="518"/>
        <v>0</v>
      </c>
      <c r="FJ444" s="66">
        <f t="shared" si="519"/>
        <v>0</v>
      </c>
      <c r="FK444" s="66">
        <f t="shared" si="520"/>
        <v>0</v>
      </c>
      <c r="FL444" s="173">
        <f t="shared" si="521"/>
        <v>204</v>
      </c>
    </row>
    <row r="445" spans="1:169" hidden="1" outlineLevel="1" x14ac:dyDescent="0.2">
      <c r="A445" s="76" t="s">
        <v>19</v>
      </c>
      <c r="B445" s="76" t="s">
        <v>440</v>
      </c>
      <c r="C445" s="76" t="s">
        <v>98</v>
      </c>
      <c r="D445" s="76" t="s">
        <v>503</v>
      </c>
      <c r="E445" s="77" t="s">
        <v>228</v>
      </c>
      <c r="F445" s="77" t="s">
        <v>716</v>
      </c>
      <c r="G445" s="77" t="str">
        <f t="shared" si="525"/>
        <v>0</v>
      </c>
      <c r="H445" s="77" t="str">
        <f t="shared" si="526"/>
        <v>1</v>
      </c>
      <c r="I445" s="77" t="str">
        <f t="shared" si="527"/>
        <v>0</v>
      </c>
      <c r="J445" s="77" t="str">
        <f t="shared" si="528"/>
        <v>0</v>
      </c>
      <c r="K445" s="77" t="str">
        <f t="shared" si="529"/>
        <v>0100</v>
      </c>
      <c r="L445" s="77" t="str">
        <f>IFERROR(VLOOKUP(K445,Sheet2!$A$20:$B$23,2,FALSE),"X")</f>
        <v>02</v>
      </c>
      <c r="M445" s="77" t="str">
        <f t="shared" si="517"/>
        <v>26901454Turnaround Network</v>
      </c>
      <c r="O445" s="76" t="s">
        <v>160</v>
      </c>
      <c r="P445" s="69" t="s">
        <v>168</v>
      </c>
      <c r="Q445" s="78"/>
      <c r="R445" s="78"/>
      <c r="AR445" s="79">
        <f t="shared" si="530"/>
        <v>0</v>
      </c>
      <c r="AS445" s="79">
        <f t="shared" si="531"/>
        <v>0</v>
      </c>
      <c r="AT445" s="79">
        <f>S445+(AR445+AS445)</f>
        <v>0</v>
      </c>
      <c r="AU445" s="158" t="s">
        <v>336</v>
      </c>
      <c r="AV445" s="79"/>
      <c r="AW445" s="79">
        <v>80000</v>
      </c>
      <c r="BV445" s="79">
        <f t="shared" si="532"/>
        <v>0</v>
      </c>
      <c r="BW445" s="79">
        <f t="shared" si="533"/>
        <v>0</v>
      </c>
      <c r="BX445" s="79">
        <f t="shared" si="534"/>
        <v>80000</v>
      </c>
      <c r="BY445" s="79"/>
      <c r="CN445" s="79">
        <v>-61962.8</v>
      </c>
      <c r="CT445" s="79">
        <f>-12000-2061.29</f>
        <v>-14061.29</v>
      </c>
      <c r="DB445" s="79">
        <f t="shared" si="535"/>
        <v>0</v>
      </c>
      <c r="DC445" s="79">
        <f t="shared" si="536"/>
        <v>-76024.09</v>
      </c>
      <c r="DD445" s="79">
        <f t="shared" si="537"/>
        <v>0</v>
      </c>
      <c r="DE445" s="79">
        <f t="shared" si="538"/>
        <v>3975.9100000000035</v>
      </c>
      <c r="DF445" s="79"/>
      <c r="DG445" s="79">
        <v>30000</v>
      </c>
      <c r="DP445" s="131"/>
      <c r="DS445" s="79">
        <v>-2897.16</v>
      </c>
      <c r="EE445" s="79">
        <v>-7617.41</v>
      </c>
      <c r="EI445" s="79">
        <v>-4048.5</v>
      </c>
      <c r="EJ445" s="79">
        <f t="shared" si="539"/>
        <v>0</v>
      </c>
      <c r="EK445" s="79">
        <f t="shared" si="540"/>
        <v>-10514.57</v>
      </c>
      <c r="EL445" s="79">
        <f t="shared" si="541"/>
        <v>-4048.5</v>
      </c>
      <c r="EM445" s="79">
        <f t="shared" si="523"/>
        <v>19412.840000000004</v>
      </c>
      <c r="EW445" s="144">
        <v>-15660.05</v>
      </c>
      <c r="FI445" s="66">
        <f t="shared" si="518"/>
        <v>0</v>
      </c>
      <c r="FJ445" s="66">
        <f t="shared" si="519"/>
        <v>0</v>
      </c>
      <c r="FK445" s="66">
        <f t="shared" si="520"/>
        <v>-15660.05</v>
      </c>
      <c r="FL445" s="173">
        <f t="shared" si="521"/>
        <v>3752.7900000000045</v>
      </c>
    </row>
    <row r="446" spans="1:169" hidden="1" outlineLevel="1" x14ac:dyDescent="0.2">
      <c r="A446" s="76" t="s">
        <v>19</v>
      </c>
      <c r="B446" s="77" t="s">
        <v>245</v>
      </c>
      <c r="C446" s="76" t="s">
        <v>98</v>
      </c>
      <c r="D446" s="76" t="s">
        <v>263</v>
      </c>
      <c r="E446" s="77" t="s">
        <v>228</v>
      </c>
      <c r="F446" s="77" t="s">
        <v>716</v>
      </c>
      <c r="G446" s="77" t="str">
        <f t="shared" si="525"/>
        <v>1</v>
      </c>
      <c r="H446" s="77" t="str">
        <f t="shared" si="526"/>
        <v>1</v>
      </c>
      <c r="I446" s="77" t="str">
        <f t="shared" si="527"/>
        <v>0</v>
      </c>
      <c r="J446" s="77" t="str">
        <f t="shared" si="528"/>
        <v>0</v>
      </c>
      <c r="K446" s="77" t="str">
        <f t="shared" si="529"/>
        <v>1100</v>
      </c>
      <c r="L446" s="77" t="str">
        <f>IFERROR(VLOOKUP(K446,Sheet2!$A$20:$B$23,2,FALSE),"X")</f>
        <v>X</v>
      </c>
      <c r="M446" s="77" t="str">
        <f t="shared" si="517"/>
        <v>26902394Turnaround Network</v>
      </c>
      <c r="N446" s="76" t="s">
        <v>161</v>
      </c>
      <c r="O446" s="76" t="s">
        <v>160</v>
      </c>
      <c r="P446" s="69" t="s">
        <v>168</v>
      </c>
      <c r="Q446" s="78">
        <v>43229</v>
      </c>
      <c r="R446" s="78">
        <v>43229</v>
      </c>
      <c r="S446" s="79">
        <v>50296</v>
      </c>
      <c r="AR446" s="79">
        <f t="shared" si="530"/>
        <v>0</v>
      </c>
      <c r="AS446" s="79">
        <f t="shared" si="531"/>
        <v>0</v>
      </c>
      <c r="AT446" s="79">
        <f>S446+(AR446+AS446)</f>
        <v>50296</v>
      </c>
      <c r="AU446" s="79" t="s">
        <v>336</v>
      </c>
      <c r="AV446" s="79"/>
      <c r="AW446" s="79">
        <v>80000</v>
      </c>
      <c r="BF446" s="79">
        <v>-33911</v>
      </c>
      <c r="BH446" s="79">
        <v>-10192</v>
      </c>
      <c r="BV446" s="79">
        <f t="shared" si="532"/>
        <v>-44103</v>
      </c>
      <c r="BW446" s="79">
        <f t="shared" si="533"/>
        <v>0</v>
      </c>
      <c r="BX446" s="79">
        <f t="shared" si="534"/>
        <v>86193</v>
      </c>
      <c r="BY446" s="79"/>
      <c r="CH446" s="79">
        <v>-13318</v>
      </c>
      <c r="CN446" s="79">
        <v>-11493.2</v>
      </c>
      <c r="CV446" s="79">
        <v>-30606.560000000001</v>
      </c>
      <c r="CZ446" s="79">
        <v>-486</v>
      </c>
      <c r="DB446" s="79">
        <f t="shared" si="535"/>
        <v>0</v>
      </c>
      <c r="DC446" s="79">
        <f t="shared" si="536"/>
        <v>-55903.76</v>
      </c>
      <c r="DD446" s="79">
        <f t="shared" si="537"/>
        <v>0</v>
      </c>
      <c r="DE446" s="79">
        <f t="shared" si="538"/>
        <v>30289.239999999998</v>
      </c>
      <c r="DF446" s="79"/>
      <c r="DG446" s="79">
        <v>30000</v>
      </c>
      <c r="DP446" s="131"/>
      <c r="DQ446" s="79">
        <v>-3066.47</v>
      </c>
      <c r="DS446" s="79">
        <v>-4748</v>
      </c>
      <c r="DU446" s="79">
        <v>-5708.04</v>
      </c>
      <c r="DW446" s="79">
        <v>-500</v>
      </c>
      <c r="DY446" s="79">
        <v>-6967.09</v>
      </c>
      <c r="EA446" s="79">
        <v>-4671</v>
      </c>
      <c r="EC446" s="79">
        <v>-921</v>
      </c>
      <c r="EE446" s="79">
        <v>-6950</v>
      </c>
      <c r="EI446" s="79">
        <v>-3758.05</v>
      </c>
      <c r="EJ446" s="79">
        <f t="shared" si="539"/>
        <v>0</v>
      </c>
      <c r="EK446" s="79">
        <f t="shared" si="540"/>
        <v>-33531.599999999999</v>
      </c>
      <c r="EL446" s="79">
        <f t="shared" si="541"/>
        <v>-3758.05</v>
      </c>
      <c r="EM446" s="79">
        <f t="shared" si="523"/>
        <v>22999.589999999997</v>
      </c>
      <c r="EW446" s="144">
        <v>-2476</v>
      </c>
      <c r="FC446" s="224">
        <v>-3663.06</v>
      </c>
      <c r="FI446" s="66">
        <f t="shared" si="518"/>
        <v>0</v>
      </c>
      <c r="FJ446" s="66">
        <f t="shared" si="519"/>
        <v>0</v>
      </c>
      <c r="FK446" s="66">
        <f t="shared" si="520"/>
        <v>-6139.0599999999995</v>
      </c>
      <c r="FL446" s="173">
        <f t="shared" si="521"/>
        <v>16860.53</v>
      </c>
    </row>
    <row r="447" spans="1:169" outlineLevel="1" x14ac:dyDescent="0.2">
      <c r="A447" s="76" t="s">
        <v>19</v>
      </c>
      <c r="B447" s="77" t="s">
        <v>246</v>
      </c>
      <c r="C447" s="76" t="s">
        <v>98</v>
      </c>
      <c r="D447" s="76" t="s">
        <v>264</v>
      </c>
      <c r="E447" s="77" t="s">
        <v>228</v>
      </c>
      <c r="F447" s="77" t="s">
        <v>716</v>
      </c>
      <c r="G447" s="77" t="str">
        <f t="shared" si="525"/>
        <v>1</v>
      </c>
      <c r="H447" s="77" t="str">
        <f t="shared" si="526"/>
        <v>1</v>
      </c>
      <c r="I447" s="77" t="str">
        <f t="shared" si="527"/>
        <v>0</v>
      </c>
      <c r="J447" s="77" t="str">
        <f t="shared" si="528"/>
        <v>0</v>
      </c>
      <c r="K447" s="77" t="str">
        <f t="shared" si="529"/>
        <v>1100</v>
      </c>
      <c r="L447" s="77" t="str">
        <f>IFERROR(VLOOKUP(K447,Sheet2!$A$20:$B$23,2,FALSE),"X")</f>
        <v>X</v>
      </c>
      <c r="M447" s="77" t="str">
        <f t="shared" si="517"/>
        <v>26903976Turnaround Network</v>
      </c>
      <c r="N447" s="76" t="s">
        <v>161</v>
      </c>
      <c r="O447" s="76" t="s">
        <v>160</v>
      </c>
      <c r="P447" s="69" t="s">
        <v>168</v>
      </c>
      <c r="Q447" s="78">
        <v>43229</v>
      </c>
      <c r="R447" s="78">
        <v>43229</v>
      </c>
      <c r="S447" s="79">
        <v>50196</v>
      </c>
      <c r="AR447" s="79">
        <f t="shared" si="530"/>
        <v>0</v>
      </c>
      <c r="AS447" s="79">
        <f t="shared" si="531"/>
        <v>0</v>
      </c>
      <c r="AT447" s="79">
        <f>S447+(AR447+AS447)</f>
        <v>50196</v>
      </c>
      <c r="AU447" s="158" t="s">
        <v>336</v>
      </c>
      <c r="AV447" s="79"/>
      <c r="AW447" s="79">
        <v>80000</v>
      </c>
      <c r="BF447" s="79">
        <v>-5482</v>
      </c>
      <c r="BH447" s="79">
        <v>-668</v>
      </c>
      <c r="BJ447" s="79">
        <v>-11618</v>
      </c>
      <c r="BL447" s="79">
        <v>-2550</v>
      </c>
      <c r="BN447" s="79">
        <v>-8622</v>
      </c>
      <c r="BT447" s="79">
        <v>-13444</v>
      </c>
      <c r="BV447" s="79">
        <f t="shared" si="532"/>
        <v>-42384</v>
      </c>
      <c r="BW447" s="79">
        <f t="shared" si="533"/>
        <v>0</v>
      </c>
      <c r="BX447" s="79">
        <f t="shared" si="534"/>
        <v>87812</v>
      </c>
      <c r="BY447" s="79"/>
      <c r="CH447" s="79">
        <v>-3578</v>
      </c>
      <c r="CN447" s="79">
        <v>-52255.55</v>
      </c>
      <c r="CR447" s="79">
        <v>-18096.59</v>
      </c>
      <c r="DB447" s="79">
        <f t="shared" si="535"/>
        <v>0</v>
      </c>
      <c r="DC447" s="79">
        <f t="shared" si="536"/>
        <v>-73930.14</v>
      </c>
      <c r="DD447" s="79">
        <f t="shared" si="537"/>
        <v>0</v>
      </c>
      <c r="DE447" s="79">
        <f t="shared" si="538"/>
        <v>13881.86</v>
      </c>
      <c r="DF447" s="79"/>
      <c r="DG447" s="79">
        <v>30000</v>
      </c>
      <c r="DP447" s="131"/>
      <c r="DS447" s="79">
        <f>-(13881.86+21637.36)</f>
        <v>-35519.22</v>
      </c>
      <c r="DU447" s="79">
        <v>-457.14</v>
      </c>
      <c r="DW447" s="79">
        <v>-36</v>
      </c>
      <c r="EJ447" s="79">
        <f t="shared" si="539"/>
        <v>0</v>
      </c>
      <c r="EK447" s="79">
        <f t="shared" si="540"/>
        <v>-36012.36</v>
      </c>
      <c r="EL447" s="79">
        <f t="shared" si="541"/>
        <v>0</v>
      </c>
      <c r="EM447" s="79">
        <f t="shared" si="523"/>
        <v>7869.5</v>
      </c>
      <c r="EW447" s="144">
        <v>-456.07</v>
      </c>
      <c r="FI447" s="66">
        <f t="shared" si="518"/>
        <v>0</v>
      </c>
      <c r="FJ447" s="66">
        <f t="shared" si="519"/>
        <v>0</v>
      </c>
      <c r="FK447" s="66">
        <f t="shared" si="520"/>
        <v>-456.07</v>
      </c>
      <c r="FL447" s="173">
        <f t="shared" si="521"/>
        <v>7413.43</v>
      </c>
    </row>
    <row r="448" spans="1:169" hidden="1" outlineLevel="1" x14ac:dyDescent="0.2">
      <c r="A448" s="76" t="s">
        <v>19</v>
      </c>
      <c r="B448" s="77" t="s">
        <v>313</v>
      </c>
      <c r="C448" s="76" t="s">
        <v>98</v>
      </c>
      <c r="D448" s="76" t="s">
        <v>314</v>
      </c>
      <c r="E448" s="77" t="s">
        <v>228</v>
      </c>
      <c r="F448" s="77" t="s">
        <v>716</v>
      </c>
      <c r="G448" s="77" t="str">
        <f t="shared" si="525"/>
        <v>0</v>
      </c>
      <c r="H448" s="77" t="str">
        <f t="shared" si="526"/>
        <v>0</v>
      </c>
      <c r="I448" s="77" t="str">
        <f t="shared" si="527"/>
        <v>0</v>
      </c>
      <c r="J448" s="77" t="str">
        <f t="shared" si="528"/>
        <v>0</v>
      </c>
      <c r="K448" s="77" t="str">
        <f t="shared" si="529"/>
        <v>0000</v>
      </c>
      <c r="L448" s="77" t="str">
        <f>IFERROR(VLOOKUP(K448,Sheet2!$A$20:$B$23,2,FALSE),"X")</f>
        <v>X</v>
      </c>
      <c r="M448" s="77" t="str">
        <f t="shared" si="517"/>
        <v>26905048Turnaround Network</v>
      </c>
      <c r="N448" s="76" t="s">
        <v>315</v>
      </c>
      <c r="O448" s="76" t="s">
        <v>160</v>
      </c>
      <c r="P448" s="69" t="s">
        <v>168</v>
      </c>
      <c r="Q448" s="78">
        <v>43229</v>
      </c>
      <c r="R448" s="78">
        <v>43229</v>
      </c>
      <c r="AR448" s="79">
        <f t="shared" si="530"/>
        <v>0</v>
      </c>
      <c r="AS448" s="79">
        <f t="shared" si="531"/>
        <v>0</v>
      </c>
      <c r="AT448" s="79">
        <v>225</v>
      </c>
      <c r="AV448" s="79"/>
      <c r="BV448" s="79">
        <f t="shared" si="532"/>
        <v>0</v>
      </c>
      <c r="BW448" s="79">
        <f t="shared" si="533"/>
        <v>0</v>
      </c>
      <c r="BX448" s="79">
        <f t="shared" si="534"/>
        <v>225</v>
      </c>
      <c r="DB448" s="79">
        <f t="shared" si="535"/>
        <v>0</v>
      </c>
      <c r="DC448" s="79">
        <f t="shared" si="536"/>
        <v>0</v>
      </c>
      <c r="DD448" s="79">
        <f t="shared" si="537"/>
        <v>0</v>
      </c>
      <c r="DE448" s="79">
        <f t="shared" si="538"/>
        <v>225</v>
      </c>
      <c r="DP448" s="131"/>
      <c r="EJ448" s="79">
        <f t="shared" si="539"/>
        <v>0</v>
      </c>
      <c r="EK448" s="79">
        <f t="shared" si="540"/>
        <v>0</v>
      </c>
      <c r="EL448" s="79">
        <f t="shared" si="541"/>
        <v>0</v>
      </c>
      <c r="EM448" s="79">
        <f t="shared" si="523"/>
        <v>225</v>
      </c>
      <c r="EW448" s="144"/>
      <c r="FI448" s="66">
        <f t="shared" ref="FI448:FI457" si="542">SUMIF($ES$2:$FH$2,$FI$2,$ES448:$FH448)</f>
        <v>0</v>
      </c>
      <c r="FJ448" s="66">
        <f t="shared" ref="FJ448:FJ457" si="543">SUMIF($ES$2:$FH$2,$FJ$2,$ES448:$FH448)</f>
        <v>0</v>
      </c>
      <c r="FK448" s="66">
        <f t="shared" ref="FK448:FK457" si="544">SUMIF($ES$2:$FH$2,$FK$2,$ES448:$FH448)</f>
        <v>0</v>
      </c>
      <c r="FL448" s="173">
        <f t="shared" ref="FL448:FL457" si="545">EM448+EO448+EP448+EQ448+(FK448+FI448+FJ448)</f>
        <v>225</v>
      </c>
    </row>
    <row r="449" spans="1:168" outlineLevel="1" x14ac:dyDescent="0.2">
      <c r="A449" s="76" t="s">
        <v>19</v>
      </c>
      <c r="B449" s="77" t="s">
        <v>247</v>
      </c>
      <c r="C449" s="76" t="s">
        <v>98</v>
      </c>
      <c r="D449" s="76" t="s">
        <v>275</v>
      </c>
      <c r="E449" s="77" t="s">
        <v>228</v>
      </c>
      <c r="F449" s="77" t="s">
        <v>716</v>
      </c>
      <c r="G449" s="77" t="str">
        <f t="shared" si="525"/>
        <v>1</v>
      </c>
      <c r="H449" s="77" t="str">
        <f t="shared" si="526"/>
        <v>1</v>
      </c>
      <c r="I449" s="77" t="str">
        <f t="shared" si="527"/>
        <v>0</v>
      </c>
      <c r="J449" s="77" t="str">
        <f t="shared" si="528"/>
        <v>0</v>
      </c>
      <c r="K449" s="77" t="str">
        <f t="shared" si="529"/>
        <v>1100</v>
      </c>
      <c r="L449" s="77" t="str">
        <f>IFERROR(VLOOKUP(K449,Sheet2!$A$20:$B$23,2,FALSE),"X")</f>
        <v>X</v>
      </c>
      <c r="M449" s="77" t="str">
        <f t="shared" si="517"/>
        <v>26906770Turnaround Network</v>
      </c>
      <c r="N449" s="76" t="s">
        <v>161</v>
      </c>
      <c r="O449" s="76" t="s">
        <v>160</v>
      </c>
      <c r="P449" s="69" t="s">
        <v>168</v>
      </c>
      <c r="Q449" s="78"/>
      <c r="R449" s="78"/>
      <c r="S449" s="79">
        <v>53525</v>
      </c>
      <c r="AR449" s="79">
        <f t="shared" si="530"/>
        <v>0</v>
      </c>
      <c r="AS449" s="79">
        <f t="shared" si="531"/>
        <v>0</v>
      </c>
      <c r="AT449" s="79">
        <f t="shared" ref="AT449:AT457" si="546">S449+(AR449+AS449)</f>
        <v>53525</v>
      </c>
      <c r="AU449" s="79" t="s">
        <v>336</v>
      </c>
      <c r="AV449" s="79"/>
      <c r="AW449" s="79">
        <v>80000</v>
      </c>
      <c r="BH449" s="79">
        <v>-3868</v>
      </c>
      <c r="BJ449" s="79">
        <v>-4673</v>
      </c>
      <c r="BL449" s="79">
        <v>-9255</v>
      </c>
      <c r="BT449" s="79">
        <v>-1968</v>
      </c>
      <c r="BV449" s="79">
        <f t="shared" si="532"/>
        <v>-19764</v>
      </c>
      <c r="BW449" s="79">
        <f t="shared" si="533"/>
        <v>0</v>
      </c>
      <c r="BX449" s="79">
        <f t="shared" si="534"/>
        <v>113761</v>
      </c>
      <c r="BY449" s="79"/>
      <c r="CH449" s="79">
        <v>-17086</v>
      </c>
      <c r="CN449" s="79">
        <v>-8999.44</v>
      </c>
      <c r="CR449" s="79">
        <v>-14791.73</v>
      </c>
      <c r="CX449" s="79">
        <v>-4447.3999999999996</v>
      </c>
      <c r="CZ449" s="79">
        <v>-1044</v>
      </c>
      <c r="DB449" s="79">
        <f t="shared" si="535"/>
        <v>0</v>
      </c>
      <c r="DC449" s="79">
        <f t="shared" si="536"/>
        <v>-46368.57</v>
      </c>
      <c r="DD449" s="79">
        <f t="shared" si="537"/>
        <v>0</v>
      </c>
      <c r="DE449" s="79">
        <f t="shared" si="538"/>
        <v>67392.429999999993</v>
      </c>
      <c r="DF449" s="79"/>
      <c r="DG449" s="79">
        <v>30000</v>
      </c>
      <c r="DP449" s="131"/>
      <c r="DW449" s="79">
        <v>-17183.45</v>
      </c>
      <c r="DY449" s="79">
        <v>-1575.57</v>
      </c>
      <c r="EA449" s="79">
        <v>-2263.0500000000002</v>
      </c>
      <c r="EC449" s="79">
        <v>-2745.05</v>
      </c>
      <c r="EE449" s="79">
        <v>-2263.0500000000002</v>
      </c>
      <c r="EI449" s="79">
        <v>-2621.0500000000002</v>
      </c>
      <c r="EJ449" s="79">
        <f t="shared" si="539"/>
        <v>0</v>
      </c>
      <c r="EK449" s="79">
        <f t="shared" si="540"/>
        <v>-26030.17</v>
      </c>
      <c r="EL449" s="79">
        <f t="shared" si="541"/>
        <v>-2621.0500000000002</v>
      </c>
      <c r="EM449" s="79">
        <f t="shared" si="523"/>
        <v>68741.209999999992</v>
      </c>
      <c r="EW449" s="144">
        <v>-7318.23</v>
      </c>
      <c r="FI449" s="66">
        <f t="shared" si="542"/>
        <v>0</v>
      </c>
      <c r="FJ449" s="66">
        <f t="shared" si="543"/>
        <v>0</v>
      </c>
      <c r="FK449" s="66">
        <f t="shared" si="544"/>
        <v>-7318.23</v>
      </c>
      <c r="FL449" s="173">
        <f t="shared" si="545"/>
        <v>61422.979999999996</v>
      </c>
    </row>
    <row r="450" spans="1:168" hidden="1" outlineLevel="1" x14ac:dyDescent="0.2">
      <c r="A450" s="76" t="s">
        <v>19</v>
      </c>
      <c r="B450" s="77" t="s">
        <v>34</v>
      </c>
      <c r="C450" s="76" t="s">
        <v>98</v>
      </c>
      <c r="D450" s="76" t="s">
        <v>111</v>
      </c>
      <c r="E450" s="77" t="s">
        <v>228</v>
      </c>
      <c r="F450" s="77" t="s">
        <v>716</v>
      </c>
      <c r="G450" s="77" t="str">
        <f t="shared" si="525"/>
        <v>1</v>
      </c>
      <c r="H450" s="77" t="str">
        <f t="shared" si="526"/>
        <v>1</v>
      </c>
      <c r="I450" s="77" t="str">
        <f t="shared" si="527"/>
        <v>0</v>
      </c>
      <c r="J450" s="77" t="str">
        <f t="shared" si="528"/>
        <v>0</v>
      </c>
      <c r="K450" s="77" t="str">
        <f t="shared" si="529"/>
        <v>1100</v>
      </c>
      <c r="L450" s="77" t="str">
        <f>IFERROR(VLOOKUP(K450,Sheet2!$A$20:$B$23,2,FALSE),"X")</f>
        <v>X</v>
      </c>
      <c r="M450" s="77" t="str">
        <f t="shared" ref="M450:M457" si="547">A450&amp;B450&amp;E450</f>
        <v>2690N/ATurnaround Network</v>
      </c>
      <c r="N450" s="76" t="s">
        <v>161</v>
      </c>
      <c r="O450" s="76" t="s">
        <v>160</v>
      </c>
      <c r="P450" s="69" t="s">
        <v>168</v>
      </c>
      <c r="Q450" s="78"/>
      <c r="R450" s="78"/>
      <c r="S450" s="79">
        <v>56202</v>
      </c>
      <c r="AR450" s="79">
        <f t="shared" si="530"/>
        <v>0</v>
      </c>
      <c r="AS450" s="79">
        <f t="shared" si="531"/>
        <v>0</v>
      </c>
      <c r="AT450" s="79">
        <f t="shared" si="546"/>
        <v>56202</v>
      </c>
      <c r="AU450" s="79" t="s">
        <v>336</v>
      </c>
      <c r="AV450" s="79"/>
      <c r="AW450" s="79">
        <v>40000</v>
      </c>
      <c r="BF450" s="79">
        <v>-56202</v>
      </c>
      <c r="BV450" s="79">
        <f t="shared" si="532"/>
        <v>-56202</v>
      </c>
      <c r="BW450" s="79">
        <f t="shared" si="533"/>
        <v>0</v>
      </c>
      <c r="BX450" s="79">
        <f t="shared" si="534"/>
        <v>40000</v>
      </c>
      <c r="BY450" s="79"/>
      <c r="CH450" s="79">
        <v>-40000</v>
      </c>
      <c r="DB450" s="79">
        <f t="shared" si="535"/>
        <v>0</v>
      </c>
      <c r="DC450" s="79">
        <f t="shared" si="536"/>
        <v>-40000</v>
      </c>
      <c r="DD450" s="79">
        <f t="shared" si="537"/>
        <v>0</v>
      </c>
      <c r="DE450" s="79">
        <f t="shared" si="538"/>
        <v>0</v>
      </c>
      <c r="DF450" s="79"/>
      <c r="DG450" s="79">
        <v>40000</v>
      </c>
      <c r="DP450" s="131"/>
      <c r="DS450" s="79">
        <v>-3917</v>
      </c>
      <c r="EC450" s="79">
        <v>-10717.1</v>
      </c>
      <c r="EJ450" s="79">
        <f t="shared" si="539"/>
        <v>0</v>
      </c>
      <c r="EK450" s="79">
        <f t="shared" si="540"/>
        <v>-14634.1</v>
      </c>
      <c r="EL450" s="79">
        <f t="shared" si="541"/>
        <v>0</v>
      </c>
      <c r="EM450" s="79">
        <f t="shared" si="523"/>
        <v>25365.9</v>
      </c>
      <c r="EW450" s="144">
        <v>-4663.4799999999996</v>
      </c>
      <c r="FC450" s="224">
        <v>-3659.74</v>
      </c>
      <c r="FI450" s="66">
        <f t="shared" si="542"/>
        <v>0</v>
      </c>
      <c r="FJ450" s="66">
        <f t="shared" si="543"/>
        <v>0</v>
      </c>
      <c r="FK450" s="66">
        <f t="shared" si="544"/>
        <v>-8323.2199999999993</v>
      </c>
      <c r="FL450" s="173">
        <f t="shared" si="545"/>
        <v>17042.68</v>
      </c>
    </row>
    <row r="451" spans="1:168" hidden="1" outlineLevel="1" x14ac:dyDescent="0.2">
      <c r="A451" s="76" t="s">
        <v>21</v>
      </c>
      <c r="B451" s="77" t="s">
        <v>48</v>
      </c>
      <c r="C451" s="76" t="s">
        <v>100</v>
      </c>
      <c r="D451" s="76" t="s">
        <v>124</v>
      </c>
      <c r="E451" s="77" t="s">
        <v>228</v>
      </c>
      <c r="F451" s="77" t="s">
        <v>716</v>
      </c>
      <c r="G451" s="77" t="str">
        <f t="shared" si="525"/>
        <v>1</v>
      </c>
      <c r="H451" s="77" t="str">
        <f t="shared" si="526"/>
        <v>0</v>
      </c>
      <c r="I451" s="77" t="str">
        <f t="shared" si="527"/>
        <v>0</v>
      </c>
      <c r="J451" s="77" t="str">
        <f t="shared" si="528"/>
        <v>0</v>
      </c>
      <c r="K451" s="77" t="str">
        <f t="shared" si="529"/>
        <v>1000</v>
      </c>
      <c r="L451" s="77" t="str">
        <f>IFERROR(VLOOKUP(K451,Sheet2!$A$20:$B$23,2,FALSE),"X")</f>
        <v>01</v>
      </c>
      <c r="M451" s="77" t="str">
        <f t="shared" si="547"/>
        <v>31201384Turnaround Network</v>
      </c>
      <c r="N451" s="76" t="s">
        <v>161</v>
      </c>
      <c r="O451" s="76" t="s">
        <v>160</v>
      </c>
      <c r="P451" s="69" t="s">
        <v>168</v>
      </c>
      <c r="Q451" s="78">
        <v>43229</v>
      </c>
      <c r="R451" s="78">
        <v>43229</v>
      </c>
      <c r="S451" s="79">
        <v>50000</v>
      </c>
      <c r="AR451" s="79">
        <f t="shared" si="530"/>
        <v>0</v>
      </c>
      <c r="AS451" s="79">
        <f t="shared" si="531"/>
        <v>0</v>
      </c>
      <c r="AT451" s="79">
        <f t="shared" si="546"/>
        <v>50000</v>
      </c>
      <c r="AU451" s="79"/>
      <c r="AV451" s="79"/>
      <c r="BF451" s="79">
        <v>-26395</v>
      </c>
      <c r="BH451" s="79">
        <v>-10969</v>
      </c>
      <c r="BJ451" s="79">
        <v>-1314</v>
      </c>
      <c r="BP451" s="79">
        <v>-10732</v>
      </c>
      <c r="BR451" s="79">
        <v>-590</v>
      </c>
      <c r="BV451" s="79">
        <f t="shared" si="532"/>
        <v>-50000</v>
      </c>
      <c r="BW451" s="79">
        <f t="shared" si="533"/>
        <v>0</v>
      </c>
      <c r="BX451" s="79">
        <f t="shared" si="534"/>
        <v>0</v>
      </c>
      <c r="BY451" s="79"/>
      <c r="DB451" s="79">
        <f t="shared" si="535"/>
        <v>0</v>
      </c>
      <c r="DC451" s="79">
        <f t="shared" si="536"/>
        <v>0</v>
      </c>
      <c r="DD451" s="79">
        <f t="shared" si="537"/>
        <v>0</v>
      </c>
      <c r="DE451" s="79">
        <f t="shared" si="538"/>
        <v>0</v>
      </c>
      <c r="DF451" s="79"/>
      <c r="DP451" s="131"/>
      <c r="EJ451" s="79">
        <f t="shared" si="539"/>
        <v>0</v>
      </c>
      <c r="EK451" s="79">
        <f t="shared" si="540"/>
        <v>0</v>
      </c>
      <c r="EL451" s="79">
        <f t="shared" si="541"/>
        <v>0</v>
      </c>
      <c r="EM451" s="79">
        <f t="shared" si="523"/>
        <v>0</v>
      </c>
      <c r="FI451" s="66">
        <f t="shared" si="542"/>
        <v>0</v>
      </c>
      <c r="FJ451" s="66">
        <f t="shared" si="543"/>
        <v>0</v>
      </c>
      <c r="FK451" s="66">
        <f t="shared" si="544"/>
        <v>0</v>
      </c>
      <c r="FL451" s="173">
        <f t="shared" si="545"/>
        <v>0</v>
      </c>
    </row>
    <row r="452" spans="1:168" hidden="1" outlineLevel="1" x14ac:dyDescent="0.2">
      <c r="A452" s="76" t="s">
        <v>21</v>
      </c>
      <c r="B452" s="77" t="s">
        <v>248</v>
      </c>
      <c r="C452" s="76" t="s">
        <v>100</v>
      </c>
      <c r="D452" s="76" t="s">
        <v>265</v>
      </c>
      <c r="E452" s="77" t="s">
        <v>228</v>
      </c>
      <c r="F452" s="77" t="s">
        <v>716</v>
      </c>
      <c r="G452" s="77" t="str">
        <f t="shared" si="525"/>
        <v>1</v>
      </c>
      <c r="H452" s="77" t="str">
        <f t="shared" si="526"/>
        <v>0</v>
      </c>
      <c r="I452" s="77" t="str">
        <f t="shared" si="527"/>
        <v>0</v>
      </c>
      <c r="J452" s="77" t="str">
        <f t="shared" si="528"/>
        <v>0</v>
      </c>
      <c r="K452" s="77" t="str">
        <f t="shared" si="529"/>
        <v>1000</v>
      </c>
      <c r="L452" s="77" t="str">
        <f>IFERROR(VLOOKUP(K452,Sheet2!$A$20:$B$23,2,FALSE),"X")</f>
        <v>01</v>
      </c>
      <c r="M452" s="77" t="str">
        <f t="shared" si="547"/>
        <v>31203162Turnaround Network</v>
      </c>
      <c r="N452" s="76" t="s">
        <v>161</v>
      </c>
      <c r="O452" s="76" t="s">
        <v>160</v>
      </c>
      <c r="P452" s="69" t="s">
        <v>168</v>
      </c>
      <c r="Q452" s="78">
        <v>43229</v>
      </c>
      <c r="R452" s="78">
        <v>43229</v>
      </c>
      <c r="S452" s="79">
        <v>100000</v>
      </c>
      <c r="AR452" s="79">
        <f t="shared" si="530"/>
        <v>0</v>
      </c>
      <c r="AS452" s="79">
        <f t="shared" si="531"/>
        <v>0</v>
      </c>
      <c r="AT452" s="79">
        <f t="shared" si="546"/>
        <v>100000</v>
      </c>
      <c r="AU452" s="79"/>
      <c r="AV452" s="79"/>
      <c r="BF452" s="79">
        <v>-9633</v>
      </c>
      <c r="BH452" s="79">
        <v>-2485</v>
      </c>
      <c r="BJ452" s="79">
        <v>-2686</v>
      </c>
      <c r="BL452" s="79">
        <v>-549</v>
      </c>
      <c r="BP452" s="79">
        <v>-3860</v>
      </c>
      <c r="BR452" s="79">
        <v>-3256.22</v>
      </c>
      <c r="BV452" s="79">
        <f t="shared" si="532"/>
        <v>-22469.22</v>
      </c>
      <c r="BW452" s="79">
        <f t="shared" si="533"/>
        <v>0</v>
      </c>
      <c r="BX452" s="79">
        <f t="shared" si="534"/>
        <v>77530.78</v>
      </c>
      <c r="BY452" s="79"/>
      <c r="CG452" s="97">
        <v>-2097.8000000000002</v>
      </c>
      <c r="CH452" s="79">
        <v>-17224.150000000001</v>
      </c>
      <c r="CJ452" s="79">
        <v>-58208.83</v>
      </c>
      <c r="DB452" s="79">
        <f t="shared" si="535"/>
        <v>0</v>
      </c>
      <c r="DC452" s="79">
        <f t="shared" si="536"/>
        <v>-77530.78</v>
      </c>
      <c r="DD452" s="79">
        <f t="shared" si="537"/>
        <v>0</v>
      </c>
      <c r="DE452" s="79">
        <f t="shared" si="538"/>
        <v>0</v>
      </c>
      <c r="DF452" s="79"/>
      <c r="DP452" s="131"/>
      <c r="EJ452" s="79">
        <f t="shared" si="539"/>
        <v>0</v>
      </c>
      <c r="EK452" s="79">
        <f t="shared" si="540"/>
        <v>0</v>
      </c>
      <c r="EL452" s="79">
        <f t="shared" si="541"/>
        <v>0</v>
      </c>
      <c r="EM452" s="79">
        <f t="shared" si="523"/>
        <v>0</v>
      </c>
      <c r="FI452" s="66">
        <f t="shared" si="542"/>
        <v>0</v>
      </c>
      <c r="FJ452" s="66">
        <f t="shared" si="543"/>
        <v>0</v>
      </c>
      <c r="FK452" s="66">
        <f t="shared" si="544"/>
        <v>0</v>
      </c>
      <c r="FL452" s="173">
        <f t="shared" si="545"/>
        <v>0</v>
      </c>
    </row>
    <row r="453" spans="1:168" hidden="1" outlineLevel="1" x14ac:dyDescent="0.2">
      <c r="A453" s="76" t="s">
        <v>21</v>
      </c>
      <c r="B453" s="77" t="s">
        <v>249</v>
      </c>
      <c r="C453" s="76" t="s">
        <v>100</v>
      </c>
      <c r="D453" s="76" t="s">
        <v>266</v>
      </c>
      <c r="E453" s="77" t="s">
        <v>228</v>
      </c>
      <c r="F453" s="77" t="s">
        <v>716</v>
      </c>
      <c r="G453" s="77" t="str">
        <f t="shared" si="525"/>
        <v>1</v>
      </c>
      <c r="H453" s="77" t="str">
        <f t="shared" si="526"/>
        <v>0</v>
      </c>
      <c r="I453" s="77" t="str">
        <f t="shared" si="527"/>
        <v>0</v>
      </c>
      <c r="J453" s="77" t="str">
        <f t="shared" si="528"/>
        <v>0</v>
      </c>
      <c r="K453" s="77" t="str">
        <f t="shared" si="529"/>
        <v>1000</v>
      </c>
      <c r="L453" s="77" t="str">
        <f>IFERROR(VLOOKUP(K453,Sheet2!$A$20:$B$23,2,FALSE),"X")</f>
        <v>01</v>
      </c>
      <c r="M453" s="77" t="str">
        <f t="shared" si="547"/>
        <v>31204438Turnaround Network</v>
      </c>
      <c r="N453" s="76" t="s">
        <v>161</v>
      </c>
      <c r="O453" s="76" t="s">
        <v>160</v>
      </c>
      <c r="P453" s="69" t="s">
        <v>168</v>
      </c>
      <c r="Q453" s="78">
        <v>43229</v>
      </c>
      <c r="R453" s="78">
        <v>43229</v>
      </c>
      <c r="S453" s="79">
        <v>80000</v>
      </c>
      <c r="AP453" s="79">
        <v>-39154</v>
      </c>
      <c r="AR453" s="79">
        <f t="shared" si="530"/>
        <v>-39154</v>
      </c>
      <c r="AS453" s="79">
        <f t="shared" si="531"/>
        <v>0</v>
      </c>
      <c r="AT453" s="79">
        <f t="shared" si="546"/>
        <v>40846</v>
      </c>
      <c r="AU453" s="79"/>
      <c r="AV453" s="79"/>
      <c r="BB453" s="79">
        <v>-1717</v>
      </c>
      <c r="BF453" s="79">
        <v>-3269</v>
      </c>
      <c r="BH453" s="79">
        <v>-1436</v>
      </c>
      <c r="BJ453" s="79">
        <v>-373</v>
      </c>
      <c r="BL453" s="79">
        <v>-6660</v>
      </c>
      <c r="BP453" s="79">
        <v>-12448</v>
      </c>
      <c r="BR453" s="79">
        <v>-8294.19</v>
      </c>
      <c r="BV453" s="79">
        <f t="shared" si="532"/>
        <v>-34197.19</v>
      </c>
      <c r="BW453" s="79">
        <f t="shared" si="533"/>
        <v>0</v>
      </c>
      <c r="BX453" s="79">
        <f t="shared" si="534"/>
        <v>6648.8099999999977</v>
      </c>
      <c r="BY453" s="79"/>
      <c r="CH453" s="79">
        <v>-5846.48</v>
      </c>
      <c r="CJ453" s="79">
        <v>-802.19</v>
      </c>
      <c r="DB453" s="79">
        <f t="shared" si="535"/>
        <v>0</v>
      </c>
      <c r="DC453" s="79">
        <f t="shared" si="536"/>
        <v>-6648.67</v>
      </c>
      <c r="DD453" s="79">
        <f t="shared" si="537"/>
        <v>0</v>
      </c>
      <c r="DE453" s="79">
        <f t="shared" si="538"/>
        <v>0.13999999999759893</v>
      </c>
      <c r="DF453" s="79"/>
      <c r="DP453" s="131"/>
      <c r="EJ453" s="79">
        <f t="shared" si="539"/>
        <v>0</v>
      </c>
      <c r="EK453" s="79">
        <f t="shared" si="540"/>
        <v>0</v>
      </c>
      <c r="EL453" s="79">
        <f t="shared" si="541"/>
        <v>0</v>
      </c>
      <c r="EM453" s="79">
        <f t="shared" si="523"/>
        <v>0.13999999999759893</v>
      </c>
      <c r="FI453" s="66">
        <f t="shared" si="542"/>
        <v>0</v>
      </c>
      <c r="FJ453" s="66">
        <f t="shared" si="543"/>
        <v>0</v>
      </c>
      <c r="FK453" s="66">
        <f t="shared" si="544"/>
        <v>0</v>
      </c>
      <c r="FL453" s="173">
        <f t="shared" si="545"/>
        <v>0.13999999999759893</v>
      </c>
    </row>
    <row r="454" spans="1:168" hidden="1" outlineLevel="1" x14ac:dyDescent="0.2">
      <c r="A454" s="76" t="s">
        <v>21</v>
      </c>
      <c r="B454" s="76" t="s">
        <v>441</v>
      </c>
      <c r="C454" s="76" t="s">
        <v>100</v>
      </c>
      <c r="D454" s="76" t="s">
        <v>504</v>
      </c>
      <c r="E454" s="77" t="s">
        <v>228</v>
      </c>
      <c r="F454" s="77" t="s">
        <v>716</v>
      </c>
      <c r="G454" s="77" t="str">
        <f t="shared" si="525"/>
        <v>0</v>
      </c>
      <c r="H454" s="77" t="str">
        <f t="shared" si="526"/>
        <v>1</v>
      </c>
      <c r="I454" s="77" t="str">
        <f t="shared" si="527"/>
        <v>0</v>
      </c>
      <c r="J454" s="77" t="str">
        <f t="shared" si="528"/>
        <v>0</v>
      </c>
      <c r="K454" s="77" t="str">
        <f t="shared" si="529"/>
        <v>0100</v>
      </c>
      <c r="L454" s="77" t="str">
        <f>IFERROR(VLOOKUP(K454,Sheet2!$A$20:$B$23,2,FALSE),"X")</f>
        <v>02</v>
      </c>
      <c r="M454" s="77" t="str">
        <f t="shared" si="547"/>
        <v>31205752Turnaround Network</v>
      </c>
      <c r="O454" s="76" t="s">
        <v>160</v>
      </c>
      <c r="P454" s="69" t="s">
        <v>168</v>
      </c>
      <c r="Q454" s="78"/>
      <c r="R454" s="78"/>
      <c r="AR454" s="79">
        <f t="shared" si="530"/>
        <v>0</v>
      </c>
      <c r="AS454" s="79">
        <f t="shared" si="531"/>
        <v>0</v>
      </c>
      <c r="AT454" s="79">
        <f t="shared" si="546"/>
        <v>0</v>
      </c>
      <c r="AU454" s="158" t="s">
        <v>336</v>
      </c>
      <c r="AV454" s="79"/>
      <c r="AW454" s="79">
        <v>31061</v>
      </c>
      <c r="BP454" s="79">
        <v>-6526</v>
      </c>
      <c r="BR454" s="79">
        <v>-4655.41</v>
      </c>
      <c r="BV454" s="79">
        <f t="shared" si="532"/>
        <v>-11181.41</v>
      </c>
      <c r="BW454" s="79">
        <f t="shared" si="533"/>
        <v>0</v>
      </c>
      <c r="BX454" s="79">
        <f t="shared" si="534"/>
        <v>19879.59</v>
      </c>
      <c r="BY454" s="79" t="s">
        <v>341</v>
      </c>
      <c r="CA454" s="79">
        <v>28939</v>
      </c>
      <c r="CG454" s="97">
        <v>-1850.81</v>
      </c>
      <c r="CH454" s="79">
        <v>-18028.78</v>
      </c>
      <c r="CN454" s="79">
        <v>-16765.82</v>
      </c>
      <c r="CT454" s="79">
        <v>-472</v>
      </c>
      <c r="DB454" s="79">
        <f t="shared" si="535"/>
        <v>0</v>
      </c>
      <c r="DC454" s="79">
        <f t="shared" si="536"/>
        <v>-37117.410000000003</v>
      </c>
      <c r="DD454" s="79">
        <f t="shared" si="537"/>
        <v>0</v>
      </c>
      <c r="DE454" s="79">
        <f t="shared" si="538"/>
        <v>11701.179999999993</v>
      </c>
      <c r="DF454" s="79"/>
      <c r="DG454" s="79">
        <v>48043</v>
      </c>
      <c r="DP454" s="131"/>
      <c r="DS454" s="79">
        <v>-11701.18</v>
      </c>
      <c r="EE454" s="79">
        <f>-(8068.7+23232.69)</f>
        <v>-31301.39</v>
      </c>
      <c r="EI454" s="79">
        <v>-8665.91</v>
      </c>
      <c r="EJ454" s="79">
        <f t="shared" si="539"/>
        <v>0</v>
      </c>
      <c r="EK454" s="79">
        <f t="shared" si="540"/>
        <v>-43002.57</v>
      </c>
      <c r="EL454" s="79">
        <f t="shared" si="541"/>
        <v>-8665.91</v>
      </c>
      <c r="EM454" s="79">
        <f t="shared" si="523"/>
        <v>8075.6999999999971</v>
      </c>
      <c r="EO454" s="79">
        <v>34105.464399999997</v>
      </c>
      <c r="EX454" s="144">
        <v>-3929.7</v>
      </c>
      <c r="FI454" s="66">
        <f t="shared" si="542"/>
        <v>0</v>
      </c>
      <c r="FJ454" s="66">
        <f t="shared" si="543"/>
        <v>0</v>
      </c>
      <c r="FK454" s="66">
        <f t="shared" si="544"/>
        <v>-3929.7</v>
      </c>
      <c r="FL454" s="173">
        <f t="shared" si="545"/>
        <v>38251.464399999997</v>
      </c>
    </row>
    <row r="455" spans="1:168" hidden="1" outlineLevel="1" x14ac:dyDescent="0.2">
      <c r="A455" s="76" t="s">
        <v>21</v>
      </c>
      <c r="B455" s="77" t="s">
        <v>250</v>
      </c>
      <c r="C455" s="76" t="s">
        <v>100</v>
      </c>
      <c r="D455" s="76" t="s">
        <v>267</v>
      </c>
      <c r="E455" s="77" t="s">
        <v>228</v>
      </c>
      <c r="F455" s="77" t="s">
        <v>716</v>
      </c>
      <c r="G455" s="77" t="str">
        <f t="shared" si="525"/>
        <v>1</v>
      </c>
      <c r="H455" s="77" t="str">
        <f t="shared" si="526"/>
        <v>1</v>
      </c>
      <c r="I455" s="77" t="str">
        <f t="shared" si="527"/>
        <v>0</v>
      </c>
      <c r="J455" s="77" t="str">
        <f t="shared" si="528"/>
        <v>0</v>
      </c>
      <c r="K455" s="77" t="str">
        <f t="shared" si="529"/>
        <v>1100</v>
      </c>
      <c r="L455" s="77" t="str">
        <f>IFERROR(VLOOKUP(K455,Sheet2!$A$20:$B$23,2,FALSE),"X")</f>
        <v>X</v>
      </c>
      <c r="M455" s="77" t="str">
        <f t="shared" si="547"/>
        <v>31206774Turnaround Network</v>
      </c>
      <c r="N455" s="76" t="s">
        <v>161</v>
      </c>
      <c r="O455" s="76" t="s">
        <v>160</v>
      </c>
      <c r="P455" s="69" t="s">
        <v>168</v>
      </c>
      <c r="Q455" s="78">
        <v>43229</v>
      </c>
      <c r="R455" s="78">
        <v>43229</v>
      </c>
      <c r="S455" s="79">
        <v>100000</v>
      </c>
      <c r="AR455" s="79">
        <f t="shared" si="530"/>
        <v>0</v>
      </c>
      <c r="AS455" s="79">
        <f t="shared" si="531"/>
        <v>0</v>
      </c>
      <c r="AT455" s="79">
        <f t="shared" si="546"/>
        <v>100000</v>
      </c>
      <c r="AU455" s="79" t="s">
        <v>336</v>
      </c>
      <c r="AV455" s="79"/>
      <c r="AW455" s="79">
        <v>30000</v>
      </c>
      <c r="BF455" s="79">
        <v>-44146</v>
      </c>
      <c r="BR455" s="79">
        <v>-16210.36</v>
      </c>
      <c r="BV455" s="79">
        <f t="shared" si="532"/>
        <v>-60356.36</v>
      </c>
      <c r="BW455" s="79">
        <f t="shared" si="533"/>
        <v>0</v>
      </c>
      <c r="BX455" s="79">
        <f t="shared" si="534"/>
        <v>69643.64</v>
      </c>
      <c r="BY455" s="79" t="s">
        <v>341</v>
      </c>
      <c r="CA455" s="79">
        <v>30000</v>
      </c>
      <c r="CH455" s="79">
        <v>-9389.25</v>
      </c>
      <c r="CJ455" s="79">
        <v>-56326.16</v>
      </c>
      <c r="CN455" s="79">
        <v>-31281.78</v>
      </c>
      <c r="DB455" s="79">
        <f t="shared" si="535"/>
        <v>0</v>
      </c>
      <c r="DC455" s="79">
        <f t="shared" si="536"/>
        <v>-96997.19</v>
      </c>
      <c r="DD455" s="79">
        <f t="shared" si="537"/>
        <v>0</v>
      </c>
      <c r="DE455" s="79">
        <f t="shared" si="538"/>
        <v>2646.4499999999971</v>
      </c>
      <c r="DF455" s="79"/>
      <c r="DP455" s="131"/>
      <c r="EJ455" s="79">
        <f t="shared" si="539"/>
        <v>0</v>
      </c>
      <c r="EK455" s="79">
        <f t="shared" si="540"/>
        <v>0</v>
      </c>
      <c r="EL455" s="79">
        <f t="shared" si="541"/>
        <v>0</v>
      </c>
      <c r="EM455" s="79">
        <f t="shared" si="523"/>
        <v>2646.4499999999971</v>
      </c>
      <c r="FI455" s="66">
        <f t="shared" si="542"/>
        <v>0</v>
      </c>
      <c r="FJ455" s="66">
        <f t="shared" si="543"/>
        <v>0</v>
      </c>
      <c r="FK455" s="66">
        <f t="shared" si="544"/>
        <v>0</v>
      </c>
      <c r="FL455" s="173">
        <f t="shared" si="545"/>
        <v>2646.4499999999971</v>
      </c>
    </row>
    <row r="456" spans="1:168" hidden="1" outlineLevel="1" x14ac:dyDescent="0.2">
      <c r="A456" s="76" t="s">
        <v>21</v>
      </c>
      <c r="B456" s="76" t="s">
        <v>47</v>
      </c>
      <c r="C456" s="76" t="s">
        <v>100</v>
      </c>
      <c r="D456" s="76" t="s">
        <v>123</v>
      </c>
      <c r="E456" s="77" t="s">
        <v>228</v>
      </c>
      <c r="F456" s="77" t="s">
        <v>716</v>
      </c>
      <c r="G456" s="77" t="str">
        <f t="shared" si="525"/>
        <v>0</v>
      </c>
      <c r="H456" s="77" t="str">
        <f t="shared" si="526"/>
        <v>1</v>
      </c>
      <c r="I456" s="77" t="str">
        <f t="shared" si="527"/>
        <v>0</v>
      </c>
      <c r="J456" s="77" t="str">
        <f t="shared" si="528"/>
        <v>0</v>
      </c>
      <c r="K456" s="77" t="str">
        <f t="shared" si="529"/>
        <v>0100</v>
      </c>
      <c r="L456" s="77" t="str">
        <f>IFERROR(VLOOKUP(K456,Sheet2!$A$20:$B$23,2,FALSE),"X")</f>
        <v>02</v>
      </c>
      <c r="M456" s="77" t="str">
        <f t="shared" si="547"/>
        <v>31207700Turnaround Network</v>
      </c>
      <c r="O456" s="76" t="s">
        <v>160</v>
      </c>
      <c r="P456" s="69" t="s">
        <v>168</v>
      </c>
      <c r="Q456" s="78"/>
      <c r="R456" s="78"/>
      <c r="AR456" s="79">
        <f t="shared" si="530"/>
        <v>0</v>
      </c>
      <c r="AS456" s="79">
        <f t="shared" si="531"/>
        <v>0</v>
      </c>
      <c r="AT456" s="79">
        <f t="shared" si="546"/>
        <v>0</v>
      </c>
      <c r="AU456" s="158" t="s">
        <v>336</v>
      </c>
      <c r="AV456" s="79"/>
      <c r="AW456" s="79">
        <v>4527</v>
      </c>
      <c r="BV456" s="79">
        <f t="shared" si="532"/>
        <v>0</v>
      </c>
      <c r="BW456" s="79">
        <f t="shared" si="533"/>
        <v>0</v>
      </c>
      <c r="BX456" s="79">
        <f t="shared" si="534"/>
        <v>4527</v>
      </c>
      <c r="BY456" s="79" t="s">
        <v>341</v>
      </c>
      <c r="CA456" s="79">
        <v>55473</v>
      </c>
      <c r="CH456" s="79">
        <v>-4527</v>
      </c>
      <c r="CJ456" s="79">
        <v>-10876.07</v>
      </c>
      <c r="CT456" s="79">
        <v>-5324.12</v>
      </c>
      <c r="DB456" s="79">
        <f t="shared" si="535"/>
        <v>0</v>
      </c>
      <c r="DC456" s="79">
        <f t="shared" si="536"/>
        <v>-20727.189999999999</v>
      </c>
      <c r="DD456" s="79">
        <f t="shared" si="537"/>
        <v>0</v>
      </c>
      <c r="DE456" s="79">
        <f t="shared" si="538"/>
        <v>39272.81</v>
      </c>
      <c r="DF456" s="79"/>
      <c r="DG456" s="79">
        <v>38770</v>
      </c>
      <c r="DP456" s="131"/>
      <c r="DS456" s="79">
        <f>-(18546.2+14420.74)</f>
        <v>-32966.94</v>
      </c>
      <c r="DW456" s="79">
        <v>-1488.22</v>
      </c>
      <c r="EI456" s="79">
        <v>-4170</v>
      </c>
      <c r="EJ456" s="79">
        <f t="shared" si="539"/>
        <v>0</v>
      </c>
      <c r="EK456" s="79">
        <f t="shared" si="540"/>
        <v>-34455.160000000003</v>
      </c>
      <c r="EL456" s="79">
        <f t="shared" si="541"/>
        <v>-4170</v>
      </c>
      <c r="EM456" s="79">
        <f t="shared" si="523"/>
        <v>39417.649999999994</v>
      </c>
      <c r="EO456" s="79">
        <v>43220.930800000002</v>
      </c>
      <c r="EX456" s="144">
        <v>-17881.240000000002</v>
      </c>
      <c r="FI456" s="66">
        <f t="shared" si="542"/>
        <v>0</v>
      </c>
      <c r="FJ456" s="66">
        <f t="shared" si="543"/>
        <v>0</v>
      </c>
      <c r="FK456" s="66">
        <f t="shared" si="544"/>
        <v>-17881.240000000002</v>
      </c>
      <c r="FL456" s="173">
        <f t="shared" si="545"/>
        <v>64757.340799999991</v>
      </c>
    </row>
    <row r="457" spans="1:168" hidden="1" outlineLevel="1" x14ac:dyDescent="0.2">
      <c r="A457" s="76" t="s">
        <v>21</v>
      </c>
      <c r="B457" s="77" t="s">
        <v>34</v>
      </c>
      <c r="C457" s="76" t="s">
        <v>100</v>
      </c>
      <c r="D457" s="76" t="s">
        <v>111</v>
      </c>
      <c r="E457" s="77" t="s">
        <v>228</v>
      </c>
      <c r="F457" s="77" t="s">
        <v>716</v>
      </c>
      <c r="G457" s="77" t="str">
        <f t="shared" si="525"/>
        <v>1</v>
      </c>
      <c r="H457" s="77" t="str">
        <f t="shared" si="526"/>
        <v>0</v>
      </c>
      <c r="I457" s="77" t="str">
        <f t="shared" si="527"/>
        <v>0</v>
      </c>
      <c r="J457" s="77" t="str">
        <f t="shared" si="528"/>
        <v>0</v>
      </c>
      <c r="K457" s="77" t="str">
        <f t="shared" si="529"/>
        <v>1000</v>
      </c>
      <c r="L457" s="77" t="str">
        <f>IFERROR(VLOOKUP(K457,Sheet2!$A$20:$B$23,2,FALSE),"X")</f>
        <v>01</v>
      </c>
      <c r="M457" s="77" t="str">
        <f t="shared" si="547"/>
        <v>3120N/ATurnaround Network</v>
      </c>
      <c r="N457" s="76" t="s">
        <v>161</v>
      </c>
      <c r="O457" s="76" t="s">
        <v>160</v>
      </c>
      <c r="P457" s="69" t="s">
        <v>168</v>
      </c>
      <c r="Q457" s="78">
        <v>43229</v>
      </c>
      <c r="R457" s="78">
        <v>43229</v>
      </c>
      <c r="S457" s="79">
        <v>40000</v>
      </c>
      <c r="AR457" s="79">
        <f t="shared" si="530"/>
        <v>0</v>
      </c>
      <c r="AS457" s="79">
        <f t="shared" si="531"/>
        <v>0</v>
      </c>
      <c r="AT457" s="79">
        <f t="shared" si="546"/>
        <v>40000</v>
      </c>
      <c r="AU457" s="79"/>
      <c r="AV457" s="79"/>
      <c r="BF457" s="79">
        <v>-16739</v>
      </c>
      <c r="BH457" s="79">
        <v>-2990</v>
      </c>
      <c r="BJ457" s="79">
        <v>-3078</v>
      </c>
      <c r="BL457" s="79">
        <v>-3450</v>
      </c>
      <c r="BP457" s="79">
        <v>-8815</v>
      </c>
      <c r="BR457" s="79">
        <v>-3300.85</v>
      </c>
      <c r="BV457" s="79">
        <f t="shared" si="532"/>
        <v>-38372.85</v>
      </c>
      <c r="BW457" s="79">
        <f t="shared" si="533"/>
        <v>0</v>
      </c>
      <c r="BX457" s="79">
        <f t="shared" si="534"/>
        <v>1627.1500000000015</v>
      </c>
      <c r="BY457" s="79" t="s">
        <v>341</v>
      </c>
      <c r="CA457" s="79">
        <v>70000</v>
      </c>
      <c r="CG457" s="97">
        <v>-1562.13</v>
      </c>
      <c r="CH457" s="79">
        <v>-65.02</v>
      </c>
      <c r="CT457" s="79">
        <v>-503.27</v>
      </c>
      <c r="CZ457" s="79">
        <f>-1762.15-25295.29</f>
        <v>-27057.440000000002</v>
      </c>
      <c r="DB457" s="79">
        <f t="shared" si="535"/>
        <v>0</v>
      </c>
      <c r="DC457" s="79">
        <f t="shared" si="536"/>
        <v>-29187.86</v>
      </c>
      <c r="DD457" s="79">
        <f t="shared" si="537"/>
        <v>0</v>
      </c>
      <c r="DE457" s="79">
        <f t="shared" si="538"/>
        <v>42439.289999999994</v>
      </c>
      <c r="DF457" s="79"/>
      <c r="DG457" s="79">
        <v>44128</v>
      </c>
      <c r="DP457" s="131"/>
      <c r="DS457" s="79">
        <v>-10420.469999999999</v>
      </c>
      <c r="EJ457" s="79">
        <f t="shared" si="539"/>
        <v>0</v>
      </c>
      <c r="EK457" s="79">
        <f t="shared" si="540"/>
        <v>-10420.469999999999</v>
      </c>
      <c r="EL457" s="79">
        <f t="shared" si="541"/>
        <v>0</v>
      </c>
      <c r="EM457" s="79">
        <f t="shared" si="523"/>
        <v>76146.819999999992</v>
      </c>
      <c r="EX457" s="144">
        <v>-71993.14</v>
      </c>
      <c r="FI457" s="66">
        <f t="shared" si="542"/>
        <v>0</v>
      </c>
      <c r="FJ457" s="66">
        <f t="shared" si="543"/>
        <v>0</v>
      </c>
      <c r="FK457" s="66">
        <f t="shared" si="544"/>
        <v>-71993.14</v>
      </c>
      <c r="FL457" s="173">
        <f t="shared" si="545"/>
        <v>4153.679999999993</v>
      </c>
    </row>
    <row r="458" spans="1:168" hidden="1" x14ac:dyDescent="0.2">
      <c r="P458" s="67" t="s">
        <v>274</v>
      </c>
      <c r="Q458" s="66"/>
      <c r="R458" s="66"/>
      <c r="S458" s="14">
        <f t="shared" ref="S458:AT458" si="548">SUM(S384:S457)</f>
        <v>2794501</v>
      </c>
      <c r="T458" s="14">
        <f t="shared" si="548"/>
        <v>0</v>
      </c>
      <c r="U458" s="14">
        <f t="shared" si="548"/>
        <v>0</v>
      </c>
      <c r="V458" s="14">
        <f t="shared" si="548"/>
        <v>0</v>
      </c>
      <c r="W458" s="14">
        <f t="shared" si="548"/>
        <v>0</v>
      </c>
      <c r="X458" s="14">
        <f t="shared" si="548"/>
        <v>0</v>
      </c>
      <c r="Y458" s="14">
        <f t="shared" si="548"/>
        <v>0</v>
      </c>
      <c r="Z458" s="14">
        <f t="shared" si="548"/>
        <v>0</v>
      </c>
      <c r="AA458" s="14">
        <f t="shared" si="548"/>
        <v>0</v>
      </c>
      <c r="AB458" s="14">
        <f t="shared" si="548"/>
        <v>0</v>
      </c>
      <c r="AC458" s="14">
        <f t="shared" si="548"/>
        <v>0</v>
      </c>
      <c r="AD458" s="14">
        <f t="shared" si="548"/>
        <v>0</v>
      </c>
      <c r="AE458" s="14">
        <f t="shared" si="548"/>
        <v>0</v>
      </c>
      <c r="AF458" s="14">
        <f t="shared" si="548"/>
        <v>0</v>
      </c>
      <c r="AG458" s="14">
        <f t="shared" si="548"/>
        <v>0</v>
      </c>
      <c r="AH458" s="14">
        <f t="shared" si="548"/>
        <v>0</v>
      </c>
      <c r="AI458" s="14">
        <f t="shared" si="548"/>
        <v>0</v>
      </c>
      <c r="AJ458" s="14">
        <f t="shared" si="548"/>
        <v>0</v>
      </c>
      <c r="AK458" s="14">
        <f t="shared" si="548"/>
        <v>0</v>
      </c>
      <c r="AL458" s="14">
        <f t="shared" si="548"/>
        <v>0</v>
      </c>
      <c r="AM458" s="14">
        <f t="shared" si="548"/>
        <v>0</v>
      </c>
      <c r="AN458" s="14">
        <f t="shared" si="548"/>
        <v>0</v>
      </c>
      <c r="AO458" s="14">
        <f t="shared" si="548"/>
        <v>0</v>
      </c>
      <c r="AP458" s="14">
        <f t="shared" si="548"/>
        <v>-39154</v>
      </c>
      <c r="AQ458" s="14">
        <f t="shared" si="548"/>
        <v>0</v>
      </c>
      <c r="AR458" s="14">
        <f t="shared" si="548"/>
        <v>-39154</v>
      </c>
      <c r="AS458" s="14">
        <f t="shared" si="548"/>
        <v>0</v>
      </c>
      <c r="AT458" s="14">
        <f t="shared" si="548"/>
        <v>2859535.41</v>
      </c>
      <c r="AU458" s="159"/>
      <c r="AV458" s="14">
        <f t="shared" ref="AV458:BX458" si="549">SUM(AV384:AV457)</f>
        <v>26485</v>
      </c>
      <c r="AW458" s="14">
        <f t="shared" si="549"/>
        <v>667888</v>
      </c>
      <c r="AX458" s="14">
        <f t="shared" si="549"/>
        <v>0</v>
      </c>
      <c r="AY458" s="14">
        <f t="shared" si="549"/>
        <v>0</v>
      </c>
      <c r="AZ458" s="14">
        <f t="shared" si="549"/>
        <v>-35822</v>
      </c>
      <c r="BA458" s="14">
        <f t="shared" si="549"/>
        <v>0</v>
      </c>
      <c r="BB458" s="14">
        <f t="shared" si="549"/>
        <v>-74434</v>
      </c>
      <c r="BC458" s="14">
        <f t="shared" si="549"/>
        <v>0</v>
      </c>
      <c r="BD458" s="14">
        <f t="shared" si="549"/>
        <v>-277309</v>
      </c>
      <c r="BE458" s="14">
        <f t="shared" si="549"/>
        <v>0</v>
      </c>
      <c r="BF458" s="14">
        <f t="shared" si="549"/>
        <v>-393858</v>
      </c>
      <c r="BG458" s="14">
        <f t="shared" si="549"/>
        <v>0</v>
      </c>
      <c r="BH458" s="14">
        <f t="shared" si="549"/>
        <v>-111658</v>
      </c>
      <c r="BI458" s="14">
        <f t="shared" si="549"/>
        <v>0</v>
      </c>
      <c r="BJ458" s="14">
        <f t="shared" si="549"/>
        <v>-59853</v>
      </c>
      <c r="BK458" s="14">
        <f t="shared" si="549"/>
        <v>0</v>
      </c>
      <c r="BL458" s="14">
        <f t="shared" si="549"/>
        <v>-253552</v>
      </c>
      <c r="BM458" s="14">
        <f t="shared" si="549"/>
        <v>0</v>
      </c>
      <c r="BN458" s="14">
        <f t="shared" si="549"/>
        <v>-90639</v>
      </c>
      <c r="BO458" s="14">
        <f t="shared" si="549"/>
        <v>0</v>
      </c>
      <c r="BP458" s="14">
        <f t="shared" si="549"/>
        <v>-155760</v>
      </c>
      <c r="BQ458" s="14">
        <f t="shared" si="549"/>
        <v>0</v>
      </c>
      <c r="BR458" s="14">
        <f t="shared" si="549"/>
        <v>-98298.030000000013</v>
      </c>
      <c r="BS458" s="14">
        <f t="shared" si="549"/>
        <v>0</v>
      </c>
      <c r="BT458" s="14">
        <f t="shared" si="549"/>
        <v>-142356</v>
      </c>
      <c r="BU458" s="14">
        <f t="shared" si="549"/>
        <v>0</v>
      </c>
      <c r="BV458" s="14">
        <f t="shared" si="549"/>
        <v>-1693539.03</v>
      </c>
      <c r="BW458" s="14">
        <f t="shared" si="549"/>
        <v>0</v>
      </c>
      <c r="BX458" s="14">
        <f t="shared" si="549"/>
        <v>1860369.3800000001</v>
      </c>
      <c r="BY458" s="159"/>
      <c r="BZ458" s="14">
        <f>SUM(BZ384:BZ457)</f>
        <v>285000</v>
      </c>
      <c r="CA458" s="14">
        <f>SUM(CA384:CA457)</f>
        <v>554685</v>
      </c>
      <c r="CB458" s="14"/>
      <c r="CC458" s="14">
        <f t="shared" ref="CC458:DE458" si="550">SUM(CC384:CC457)</f>
        <v>64352.455799999996</v>
      </c>
      <c r="CD458" s="14">
        <f t="shared" si="550"/>
        <v>-77199.58</v>
      </c>
      <c r="CE458" s="14">
        <f t="shared" si="550"/>
        <v>0</v>
      </c>
      <c r="CF458" s="14">
        <f t="shared" si="550"/>
        <v>0</v>
      </c>
      <c r="CG458" s="14">
        <f t="shared" si="550"/>
        <v>-141471.02999999997</v>
      </c>
      <c r="CH458" s="14">
        <f t="shared" si="550"/>
        <v>-300929.15000000002</v>
      </c>
      <c r="CI458" s="14">
        <f t="shared" si="550"/>
        <v>0</v>
      </c>
      <c r="CJ458" s="14">
        <f t="shared" si="550"/>
        <v>-343077.71</v>
      </c>
      <c r="CK458" s="14">
        <f t="shared" si="550"/>
        <v>0</v>
      </c>
      <c r="CL458" s="14">
        <f t="shared" si="550"/>
        <v>0</v>
      </c>
      <c r="CM458" s="14">
        <f t="shared" si="550"/>
        <v>0</v>
      </c>
      <c r="CN458" s="14">
        <f t="shared" si="550"/>
        <v>-335988.96000000008</v>
      </c>
      <c r="CO458" s="14">
        <f t="shared" si="550"/>
        <v>0</v>
      </c>
      <c r="CP458" s="14">
        <f t="shared" si="550"/>
        <v>-98505.59</v>
      </c>
      <c r="CQ458" s="14">
        <f t="shared" si="550"/>
        <v>0</v>
      </c>
      <c r="CR458" s="14">
        <f t="shared" si="550"/>
        <v>-51994.630000000005</v>
      </c>
      <c r="CS458" s="14">
        <f t="shared" si="550"/>
        <v>0</v>
      </c>
      <c r="CT458" s="14">
        <f t="shared" si="550"/>
        <v>-64324.15</v>
      </c>
      <c r="CU458" s="14">
        <f t="shared" si="550"/>
        <v>0</v>
      </c>
      <c r="CV458" s="14">
        <f t="shared" si="550"/>
        <v>-74796.03</v>
      </c>
      <c r="CW458" s="14">
        <f t="shared" si="550"/>
        <v>0</v>
      </c>
      <c r="CX458" s="14">
        <f t="shared" si="550"/>
        <v>-30628.239999999998</v>
      </c>
      <c r="CY458" s="14">
        <f t="shared" si="550"/>
        <v>0</v>
      </c>
      <c r="CZ458" s="14">
        <f t="shared" si="550"/>
        <v>-71187.820000000007</v>
      </c>
      <c r="DA458" s="14">
        <f t="shared" si="550"/>
        <v>0</v>
      </c>
      <c r="DB458" s="14">
        <f t="shared" si="550"/>
        <v>-77199.58</v>
      </c>
      <c r="DC458" s="14">
        <f t="shared" si="550"/>
        <v>-1512903.3099999996</v>
      </c>
      <c r="DD458" s="14">
        <f t="shared" si="550"/>
        <v>0</v>
      </c>
      <c r="DE458" s="14">
        <f t="shared" si="550"/>
        <v>1174303.9457999999</v>
      </c>
      <c r="DF458" s="159"/>
      <c r="DG458" s="14">
        <f>SUM(DG384:DG457)</f>
        <v>858452.03009999997</v>
      </c>
      <c r="DH458" s="14">
        <f>SUM(DH384:DH457)</f>
        <v>45226</v>
      </c>
      <c r="DI458" s="14"/>
      <c r="DJ458" s="14">
        <f t="shared" ref="DJ458:FK458" si="551">SUM(DJ384:DJ457)</f>
        <v>30000</v>
      </c>
      <c r="DK458" s="14">
        <f t="shared" si="551"/>
        <v>-30465.91</v>
      </c>
      <c r="DL458" s="14">
        <f t="shared" si="551"/>
        <v>0</v>
      </c>
      <c r="DM458" s="14">
        <f t="shared" si="551"/>
        <v>-50685.39</v>
      </c>
      <c r="DN458" s="14">
        <f t="shared" si="551"/>
        <v>0</v>
      </c>
      <c r="DO458" s="14">
        <f t="shared" si="551"/>
        <v>0</v>
      </c>
      <c r="DP458" s="132">
        <f t="shared" si="551"/>
        <v>-78411.94</v>
      </c>
      <c r="DQ458" s="14">
        <f t="shared" si="551"/>
        <v>-26767.530000000002</v>
      </c>
      <c r="DR458" s="14">
        <f t="shared" si="551"/>
        <v>-77556.08</v>
      </c>
      <c r="DS458" s="14">
        <f t="shared" si="551"/>
        <v>-102169.97</v>
      </c>
      <c r="DT458" s="14">
        <f t="shared" si="551"/>
        <v>0</v>
      </c>
      <c r="DU458" s="14">
        <f t="shared" si="551"/>
        <v>-92954.749999999985</v>
      </c>
      <c r="DV458" s="14">
        <f t="shared" si="551"/>
        <v>0</v>
      </c>
      <c r="DW458" s="14">
        <f t="shared" si="551"/>
        <v>-44971.61</v>
      </c>
      <c r="DX458" s="14">
        <f t="shared" si="551"/>
        <v>0</v>
      </c>
      <c r="DY458" s="14">
        <f t="shared" si="551"/>
        <v>-52278.689999999995</v>
      </c>
      <c r="DZ458" s="14">
        <f t="shared" si="551"/>
        <v>0</v>
      </c>
      <c r="EA458" s="14">
        <f t="shared" si="551"/>
        <v>-33406.560000000005</v>
      </c>
      <c r="EB458" s="14">
        <f t="shared" si="551"/>
        <v>0</v>
      </c>
      <c r="EC458" s="14">
        <f t="shared" si="551"/>
        <v>-14605.54</v>
      </c>
      <c r="ED458" s="14">
        <f t="shared" si="551"/>
        <v>0</v>
      </c>
      <c r="EE458" s="14">
        <f t="shared" si="551"/>
        <v>-67497.23</v>
      </c>
      <c r="EF458" s="14">
        <f t="shared" si="551"/>
        <v>77556.08</v>
      </c>
      <c r="EG458" s="132">
        <f t="shared" si="551"/>
        <v>-77556.08</v>
      </c>
      <c r="EH458" s="14">
        <f t="shared" si="551"/>
        <v>-23491.599999999999</v>
      </c>
      <c r="EI458" s="14">
        <f t="shared" si="551"/>
        <v>-23302.79</v>
      </c>
      <c r="EJ458" s="14">
        <f t="shared" si="551"/>
        <v>-155968.02000000002</v>
      </c>
      <c r="EK458" s="14">
        <f t="shared" si="551"/>
        <v>-539294.77999999991</v>
      </c>
      <c r="EL458" s="14">
        <f t="shared" si="551"/>
        <v>-23302.79</v>
      </c>
      <c r="EM458" s="14">
        <f t="shared" si="551"/>
        <v>1389416.3858999999</v>
      </c>
      <c r="EN458" s="14">
        <f t="shared" si="551"/>
        <v>0</v>
      </c>
      <c r="EO458" s="14">
        <f t="shared" si="551"/>
        <v>169990.3952</v>
      </c>
      <c r="EP458" s="14">
        <f t="shared" si="551"/>
        <v>142837.5</v>
      </c>
      <c r="EQ458" s="14">
        <f t="shared" si="551"/>
        <v>90000</v>
      </c>
      <c r="ER458" s="14">
        <f t="shared" si="551"/>
        <v>0</v>
      </c>
      <c r="ES458" s="68">
        <f t="shared" si="551"/>
        <v>-176680.64999999997</v>
      </c>
      <c r="ET458" s="68">
        <f t="shared" si="551"/>
        <v>-55170.68</v>
      </c>
      <c r="EU458" s="68">
        <f t="shared" si="551"/>
        <v>-40498.600000000006</v>
      </c>
      <c r="EV458" s="68">
        <f t="shared" ref="EV458" si="552">SUM(EV384:EV457)</f>
        <v>10645.6</v>
      </c>
      <c r="EW458" s="68">
        <f t="shared" si="551"/>
        <v>-32624.769999999997</v>
      </c>
      <c r="EX458" s="68">
        <f t="shared" si="551"/>
        <v>-174068.28000000003</v>
      </c>
      <c r="EY458" s="68">
        <f t="shared" si="551"/>
        <v>-10331.030000000001</v>
      </c>
      <c r="EZ458" s="68">
        <f t="shared" ref="EZ458:FB458" si="553">SUM(EZ384:EZ457)</f>
        <v>-10645.6</v>
      </c>
      <c r="FA458" s="68">
        <f t="shared" si="553"/>
        <v>0</v>
      </c>
      <c r="FB458" s="68">
        <f t="shared" si="553"/>
        <v>10645.6</v>
      </c>
      <c r="FC458" s="68">
        <f t="shared" si="551"/>
        <v>-91027.58</v>
      </c>
      <c r="FD458" s="68">
        <f t="shared" si="551"/>
        <v>-23835.54</v>
      </c>
      <c r="FE458" s="68">
        <f t="shared" si="551"/>
        <v>-22440.460000000003</v>
      </c>
      <c r="FF458" s="68">
        <f t="shared" si="551"/>
        <v>0</v>
      </c>
      <c r="FG458" s="68">
        <f t="shared" si="551"/>
        <v>0</v>
      </c>
      <c r="FH458" s="68">
        <f t="shared" si="551"/>
        <v>0</v>
      </c>
      <c r="FI458" s="68">
        <f t="shared" ref="FI458:FJ458" si="554">SUM(FI384:FI457)</f>
        <v>0</v>
      </c>
      <c r="FJ458" s="68">
        <f t="shared" si="554"/>
        <v>0</v>
      </c>
      <c r="FK458" s="68">
        <f t="shared" si="551"/>
        <v>-616031.99</v>
      </c>
      <c r="FL458" s="14">
        <f>EM458+EO458+EP458+EQ458+FK458</f>
        <v>1176212.2910999998</v>
      </c>
    </row>
    <row r="459" spans="1:168" x14ac:dyDescent="0.2">
      <c r="P459" s="84"/>
      <c r="Q459" s="66"/>
      <c r="R459" s="66"/>
      <c r="AV459" s="79"/>
      <c r="DP459" s="131"/>
    </row>
    <row r="460" spans="1:168" x14ac:dyDescent="0.2">
      <c r="AU460" s="79"/>
      <c r="AV460" s="79"/>
      <c r="BY460" s="79"/>
      <c r="DF460" s="79"/>
      <c r="DP460" s="131"/>
    </row>
    <row r="461" spans="1:168" ht="13.5" thickBot="1" x14ac:dyDescent="0.25">
      <c r="P461" s="19" t="s">
        <v>188</v>
      </c>
      <c r="S461" s="15">
        <f t="shared" ref="S461:AX461" si="555">+S458+S317+S311+S160+S74+S67+S11+S328+S374+S22+S378+S382</f>
        <v>6288047</v>
      </c>
      <c r="T461" s="15">
        <f t="shared" si="555"/>
        <v>0</v>
      </c>
      <c r="U461" s="15">
        <f t="shared" si="555"/>
        <v>0</v>
      </c>
      <c r="V461" s="15">
        <f t="shared" si="555"/>
        <v>0</v>
      </c>
      <c r="W461" s="15">
        <f t="shared" si="555"/>
        <v>0</v>
      </c>
      <c r="X461" s="15">
        <f t="shared" si="555"/>
        <v>0</v>
      </c>
      <c r="Y461" s="15">
        <f t="shared" si="555"/>
        <v>0</v>
      </c>
      <c r="Z461" s="15">
        <f t="shared" si="555"/>
        <v>0</v>
      </c>
      <c r="AA461" s="15">
        <f t="shared" si="555"/>
        <v>0</v>
      </c>
      <c r="AB461" s="15">
        <f t="shared" si="555"/>
        <v>0</v>
      </c>
      <c r="AC461" s="15">
        <f t="shared" si="555"/>
        <v>0</v>
      </c>
      <c r="AD461" s="15">
        <f t="shared" si="555"/>
        <v>0</v>
      </c>
      <c r="AE461" s="15">
        <f t="shared" si="555"/>
        <v>0</v>
      </c>
      <c r="AF461" s="15">
        <f t="shared" si="555"/>
        <v>0</v>
      </c>
      <c r="AG461" s="15">
        <f t="shared" si="555"/>
        <v>0</v>
      </c>
      <c r="AH461" s="15">
        <f t="shared" si="555"/>
        <v>0</v>
      </c>
      <c r="AI461" s="15">
        <f t="shared" si="555"/>
        <v>0</v>
      </c>
      <c r="AJ461" s="15">
        <f t="shared" si="555"/>
        <v>0</v>
      </c>
      <c r="AK461" s="15">
        <f t="shared" si="555"/>
        <v>0</v>
      </c>
      <c r="AL461" s="15">
        <f t="shared" si="555"/>
        <v>-130038</v>
      </c>
      <c r="AM461" s="15">
        <f t="shared" si="555"/>
        <v>0</v>
      </c>
      <c r="AN461" s="15">
        <f t="shared" si="555"/>
        <v>-89800</v>
      </c>
      <c r="AO461" s="15">
        <f t="shared" si="555"/>
        <v>0</v>
      </c>
      <c r="AP461" s="15">
        <f t="shared" si="555"/>
        <v>-122380</v>
      </c>
      <c r="AQ461" s="15">
        <f t="shared" si="555"/>
        <v>0</v>
      </c>
      <c r="AR461" s="15">
        <f t="shared" si="555"/>
        <v>-342218</v>
      </c>
      <c r="AS461" s="15">
        <f t="shared" si="555"/>
        <v>0</v>
      </c>
      <c r="AT461" s="15">
        <f t="shared" si="555"/>
        <v>6050017.4100000001</v>
      </c>
      <c r="AU461" s="15">
        <f t="shared" si="555"/>
        <v>0</v>
      </c>
      <c r="AV461" s="15">
        <f t="shared" si="555"/>
        <v>3730196</v>
      </c>
      <c r="AW461" s="15">
        <f t="shared" si="555"/>
        <v>7661323.6270000003</v>
      </c>
      <c r="AX461" s="15">
        <f t="shared" si="555"/>
        <v>-103416</v>
      </c>
      <c r="AY461" s="15">
        <f t="shared" ref="AY461:CD461" si="556">+AY458+AY317+AY311+AY160+AY74+AY67+AY11+AY328+AY374+AY22+AY378+AY382</f>
        <v>0</v>
      </c>
      <c r="AZ461" s="15">
        <f t="shared" si="556"/>
        <v>-196010</v>
      </c>
      <c r="BA461" s="15">
        <f t="shared" si="556"/>
        <v>0</v>
      </c>
      <c r="BB461" s="15">
        <f t="shared" si="556"/>
        <v>-228545</v>
      </c>
      <c r="BC461" s="15">
        <f t="shared" si="556"/>
        <v>0</v>
      </c>
      <c r="BD461" s="15">
        <f t="shared" si="556"/>
        <v>-633693</v>
      </c>
      <c r="BE461" s="15">
        <f t="shared" si="556"/>
        <v>0</v>
      </c>
      <c r="BF461" s="15">
        <f t="shared" si="556"/>
        <v>-638215</v>
      </c>
      <c r="BG461" s="15">
        <f t="shared" si="556"/>
        <v>0</v>
      </c>
      <c r="BH461" s="15">
        <f t="shared" si="556"/>
        <v>-348436</v>
      </c>
      <c r="BI461" s="15">
        <f t="shared" si="556"/>
        <v>0</v>
      </c>
      <c r="BJ461" s="15">
        <f t="shared" si="556"/>
        <v>-472948</v>
      </c>
      <c r="BK461" s="15">
        <f t="shared" si="556"/>
        <v>0</v>
      </c>
      <c r="BL461" s="15">
        <f t="shared" si="556"/>
        <v>-561805</v>
      </c>
      <c r="BM461" s="15">
        <f t="shared" si="556"/>
        <v>0</v>
      </c>
      <c r="BN461" s="15">
        <f t="shared" si="556"/>
        <v>-335935</v>
      </c>
      <c r="BO461" s="15">
        <f t="shared" si="556"/>
        <v>0</v>
      </c>
      <c r="BP461" s="15">
        <f t="shared" si="556"/>
        <v>-1028850</v>
      </c>
      <c r="BQ461" s="15">
        <f t="shared" si="556"/>
        <v>0</v>
      </c>
      <c r="BR461" s="15">
        <f t="shared" si="556"/>
        <v>-530100.67000000004</v>
      </c>
      <c r="BS461" s="15">
        <f t="shared" si="556"/>
        <v>0</v>
      </c>
      <c r="BT461" s="15">
        <f t="shared" si="556"/>
        <v>-822982.53999999992</v>
      </c>
      <c r="BU461" s="15">
        <f t="shared" si="556"/>
        <v>0</v>
      </c>
      <c r="BV461" s="15">
        <f t="shared" si="556"/>
        <v>-5900936.21</v>
      </c>
      <c r="BW461" s="15">
        <f t="shared" si="556"/>
        <v>0</v>
      </c>
      <c r="BX461" s="15">
        <f t="shared" si="556"/>
        <v>11540600.827000001</v>
      </c>
      <c r="BY461" s="15">
        <f t="shared" si="556"/>
        <v>0</v>
      </c>
      <c r="BZ461" s="15">
        <f t="shared" si="556"/>
        <v>3057637</v>
      </c>
      <c r="CA461" s="15">
        <f t="shared" si="556"/>
        <v>7214614</v>
      </c>
      <c r="CB461" s="15">
        <f t="shared" si="556"/>
        <v>0</v>
      </c>
      <c r="CC461" s="15">
        <f t="shared" si="556"/>
        <v>1342923.8993804301</v>
      </c>
      <c r="CD461" s="15">
        <f t="shared" si="556"/>
        <v>-740250.39</v>
      </c>
      <c r="CE461" s="15">
        <f t="shared" ref="CE461:DJ461" si="557">+CE458+CE317+CE311+CE160+CE74+CE67+CE11+CE328+CE374+CE22+CE378+CE382</f>
        <v>0</v>
      </c>
      <c r="CF461" s="15">
        <f t="shared" si="557"/>
        <v>-203157.40000000002</v>
      </c>
      <c r="CG461" s="15">
        <f t="shared" si="557"/>
        <v>-295930.08</v>
      </c>
      <c r="CH461" s="15">
        <f t="shared" si="557"/>
        <v>-581187.32000000007</v>
      </c>
      <c r="CI461" s="15">
        <f t="shared" si="557"/>
        <v>0</v>
      </c>
      <c r="CJ461" s="15">
        <f t="shared" si="557"/>
        <v>-1012910.57</v>
      </c>
      <c r="CK461" s="15">
        <f t="shared" si="557"/>
        <v>0</v>
      </c>
      <c r="CL461" s="15">
        <f t="shared" si="557"/>
        <v>-1093598.8699999999</v>
      </c>
      <c r="CM461" s="15">
        <f t="shared" si="557"/>
        <v>0</v>
      </c>
      <c r="CN461" s="15">
        <f t="shared" si="557"/>
        <v>-602427.98</v>
      </c>
      <c r="CO461" s="15">
        <f t="shared" si="557"/>
        <v>0</v>
      </c>
      <c r="CP461" s="15">
        <f t="shared" si="557"/>
        <v>-951224.62</v>
      </c>
      <c r="CQ461" s="15">
        <f t="shared" si="557"/>
        <v>0</v>
      </c>
      <c r="CR461" s="15">
        <f t="shared" si="557"/>
        <v>-440830.28</v>
      </c>
      <c r="CS461" s="15">
        <f t="shared" si="557"/>
        <v>0</v>
      </c>
      <c r="CT461" s="15">
        <f t="shared" si="557"/>
        <v>-949436.14000000013</v>
      </c>
      <c r="CU461" s="15">
        <f t="shared" si="557"/>
        <v>0</v>
      </c>
      <c r="CV461" s="15">
        <f t="shared" si="557"/>
        <v>-1289829.4300000002</v>
      </c>
      <c r="CW461" s="15">
        <f t="shared" si="557"/>
        <v>0</v>
      </c>
      <c r="CX461" s="15">
        <f t="shared" si="557"/>
        <v>-428075.19</v>
      </c>
      <c r="CY461" s="15">
        <f t="shared" si="557"/>
        <v>0</v>
      </c>
      <c r="CZ461" s="15">
        <f t="shared" si="557"/>
        <v>-734918.96000000008</v>
      </c>
      <c r="DA461" s="15">
        <f t="shared" si="557"/>
        <v>0</v>
      </c>
      <c r="DB461" s="15">
        <f t="shared" si="557"/>
        <v>-943407.79</v>
      </c>
      <c r="DC461" s="15">
        <f t="shared" si="557"/>
        <v>-8380369.4400000004</v>
      </c>
      <c r="DD461" s="15">
        <f t="shared" si="557"/>
        <v>0</v>
      </c>
      <c r="DE461" s="15">
        <f t="shared" si="557"/>
        <v>13831998.49638043</v>
      </c>
      <c r="DF461" s="15">
        <f t="shared" si="557"/>
        <v>0</v>
      </c>
      <c r="DG461" s="15">
        <f t="shared" si="557"/>
        <v>5963180.9967999998</v>
      </c>
      <c r="DH461" s="15">
        <f t="shared" si="557"/>
        <v>2379432.3556000004</v>
      </c>
      <c r="DI461" s="15">
        <f t="shared" si="557"/>
        <v>0</v>
      </c>
      <c r="DJ461" s="15">
        <f t="shared" si="557"/>
        <v>1449502</v>
      </c>
      <c r="DK461" s="15">
        <f t="shared" ref="DK461:EP461" si="558">+DK458+DK317+DK311+DK160+DK74+DK67+DK11+DK328+DK374+DK22+DK378+DK382</f>
        <v>-475842.35930000001</v>
      </c>
      <c r="DL461" s="15">
        <f t="shared" si="558"/>
        <v>0</v>
      </c>
      <c r="DM461" s="15">
        <f t="shared" si="558"/>
        <v>-360289.76</v>
      </c>
      <c r="DN461" s="15">
        <f t="shared" si="558"/>
        <v>0</v>
      </c>
      <c r="DO461" s="15">
        <f t="shared" si="558"/>
        <v>-28254</v>
      </c>
      <c r="DP461" s="15">
        <f t="shared" si="558"/>
        <v>-1150752.7300000002</v>
      </c>
      <c r="DQ461" s="15">
        <f t="shared" si="558"/>
        <v>-399446.32999999996</v>
      </c>
      <c r="DR461" s="15">
        <f t="shared" si="558"/>
        <v>-822604.75</v>
      </c>
      <c r="DS461" s="15">
        <f t="shared" si="558"/>
        <v>-1039336.3899999999</v>
      </c>
      <c r="DT461" s="15">
        <f t="shared" si="558"/>
        <v>0</v>
      </c>
      <c r="DU461" s="15">
        <f t="shared" si="558"/>
        <v>-1103734.53</v>
      </c>
      <c r="DV461" s="15">
        <f t="shared" si="558"/>
        <v>0</v>
      </c>
      <c r="DW461" s="15">
        <f t="shared" si="558"/>
        <v>-292801.34980000003</v>
      </c>
      <c r="DX461" s="15">
        <f t="shared" si="558"/>
        <v>0</v>
      </c>
      <c r="DY461" s="15">
        <f t="shared" si="558"/>
        <v>-1348001.5299999996</v>
      </c>
      <c r="DZ461" s="15">
        <f t="shared" si="558"/>
        <v>0</v>
      </c>
      <c r="EA461" s="15">
        <f t="shared" si="558"/>
        <v>-673118.39999999991</v>
      </c>
      <c r="EB461" s="15">
        <f t="shared" si="558"/>
        <v>0</v>
      </c>
      <c r="EC461" s="15">
        <f t="shared" si="558"/>
        <v>-413897.05</v>
      </c>
      <c r="ED461" s="15">
        <f t="shared" si="558"/>
        <v>0</v>
      </c>
      <c r="EE461" s="15">
        <f t="shared" si="558"/>
        <v>-475584.62000000005</v>
      </c>
      <c r="EF461" s="15">
        <f t="shared" si="558"/>
        <v>822604.75</v>
      </c>
      <c r="EG461" s="135">
        <f t="shared" si="558"/>
        <v>-968269.45</v>
      </c>
      <c r="EH461" s="15">
        <f t="shared" si="558"/>
        <v>-608415.1</v>
      </c>
      <c r="EI461" s="15">
        <f t="shared" si="558"/>
        <v>-552724.08999999973</v>
      </c>
      <c r="EJ461" s="15">
        <f t="shared" si="558"/>
        <v>-2119022.1800000002</v>
      </c>
      <c r="EK461" s="15">
        <f t="shared" si="558"/>
        <v>-7214333.9191000015</v>
      </c>
      <c r="EL461" s="15">
        <f t="shared" si="558"/>
        <v>-552724.08999999973</v>
      </c>
      <c r="EM461" s="15">
        <f t="shared" si="558"/>
        <v>13738033.659680428</v>
      </c>
      <c r="EN461" s="15">
        <f t="shared" si="558"/>
        <v>0</v>
      </c>
      <c r="EO461" s="15">
        <f t="shared" si="558"/>
        <v>169990.3952</v>
      </c>
      <c r="EP461" s="15">
        <f t="shared" si="558"/>
        <v>1575289.5597606497</v>
      </c>
      <c r="EQ461" s="15">
        <f t="shared" ref="EQ461:FI461" si="559">+EQ458+EQ317+EQ311+EQ160+EQ74+EQ67+EQ11+EQ328+EQ374+EQ22+EQ378+EQ382</f>
        <v>2262105</v>
      </c>
      <c r="ER461" s="15">
        <f t="shared" si="559"/>
        <v>0</v>
      </c>
      <c r="ES461" s="150">
        <f t="shared" si="559"/>
        <v>-1775630.64</v>
      </c>
      <c r="ET461" s="150">
        <f t="shared" si="559"/>
        <v>-137489.74</v>
      </c>
      <c r="EU461" s="150">
        <f t="shared" si="559"/>
        <v>-566704.17000000004</v>
      </c>
      <c r="EV461" s="150">
        <f t="shared" ref="EV461" si="560">+EV458+EV317+EV311+EV160+EV74+EV67+EV11+EV328+EV374+EV22+EV378+EV382</f>
        <v>10715.6</v>
      </c>
      <c r="EW461" s="150">
        <f t="shared" si="559"/>
        <v>-402266.95999999996</v>
      </c>
      <c r="EX461" s="150">
        <f t="shared" si="559"/>
        <v>-2174472.92</v>
      </c>
      <c r="EY461" s="150">
        <f t="shared" si="559"/>
        <v>-252375.67000000004</v>
      </c>
      <c r="EZ461" s="150">
        <f t="shared" ref="EZ461:FB461" si="561">+EZ458+EZ317+EZ311+EZ160+EZ74+EZ67+EZ11+EZ328+EZ374+EZ22+EZ378+EZ382</f>
        <v>-10715.6</v>
      </c>
      <c r="FA461" s="150">
        <f t="shared" si="561"/>
        <v>-54743</v>
      </c>
      <c r="FB461" s="150">
        <f t="shared" si="561"/>
        <v>65458.6</v>
      </c>
      <c r="FC461" s="150">
        <f t="shared" si="559"/>
        <v>-255233.07</v>
      </c>
      <c r="FD461" s="150">
        <f t="shared" si="559"/>
        <v>-289966.25</v>
      </c>
      <c r="FE461" s="150">
        <f t="shared" si="559"/>
        <v>-277267.02999999997</v>
      </c>
      <c r="FF461" s="150">
        <f t="shared" si="559"/>
        <v>0</v>
      </c>
      <c r="FG461" s="150">
        <f t="shared" si="559"/>
        <v>0</v>
      </c>
      <c r="FH461" s="150">
        <f t="shared" si="559"/>
        <v>0</v>
      </c>
      <c r="FI461" s="150">
        <f t="shared" si="559"/>
        <v>0</v>
      </c>
      <c r="FJ461" s="150">
        <f t="shared" ref="FJ461" si="562">+FJ458+FJ317+FJ311+FJ160+FJ74+FJ67+FJ11+FJ328+FJ374+FJ22+FJ378+FJ382</f>
        <v>-54743</v>
      </c>
      <c r="FK461" s="150">
        <f>+FK458+FK317+FK311+FK160+FK74+FK67+FK11+FK328+FK374+FK22+FK378+FK382</f>
        <v>-6065947.8500000006</v>
      </c>
      <c r="FL461" s="15">
        <f>EM461+EO461+EP461+EQ461+FK461</f>
        <v>11679470.764641076</v>
      </c>
    </row>
    <row r="462" spans="1:168" ht="13.5" thickTop="1" x14ac:dyDescent="0.2">
      <c r="AV462" s="79"/>
      <c r="DG462" s="79">
        <f>'[1]Master Report'!$SD$622+DG22</f>
        <v>5963180.9968000008</v>
      </c>
      <c r="DH462" s="79">
        <f>'[1]Master Report'!$SE$622</f>
        <v>2379431.3556000004</v>
      </c>
      <c r="DP462" s="131"/>
    </row>
    <row r="463" spans="1:168" ht="13.5" thickBot="1" x14ac:dyDescent="0.25">
      <c r="AV463" s="79"/>
      <c r="DG463" s="79">
        <f>DG461-DG462</f>
        <v>0</v>
      </c>
      <c r="DH463" s="79">
        <f>DH461-DH462</f>
        <v>1</v>
      </c>
      <c r="DP463" s="131"/>
    </row>
    <row r="464" spans="1:168" ht="13.5" thickBot="1" x14ac:dyDescent="0.25">
      <c r="N464" s="326"/>
      <c r="O464" s="327"/>
      <c r="P464" s="328"/>
      <c r="Q464" s="51"/>
      <c r="R464" s="46"/>
      <c r="S464" s="65"/>
      <c r="T464" s="65" t="s">
        <v>186</v>
      </c>
      <c r="U464" s="65" t="s">
        <v>187</v>
      </c>
      <c r="V464" s="65" t="s">
        <v>186</v>
      </c>
      <c r="W464" s="65" t="s">
        <v>187</v>
      </c>
      <c r="X464" s="65" t="s">
        <v>186</v>
      </c>
      <c r="Y464" s="65" t="s">
        <v>187</v>
      </c>
      <c r="Z464" s="65" t="s">
        <v>186</v>
      </c>
      <c r="AA464" s="65" t="s">
        <v>187</v>
      </c>
      <c r="AB464" s="65" t="s">
        <v>186</v>
      </c>
      <c r="AC464" s="65" t="s">
        <v>187</v>
      </c>
      <c r="AD464" s="65" t="s">
        <v>186</v>
      </c>
      <c r="AE464" s="65" t="s">
        <v>187</v>
      </c>
      <c r="AF464" s="65" t="s">
        <v>186</v>
      </c>
      <c r="AG464" s="65" t="s">
        <v>187</v>
      </c>
      <c r="AH464" s="65" t="s">
        <v>186</v>
      </c>
      <c r="AI464" s="65" t="s">
        <v>187</v>
      </c>
      <c r="AJ464" s="65" t="s">
        <v>186</v>
      </c>
      <c r="AK464" s="65" t="s">
        <v>187</v>
      </c>
      <c r="AL464" s="65" t="s">
        <v>186</v>
      </c>
      <c r="AM464" s="65" t="s">
        <v>187</v>
      </c>
      <c r="AN464" s="65" t="s">
        <v>186</v>
      </c>
      <c r="AO464" s="65" t="s">
        <v>187</v>
      </c>
      <c r="AP464" s="65" t="s">
        <v>186</v>
      </c>
      <c r="AQ464" s="65" t="s">
        <v>187</v>
      </c>
      <c r="AR464" s="65"/>
      <c r="AS464" s="65"/>
      <c r="AT464" s="163"/>
      <c r="AU464" s="164"/>
      <c r="AV464" s="102"/>
      <c r="AW464" s="102"/>
      <c r="AX464" s="65" t="s">
        <v>186</v>
      </c>
      <c r="AY464" s="65" t="s">
        <v>187</v>
      </c>
      <c r="AZ464" s="65" t="s">
        <v>186</v>
      </c>
      <c r="BA464" s="65" t="s">
        <v>187</v>
      </c>
      <c r="BB464" s="65" t="s">
        <v>186</v>
      </c>
      <c r="BC464" s="65" t="s">
        <v>187</v>
      </c>
      <c r="BD464" s="65" t="s">
        <v>186</v>
      </c>
      <c r="BE464" s="65" t="s">
        <v>187</v>
      </c>
      <c r="BF464" s="65" t="s">
        <v>186</v>
      </c>
      <c r="BG464" s="65" t="s">
        <v>187</v>
      </c>
      <c r="BH464" s="65" t="s">
        <v>186</v>
      </c>
      <c r="BI464" s="65" t="s">
        <v>187</v>
      </c>
      <c r="BJ464" s="65" t="s">
        <v>186</v>
      </c>
      <c r="BK464" s="65" t="s">
        <v>187</v>
      </c>
      <c r="BL464" s="65" t="s">
        <v>186</v>
      </c>
      <c r="BM464" s="65" t="s">
        <v>187</v>
      </c>
      <c r="BN464" s="65" t="s">
        <v>186</v>
      </c>
      <c r="BO464" s="65" t="s">
        <v>187</v>
      </c>
      <c r="BP464" s="65" t="s">
        <v>186</v>
      </c>
      <c r="BQ464" s="65" t="s">
        <v>187</v>
      </c>
      <c r="BR464" s="65" t="s">
        <v>186</v>
      </c>
      <c r="BS464" s="65" t="s">
        <v>187</v>
      </c>
      <c r="BT464" s="65" t="s">
        <v>186</v>
      </c>
      <c r="BU464" s="65" t="s">
        <v>187</v>
      </c>
      <c r="BV464" s="65"/>
      <c r="BW464" s="65"/>
      <c r="BX464" s="165"/>
      <c r="BY464" s="164"/>
      <c r="BZ464" s="102"/>
      <c r="CA464" s="102"/>
      <c r="CB464" s="164"/>
      <c r="CC464" s="102"/>
      <c r="CD464" s="65" t="s">
        <v>186</v>
      </c>
      <c r="CE464" s="65" t="s">
        <v>187</v>
      </c>
      <c r="CF464" s="65" t="s">
        <v>186</v>
      </c>
      <c r="CG464" s="65" t="s">
        <v>187</v>
      </c>
      <c r="CH464" s="65" t="s">
        <v>187</v>
      </c>
      <c r="CI464" s="65" t="s">
        <v>195</v>
      </c>
      <c r="CJ464" s="65" t="s">
        <v>187</v>
      </c>
      <c r="CK464" s="65" t="s">
        <v>195</v>
      </c>
      <c r="CL464" s="65" t="s">
        <v>187</v>
      </c>
      <c r="CM464" s="65" t="s">
        <v>195</v>
      </c>
      <c r="CN464" s="65" t="s">
        <v>187</v>
      </c>
      <c r="CO464" s="65" t="s">
        <v>195</v>
      </c>
      <c r="CP464" s="65" t="s">
        <v>187</v>
      </c>
      <c r="CQ464" s="65" t="s">
        <v>195</v>
      </c>
      <c r="CR464" s="65" t="s">
        <v>187</v>
      </c>
      <c r="CS464" s="65" t="s">
        <v>195</v>
      </c>
      <c r="CT464" s="65" t="s">
        <v>187</v>
      </c>
      <c r="CU464" s="65" t="s">
        <v>195</v>
      </c>
      <c r="CV464" s="65" t="s">
        <v>187</v>
      </c>
      <c r="CW464" s="65" t="s">
        <v>195</v>
      </c>
      <c r="CX464" s="65" t="s">
        <v>187</v>
      </c>
      <c r="CY464" s="65" t="s">
        <v>195</v>
      </c>
      <c r="CZ464" s="65" t="s">
        <v>187</v>
      </c>
      <c r="DA464" s="65" t="s">
        <v>195</v>
      </c>
      <c r="DB464" s="65"/>
      <c r="DC464" s="65"/>
      <c r="DD464" s="65"/>
      <c r="DE464" s="165"/>
      <c r="DF464" s="164"/>
      <c r="DG464" s="102"/>
      <c r="DH464" s="102"/>
      <c r="DI464" s="164"/>
      <c r="DJ464" s="102"/>
      <c r="DK464" s="65" t="s">
        <v>187</v>
      </c>
      <c r="DL464" s="65" t="s">
        <v>690</v>
      </c>
      <c r="DM464" s="65" t="s">
        <v>187</v>
      </c>
      <c r="DN464" s="65" t="s">
        <v>690</v>
      </c>
      <c r="DO464" s="65" t="s">
        <v>187</v>
      </c>
      <c r="DP464" s="166" t="s">
        <v>697</v>
      </c>
      <c r="DQ464" s="65" t="s">
        <v>187</v>
      </c>
      <c r="DR464" s="65" t="s">
        <v>690</v>
      </c>
      <c r="DS464" s="65" t="s">
        <v>187</v>
      </c>
      <c r="DT464" s="65" t="s">
        <v>690</v>
      </c>
      <c r="DU464" s="65" t="s">
        <v>187</v>
      </c>
      <c r="DV464" s="65" t="s">
        <v>690</v>
      </c>
      <c r="DW464" s="65" t="s">
        <v>187</v>
      </c>
      <c r="DX464" s="65" t="s">
        <v>690</v>
      </c>
      <c r="DY464" s="65" t="s">
        <v>187</v>
      </c>
      <c r="DZ464" s="65" t="s">
        <v>690</v>
      </c>
      <c r="EA464" s="65" t="s">
        <v>187</v>
      </c>
      <c r="EB464" s="65" t="s">
        <v>690</v>
      </c>
      <c r="EC464" s="65" t="s">
        <v>187</v>
      </c>
      <c r="ED464" s="65" t="s">
        <v>690</v>
      </c>
      <c r="EE464" s="65" t="s">
        <v>187</v>
      </c>
      <c r="EF464" s="65" t="s">
        <v>690</v>
      </c>
      <c r="EG464" s="166" t="s">
        <v>697</v>
      </c>
      <c r="EH464" s="65" t="s">
        <v>187</v>
      </c>
      <c r="EI464" s="65" t="s">
        <v>690</v>
      </c>
      <c r="EJ464" s="65"/>
      <c r="EK464" s="65"/>
      <c r="EL464" s="65"/>
      <c r="EM464" s="165"/>
      <c r="EN464" s="165"/>
      <c r="EO464" s="165"/>
      <c r="EP464" s="165"/>
      <c r="EQ464" s="165"/>
      <c r="ER464" s="165"/>
      <c r="ES464" s="47" t="s">
        <v>691</v>
      </c>
      <c r="ET464" s="47" t="s">
        <v>691</v>
      </c>
      <c r="EU464" s="47" t="s">
        <v>691</v>
      </c>
      <c r="EV464" s="47" t="s">
        <v>187</v>
      </c>
      <c r="EW464" s="47" t="s">
        <v>691</v>
      </c>
      <c r="EX464" s="47" t="s">
        <v>691</v>
      </c>
      <c r="EY464" s="47" t="s">
        <v>691</v>
      </c>
      <c r="EZ464" s="47" t="s">
        <v>187</v>
      </c>
      <c r="FA464" s="47" t="s">
        <v>812</v>
      </c>
      <c r="FB464" s="47" t="s">
        <v>691</v>
      </c>
      <c r="FC464" s="47" t="s">
        <v>691</v>
      </c>
      <c r="FD464" s="47" t="s">
        <v>691</v>
      </c>
      <c r="FE464" s="47" t="s">
        <v>691</v>
      </c>
      <c r="FF464" s="47" t="s">
        <v>691</v>
      </c>
      <c r="FG464" s="47" t="s">
        <v>691</v>
      </c>
      <c r="FH464" s="47" t="s">
        <v>691</v>
      </c>
      <c r="FI464" s="47"/>
      <c r="FJ464" s="47"/>
      <c r="FK464" s="47"/>
      <c r="FL464" s="157"/>
    </row>
    <row r="465" spans="4:168" x14ac:dyDescent="0.2">
      <c r="N465" s="320" t="s">
        <v>196</v>
      </c>
      <c r="O465" s="321"/>
      <c r="P465" s="322"/>
      <c r="Q465" s="52"/>
      <c r="R465" s="48"/>
      <c r="S465" s="49">
        <f t="shared" ref="S465:AB474" si="563">SUMIF($E$1:$E$692,$N465,S:S)</f>
        <v>52050</v>
      </c>
      <c r="T465" s="49">
        <f t="shared" si="563"/>
        <v>0</v>
      </c>
      <c r="U465" s="49">
        <f t="shared" si="563"/>
        <v>0</v>
      </c>
      <c r="V465" s="49">
        <f t="shared" si="563"/>
        <v>0</v>
      </c>
      <c r="W465" s="49">
        <f t="shared" si="563"/>
        <v>0</v>
      </c>
      <c r="X465" s="49">
        <f t="shared" si="563"/>
        <v>0</v>
      </c>
      <c r="Y465" s="49">
        <f t="shared" si="563"/>
        <v>0</v>
      </c>
      <c r="Z465" s="49">
        <f t="shared" si="563"/>
        <v>0</v>
      </c>
      <c r="AA465" s="49">
        <f t="shared" si="563"/>
        <v>0</v>
      </c>
      <c r="AB465" s="49">
        <f t="shared" si="563"/>
        <v>0</v>
      </c>
      <c r="AC465" s="49">
        <f t="shared" ref="AC465:AL474" si="564">SUMIF($E$1:$E$692,$N465,AC:AC)</f>
        <v>0</v>
      </c>
      <c r="AD465" s="49">
        <f t="shared" si="564"/>
        <v>0</v>
      </c>
      <c r="AE465" s="49">
        <f t="shared" si="564"/>
        <v>0</v>
      </c>
      <c r="AF465" s="49">
        <f t="shared" si="564"/>
        <v>0</v>
      </c>
      <c r="AG465" s="49">
        <f t="shared" si="564"/>
        <v>0</v>
      </c>
      <c r="AH465" s="49">
        <f t="shared" si="564"/>
        <v>0</v>
      </c>
      <c r="AI465" s="49">
        <f t="shared" si="564"/>
        <v>0</v>
      </c>
      <c r="AJ465" s="49">
        <f t="shared" si="564"/>
        <v>0</v>
      </c>
      <c r="AK465" s="49">
        <f t="shared" si="564"/>
        <v>0</v>
      </c>
      <c r="AL465" s="49">
        <f t="shared" si="564"/>
        <v>0</v>
      </c>
      <c r="AM465" s="49">
        <f t="shared" ref="AM465:AT474" si="565">SUMIF($E$1:$E$692,$N465,AM:AM)</f>
        <v>0</v>
      </c>
      <c r="AN465" s="49">
        <f t="shared" si="565"/>
        <v>0</v>
      </c>
      <c r="AO465" s="49">
        <f t="shared" si="565"/>
        <v>0</v>
      </c>
      <c r="AP465" s="49">
        <f t="shared" si="565"/>
        <v>0</v>
      </c>
      <c r="AQ465" s="49">
        <f t="shared" si="565"/>
        <v>0</v>
      </c>
      <c r="AR465" s="49">
        <f t="shared" si="565"/>
        <v>0</v>
      </c>
      <c r="AS465" s="49">
        <f t="shared" si="565"/>
        <v>0</v>
      </c>
      <c r="AT465" s="49">
        <f t="shared" si="565"/>
        <v>52050</v>
      </c>
      <c r="AU465" s="167"/>
      <c r="AV465" s="49">
        <f t="shared" ref="AV465:BE474" si="566">SUMIF($E$1:$E$692,$N465,AV:AV)</f>
        <v>0</v>
      </c>
      <c r="AW465" s="49">
        <f t="shared" si="566"/>
        <v>0</v>
      </c>
      <c r="AX465" s="49">
        <f t="shared" si="566"/>
        <v>-20307</v>
      </c>
      <c r="AY465" s="49">
        <f t="shared" si="566"/>
        <v>0</v>
      </c>
      <c r="AZ465" s="49">
        <f t="shared" si="566"/>
        <v>0</v>
      </c>
      <c r="BA465" s="49">
        <f t="shared" si="566"/>
        <v>0</v>
      </c>
      <c r="BB465" s="49">
        <f t="shared" si="566"/>
        <v>0</v>
      </c>
      <c r="BC465" s="49">
        <f t="shared" si="566"/>
        <v>0</v>
      </c>
      <c r="BD465" s="49">
        <f t="shared" si="566"/>
        <v>0</v>
      </c>
      <c r="BE465" s="49">
        <f t="shared" si="566"/>
        <v>0</v>
      </c>
      <c r="BF465" s="49">
        <f t="shared" ref="BF465:BO474" si="567">SUMIF($E$1:$E$692,$N465,BF:BF)</f>
        <v>-839</v>
      </c>
      <c r="BG465" s="49">
        <f t="shared" si="567"/>
        <v>0</v>
      </c>
      <c r="BH465" s="49">
        <f t="shared" si="567"/>
        <v>-754</v>
      </c>
      <c r="BI465" s="49">
        <f t="shared" si="567"/>
        <v>0</v>
      </c>
      <c r="BJ465" s="49">
        <f t="shared" si="567"/>
        <v>-610</v>
      </c>
      <c r="BK465" s="49">
        <f t="shared" si="567"/>
        <v>0</v>
      </c>
      <c r="BL465" s="49">
        <f t="shared" si="567"/>
        <v>-112</v>
      </c>
      <c r="BM465" s="49">
        <f t="shared" si="567"/>
        <v>0</v>
      </c>
      <c r="BN465" s="49">
        <f t="shared" si="567"/>
        <v>0</v>
      </c>
      <c r="BO465" s="49">
        <f t="shared" si="567"/>
        <v>0</v>
      </c>
      <c r="BP465" s="49">
        <f t="shared" ref="BP465:BX474" si="568">SUMIF($E$1:$E$692,$N465,BP:BP)</f>
        <v>-9286</v>
      </c>
      <c r="BQ465" s="49">
        <f t="shared" si="568"/>
        <v>0</v>
      </c>
      <c r="BR465" s="49">
        <f t="shared" si="568"/>
        <v>-7665.57</v>
      </c>
      <c r="BS465" s="49">
        <f t="shared" si="568"/>
        <v>0</v>
      </c>
      <c r="BT465" s="49">
        <f t="shared" si="568"/>
        <v>-89.69</v>
      </c>
      <c r="BU465" s="49">
        <f t="shared" si="568"/>
        <v>0</v>
      </c>
      <c r="BV465" s="49">
        <f t="shared" si="568"/>
        <v>-39663.259999999995</v>
      </c>
      <c r="BW465" s="49">
        <f t="shared" si="568"/>
        <v>0</v>
      </c>
      <c r="BX465" s="50">
        <f t="shared" si="568"/>
        <v>12386.740000000002</v>
      </c>
      <c r="BY465" s="167"/>
      <c r="BZ465" s="49">
        <f t="shared" ref="BZ465:CA488" si="569">SUMIF($E$1:$E$692,$N465,BZ:BZ)</f>
        <v>0</v>
      </c>
      <c r="CA465" s="49">
        <f t="shared" si="569"/>
        <v>0</v>
      </c>
      <c r="CB465" s="167"/>
      <c r="CC465" s="49">
        <f t="shared" ref="CC465:CL474" si="570">SUMIF($E$1:$E$692,$N465,CC:CC)</f>
        <v>0</v>
      </c>
      <c r="CD465" s="49">
        <f t="shared" si="570"/>
        <v>0</v>
      </c>
      <c r="CE465" s="49">
        <f t="shared" si="570"/>
        <v>0</v>
      </c>
      <c r="CF465" s="49">
        <f t="shared" si="570"/>
        <v>0</v>
      </c>
      <c r="CG465" s="49">
        <f t="shared" si="570"/>
        <v>0</v>
      </c>
      <c r="CH465" s="49">
        <f t="shared" si="570"/>
        <v>-10643.74</v>
      </c>
      <c r="CI465" s="49">
        <f t="shared" si="570"/>
        <v>0</v>
      </c>
      <c r="CJ465" s="49">
        <f t="shared" si="570"/>
        <v>0</v>
      </c>
      <c r="CK465" s="49">
        <f t="shared" si="570"/>
        <v>0</v>
      </c>
      <c r="CL465" s="49">
        <f t="shared" si="570"/>
        <v>0</v>
      </c>
      <c r="CM465" s="49">
        <f t="shared" ref="CM465:CV474" si="571">SUMIF($E$1:$E$692,$N465,CM:CM)</f>
        <v>0</v>
      </c>
      <c r="CN465" s="49">
        <f t="shared" si="571"/>
        <v>0</v>
      </c>
      <c r="CO465" s="49">
        <f t="shared" si="571"/>
        <v>0</v>
      </c>
      <c r="CP465" s="49">
        <f t="shared" si="571"/>
        <v>0</v>
      </c>
      <c r="CQ465" s="49">
        <f t="shared" si="571"/>
        <v>0</v>
      </c>
      <c r="CR465" s="49">
        <f t="shared" si="571"/>
        <v>0</v>
      </c>
      <c r="CS465" s="49">
        <f t="shared" si="571"/>
        <v>0</v>
      </c>
      <c r="CT465" s="49">
        <f t="shared" si="571"/>
        <v>0</v>
      </c>
      <c r="CU465" s="49">
        <f t="shared" si="571"/>
        <v>0</v>
      </c>
      <c r="CV465" s="49">
        <f t="shared" si="571"/>
        <v>0</v>
      </c>
      <c r="CW465" s="49">
        <f t="shared" ref="CW465:DE474" si="572">SUMIF($E$1:$E$692,$N465,CW:CW)</f>
        <v>0</v>
      </c>
      <c r="CX465" s="49">
        <f t="shared" si="572"/>
        <v>0</v>
      </c>
      <c r="CY465" s="49">
        <f t="shared" si="572"/>
        <v>0</v>
      </c>
      <c r="CZ465" s="49">
        <f t="shared" si="572"/>
        <v>0</v>
      </c>
      <c r="DA465" s="49">
        <f t="shared" si="572"/>
        <v>0</v>
      </c>
      <c r="DB465" s="49">
        <f t="shared" si="572"/>
        <v>0</v>
      </c>
      <c r="DC465" s="49">
        <f t="shared" si="572"/>
        <v>-10643.74</v>
      </c>
      <c r="DD465" s="49">
        <f t="shared" si="572"/>
        <v>0</v>
      </c>
      <c r="DE465" s="50">
        <f t="shared" si="572"/>
        <v>1743</v>
      </c>
      <c r="DF465" s="167"/>
      <c r="DG465" s="49">
        <f t="shared" ref="DG465:DH488" si="573">SUMIF($E$1:$E$692,$N465,DG:DG)</f>
        <v>0</v>
      </c>
      <c r="DH465" s="49">
        <f t="shared" si="573"/>
        <v>0</v>
      </c>
      <c r="DI465" s="167"/>
      <c r="DJ465" s="49">
        <f t="shared" ref="DJ465:DS474" si="574">SUMIF($E$1:$E$692,$N465,DJ:DJ)</f>
        <v>0</v>
      </c>
      <c r="DK465" s="49">
        <f t="shared" si="574"/>
        <v>0</v>
      </c>
      <c r="DL465" s="49">
        <f t="shared" si="574"/>
        <v>0</v>
      </c>
      <c r="DM465" s="49">
        <f t="shared" si="574"/>
        <v>0</v>
      </c>
      <c r="DN465" s="49">
        <f t="shared" si="574"/>
        <v>0</v>
      </c>
      <c r="DO465" s="49">
        <f t="shared" si="574"/>
        <v>0</v>
      </c>
      <c r="DP465" s="136">
        <f t="shared" si="574"/>
        <v>0</v>
      </c>
      <c r="DQ465" s="49">
        <f t="shared" si="574"/>
        <v>0</v>
      </c>
      <c r="DR465" s="49">
        <f t="shared" si="574"/>
        <v>0</v>
      </c>
      <c r="DS465" s="49">
        <f t="shared" si="574"/>
        <v>0</v>
      </c>
      <c r="DT465" s="49">
        <f t="shared" ref="DT465:EC474" si="575">SUMIF($E$1:$E$692,$N465,DT:DT)</f>
        <v>0</v>
      </c>
      <c r="DU465" s="49">
        <f t="shared" si="575"/>
        <v>0</v>
      </c>
      <c r="DV465" s="49">
        <f t="shared" si="575"/>
        <v>0</v>
      </c>
      <c r="DW465" s="49">
        <f t="shared" si="575"/>
        <v>0</v>
      </c>
      <c r="DX465" s="49">
        <f t="shared" si="575"/>
        <v>0</v>
      </c>
      <c r="DY465" s="49">
        <f t="shared" si="575"/>
        <v>0</v>
      </c>
      <c r="DZ465" s="49">
        <f t="shared" si="575"/>
        <v>0</v>
      </c>
      <c r="EA465" s="49">
        <f t="shared" si="575"/>
        <v>0</v>
      </c>
      <c r="EB465" s="49">
        <f t="shared" si="575"/>
        <v>0</v>
      </c>
      <c r="EC465" s="49">
        <f t="shared" si="575"/>
        <v>0</v>
      </c>
      <c r="ED465" s="49">
        <f t="shared" ref="ED465:EM474" si="576">SUMIF($E$1:$E$692,$N465,ED:ED)</f>
        <v>0</v>
      </c>
      <c r="EE465" s="49">
        <f t="shared" si="576"/>
        <v>0</v>
      </c>
      <c r="EF465" s="49">
        <f t="shared" si="576"/>
        <v>0</v>
      </c>
      <c r="EG465" s="136">
        <f t="shared" si="576"/>
        <v>0</v>
      </c>
      <c r="EH465" s="49">
        <f t="shared" si="576"/>
        <v>0</v>
      </c>
      <c r="EI465" s="49">
        <f t="shared" si="576"/>
        <v>0</v>
      </c>
      <c r="EJ465" s="49">
        <f t="shared" si="576"/>
        <v>0</v>
      </c>
      <c r="EK465" s="49">
        <f t="shared" si="576"/>
        <v>0</v>
      </c>
      <c r="EL465" s="49">
        <f t="shared" si="576"/>
        <v>0</v>
      </c>
      <c r="EM465" s="50">
        <f t="shared" si="576"/>
        <v>1743</v>
      </c>
      <c r="EN465" s="50"/>
      <c r="EO465" s="50"/>
      <c r="EP465" s="50"/>
      <c r="EQ465" s="50"/>
      <c r="ER465" s="50"/>
      <c r="ES465" s="151">
        <f t="shared" ref="ES465:FB474" si="577">SUMIF($E$1:$E$692,$N465,ES:ES)</f>
        <v>0</v>
      </c>
      <c r="ET465" s="151">
        <f t="shared" si="577"/>
        <v>0</v>
      </c>
      <c r="EU465" s="151">
        <f t="shared" si="577"/>
        <v>0</v>
      </c>
      <c r="EV465" s="151">
        <f t="shared" si="577"/>
        <v>0</v>
      </c>
      <c r="EW465" s="151">
        <f t="shared" si="577"/>
        <v>0</v>
      </c>
      <c r="EX465" s="151">
        <f t="shared" si="577"/>
        <v>0</v>
      </c>
      <c r="EY465" s="151">
        <f t="shared" si="577"/>
        <v>0</v>
      </c>
      <c r="EZ465" s="151">
        <f t="shared" si="577"/>
        <v>0</v>
      </c>
      <c r="FA465" s="151">
        <f t="shared" si="577"/>
        <v>0</v>
      </c>
      <c r="FB465" s="151">
        <f t="shared" si="577"/>
        <v>0</v>
      </c>
      <c r="FC465" s="151">
        <f t="shared" ref="FC465:FK474" si="578">SUMIF($E$1:$E$692,$N465,FC:FC)</f>
        <v>0</v>
      </c>
      <c r="FD465" s="151">
        <f t="shared" si="578"/>
        <v>0</v>
      </c>
      <c r="FE465" s="151">
        <f t="shared" si="578"/>
        <v>-350</v>
      </c>
      <c r="FF465" s="151">
        <f t="shared" si="578"/>
        <v>0</v>
      </c>
      <c r="FG465" s="151">
        <f t="shared" si="578"/>
        <v>0</v>
      </c>
      <c r="FH465" s="151">
        <f t="shared" si="578"/>
        <v>0</v>
      </c>
      <c r="FI465" s="151">
        <f t="shared" si="578"/>
        <v>0</v>
      </c>
      <c r="FJ465" s="151">
        <f t="shared" si="578"/>
        <v>0</v>
      </c>
      <c r="FK465" s="151">
        <f t="shared" si="578"/>
        <v>-350</v>
      </c>
      <c r="FL465" s="29"/>
    </row>
    <row r="466" spans="4:168" x14ac:dyDescent="0.2">
      <c r="N466" s="316" t="s">
        <v>197</v>
      </c>
      <c r="O466" s="317"/>
      <c r="P466" s="318"/>
      <c r="Q466" s="53"/>
      <c r="R466" s="20"/>
      <c r="S466" s="16">
        <f t="shared" si="563"/>
        <v>0</v>
      </c>
      <c r="T466" s="16">
        <f t="shared" si="563"/>
        <v>0</v>
      </c>
      <c r="U466" s="16">
        <f t="shared" si="563"/>
        <v>0</v>
      </c>
      <c r="V466" s="16">
        <f t="shared" si="563"/>
        <v>0</v>
      </c>
      <c r="W466" s="16">
        <f t="shared" si="563"/>
        <v>0</v>
      </c>
      <c r="X466" s="16">
        <f t="shared" si="563"/>
        <v>0</v>
      </c>
      <c r="Y466" s="16">
        <f t="shared" si="563"/>
        <v>0</v>
      </c>
      <c r="Z466" s="16">
        <f t="shared" si="563"/>
        <v>0</v>
      </c>
      <c r="AA466" s="16">
        <f t="shared" si="563"/>
        <v>0</v>
      </c>
      <c r="AB466" s="16">
        <f t="shared" si="563"/>
        <v>0</v>
      </c>
      <c r="AC466" s="16">
        <f t="shared" si="564"/>
        <v>0</v>
      </c>
      <c r="AD466" s="16">
        <f t="shared" si="564"/>
        <v>0</v>
      </c>
      <c r="AE466" s="16">
        <f t="shared" si="564"/>
        <v>0</v>
      </c>
      <c r="AF466" s="16">
        <f t="shared" si="564"/>
        <v>0</v>
      </c>
      <c r="AG466" s="16">
        <f t="shared" si="564"/>
        <v>0</v>
      </c>
      <c r="AH466" s="16">
        <f t="shared" si="564"/>
        <v>0</v>
      </c>
      <c r="AI466" s="16">
        <f t="shared" si="564"/>
        <v>0</v>
      </c>
      <c r="AJ466" s="16">
        <f t="shared" si="564"/>
        <v>0</v>
      </c>
      <c r="AK466" s="16">
        <f t="shared" si="564"/>
        <v>0</v>
      </c>
      <c r="AL466" s="16">
        <f t="shared" si="564"/>
        <v>0</v>
      </c>
      <c r="AM466" s="16">
        <f t="shared" si="565"/>
        <v>0</v>
      </c>
      <c r="AN466" s="16">
        <f t="shared" si="565"/>
        <v>0</v>
      </c>
      <c r="AO466" s="16">
        <f t="shared" si="565"/>
        <v>0</v>
      </c>
      <c r="AP466" s="16">
        <f t="shared" si="565"/>
        <v>0</v>
      </c>
      <c r="AQ466" s="16">
        <f t="shared" si="565"/>
        <v>0</v>
      </c>
      <c r="AR466" s="16">
        <f t="shared" si="565"/>
        <v>0</v>
      </c>
      <c r="AS466" s="16">
        <f t="shared" si="565"/>
        <v>0</v>
      </c>
      <c r="AT466" s="16">
        <f t="shared" si="565"/>
        <v>0</v>
      </c>
      <c r="AU466" s="168"/>
      <c r="AV466" s="16">
        <f t="shared" si="566"/>
        <v>0</v>
      </c>
      <c r="AW466" s="16">
        <f t="shared" si="566"/>
        <v>80000</v>
      </c>
      <c r="AX466" s="16">
        <f t="shared" si="566"/>
        <v>0</v>
      </c>
      <c r="AY466" s="16">
        <f t="shared" si="566"/>
        <v>0</v>
      </c>
      <c r="AZ466" s="16">
        <f t="shared" si="566"/>
        <v>0</v>
      </c>
      <c r="BA466" s="16">
        <f t="shared" si="566"/>
        <v>0</v>
      </c>
      <c r="BB466" s="16">
        <f t="shared" si="566"/>
        <v>0</v>
      </c>
      <c r="BC466" s="16">
        <f t="shared" si="566"/>
        <v>0</v>
      </c>
      <c r="BD466" s="16">
        <f t="shared" si="566"/>
        <v>0</v>
      </c>
      <c r="BE466" s="16">
        <f t="shared" si="566"/>
        <v>0</v>
      </c>
      <c r="BF466" s="16">
        <f t="shared" si="567"/>
        <v>0</v>
      </c>
      <c r="BG466" s="16">
        <f t="shared" si="567"/>
        <v>0</v>
      </c>
      <c r="BH466" s="16">
        <f t="shared" si="567"/>
        <v>0</v>
      </c>
      <c r="BI466" s="16">
        <f t="shared" si="567"/>
        <v>0</v>
      </c>
      <c r="BJ466" s="16">
        <f t="shared" si="567"/>
        <v>0</v>
      </c>
      <c r="BK466" s="16">
        <f t="shared" si="567"/>
        <v>0</v>
      </c>
      <c r="BL466" s="16">
        <f t="shared" si="567"/>
        <v>0</v>
      </c>
      <c r="BM466" s="16">
        <f t="shared" si="567"/>
        <v>0</v>
      </c>
      <c r="BN466" s="16">
        <f t="shared" si="567"/>
        <v>0</v>
      </c>
      <c r="BO466" s="16">
        <f t="shared" si="567"/>
        <v>0</v>
      </c>
      <c r="BP466" s="16">
        <f t="shared" si="568"/>
        <v>0</v>
      </c>
      <c r="BQ466" s="16">
        <f t="shared" si="568"/>
        <v>0</v>
      </c>
      <c r="BR466" s="16">
        <f t="shared" si="568"/>
        <v>0</v>
      </c>
      <c r="BS466" s="16">
        <f t="shared" si="568"/>
        <v>0</v>
      </c>
      <c r="BT466" s="16">
        <f t="shared" si="568"/>
        <v>0</v>
      </c>
      <c r="BU466" s="16">
        <f t="shared" si="568"/>
        <v>0</v>
      </c>
      <c r="BV466" s="16">
        <f t="shared" si="568"/>
        <v>0</v>
      </c>
      <c r="BW466" s="16">
        <f t="shared" si="568"/>
        <v>0</v>
      </c>
      <c r="BX466" s="21">
        <f t="shared" si="568"/>
        <v>80000</v>
      </c>
      <c r="BY466" s="168"/>
      <c r="BZ466" s="16">
        <f t="shared" si="569"/>
        <v>0</v>
      </c>
      <c r="CA466" s="16">
        <f t="shared" si="569"/>
        <v>0</v>
      </c>
      <c r="CB466" s="168"/>
      <c r="CC466" s="16">
        <f t="shared" si="570"/>
        <v>0</v>
      </c>
      <c r="CD466" s="16">
        <f t="shared" si="570"/>
        <v>0</v>
      </c>
      <c r="CE466" s="16">
        <f t="shared" si="570"/>
        <v>0</v>
      </c>
      <c r="CF466" s="16">
        <f t="shared" si="570"/>
        <v>0</v>
      </c>
      <c r="CG466" s="16">
        <f t="shared" si="570"/>
        <v>0</v>
      </c>
      <c r="CH466" s="16">
        <f t="shared" si="570"/>
        <v>-33979.33</v>
      </c>
      <c r="CI466" s="16">
        <f t="shared" si="570"/>
        <v>0</v>
      </c>
      <c r="CJ466" s="16">
        <f t="shared" si="570"/>
        <v>0</v>
      </c>
      <c r="CK466" s="16">
        <f t="shared" si="570"/>
        <v>0</v>
      </c>
      <c r="CL466" s="16">
        <f t="shared" si="570"/>
        <v>-46020.67</v>
      </c>
      <c r="CM466" s="16">
        <f t="shared" si="571"/>
        <v>0</v>
      </c>
      <c r="CN466" s="16">
        <f t="shared" si="571"/>
        <v>0</v>
      </c>
      <c r="CO466" s="16">
        <f t="shared" si="571"/>
        <v>0</v>
      </c>
      <c r="CP466" s="16">
        <f t="shared" si="571"/>
        <v>0</v>
      </c>
      <c r="CQ466" s="16">
        <f t="shared" si="571"/>
        <v>0</v>
      </c>
      <c r="CR466" s="16">
        <f t="shared" si="571"/>
        <v>0</v>
      </c>
      <c r="CS466" s="16">
        <f t="shared" si="571"/>
        <v>0</v>
      </c>
      <c r="CT466" s="16">
        <f t="shared" si="571"/>
        <v>0</v>
      </c>
      <c r="CU466" s="16">
        <f t="shared" si="571"/>
        <v>0</v>
      </c>
      <c r="CV466" s="16">
        <f t="shared" si="571"/>
        <v>0</v>
      </c>
      <c r="CW466" s="16">
        <f t="shared" si="572"/>
        <v>0</v>
      </c>
      <c r="CX466" s="16">
        <f t="shared" si="572"/>
        <v>0</v>
      </c>
      <c r="CY466" s="16">
        <f t="shared" si="572"/>
        <v>0</v>
      </c>
      <c r="CZ466" s="16">
        <f t="shared" si="572"/>
        <v>0</v>
      </c>
      <c r="DA466" s="16">
        <f t="shared" si="572"/>
        <v>0</v>
      </c>
      <c r="DB466" s="16">
        <f t="shared" si="572"/>
        <v>0</v>
      </c>
      <c r="DC466" s="16">
        <f t="shared" si="572"/>
        <v>-80000</v>
      </c>
      <c r="DD466" s="16">
        <f t="shared" si="572"/>
        <v>0</v>
      </c>
      <c r="DE466" s="21">
        <f t="shared" si="572"/>
        <v>0</v>
      </c>
      <c r="DF466" s="168"/>
      <c r="DG466" s="16">
        <f t="shared" si="573"/>
        <v>0</v>
      </c>
      <c r="DH466" s="16">
        <f t="shared" si="573"/>
        <v>0</v>
      </c>
      <c r="DI466" s="168"/>
      <c r="DJ466" s="16">
        <f t="shared" si="574"/>
        <v>0</v>
      </c>
      <c r="DK466" s="16">
        <f t="shared" si="574"/>
        <v>0</v>
      </c>
      <c r="DL466" s="16">
        <f t="shared" si="574"/>
        <v>0</v>
      </c>
      <c r="DM466" s="16">
        <f t="shared" si="574"/>
        <v>0</v>
      </c>
      <c r="DN466" s="16">
        <f t="shared" si="574"/>
        <v>0</v>
      </c>
      <c r="DO466" s="16">
        <f t="shared" si="574"/>
        <v>0</v>
      </c>
      <c r="DP466" s="137">
        <f t="shared" si="574"/>
        <v>0</v>
      </c>
      <c r="DQ466" s="16">
        <f t="shared" si="574"/>
        <v>0</v>
      </c>
      <c r="DR466" s="16">
        <f t="shared" si="574"/>
        <v>0</v>
      </c>
      <c r="DS466" s="16">
        <f t="shared" si="574"/>
        <v>0</v>
      </c>
      <c r="DT466" s="16">
        <f t="shared" si="575"/>
        <v>0</v>
      </c>
      <c r="DU466" s="16">
        <f t="shared" si="575"/>
        <v>0</v>
      </c>
      <c r="DV466" s="16">
        <f t="shared" si="575"/>
        <v>0</v>
      </c>
      <c r="DW466" s="16">
        <f t="shared" si="575"/>
        <v>0</v>
      </c>
      <c r="DX466" s="16">
        <f t="shared" si="575"/>
        <v>0</v>
      </c>
      <c r="DY466" s="16">
        <f t="shared" si="575"/>
        <v>0</v>
      </c>
      <c r="DZ466" s="16">
        <f t="shared" si="575"/>
        <v>0</v>
      </c>
      <c r="EA466" s="16">
        <f t="shared" si="575"/>
        <v>0</v>
      </c>
      <c r="EB466" s="16">
        <f t="shared" si="575"/>
        <v>0</v>
      </c>
      <c r="EC466" s="16">
        <f t="shared" si="575"/>
        <v>0</v>
      </c>
      <c r="ED466" s="16">
        <f t="shared" si="576"/>
        <v>0</v>
      </c>
      <c r="EE466" s="16">
        <f t="shared" si="576"/>
        <v>0</v>
      </c>
      <c r="EF466" s="16">
        <f t="shared" si="576"/>
        <v>0</v>
      </c>
      <c r="EG466" s="137">
        <f t="shared" si="576"/>
        <v>0</v>
      </c>
      <c r="EH466" s="16">
        <f t="shared" si="576"/>
        <v>0</v>
      </c>
      <c r="EI466" s="16">
        <f t="shared" si="576"/>
        <v>0</v>
      </c>
      <c r="EJ466" s="16">
        <f t="shared" si="576"/>
        <v>0</v>
      </c>
      <c r="EK466" s="16">
        <f t="shared" si="576"/>
        <v>0</v>
      </c>
      <c r="EL466" s="16">
        <f t="shared" si="576"/>
        <v>0</v>
      </c>
      <c r="EM466" s="21">
        <f t="shared" si="576"/>
        <v>0</v>
      </c>
      <c r="EN466" s="21"/>
      <c r="EO466" s="21"/>
      <c r="EP466" s="21"/>
      <c r="EQ466" s="21"/>
      <c r="ER466" s="21"/>
      <c r="ES466" s="152">
        <f t="shared" si="577"/>
        <v>0</v>
      </c>
      <c r="ET466" s="152">
        <f t="shared" si="577"/>
        <v>0</v>
      </c>
      <c r="EU466" s="152">
        <f t="shared" si="577"/>
        <v>0</v>
      </c>
      <c r="EV466" s="152">
        <f t="shared" si="577"/>
        <v>0</v>
      </c>
      <c r="EW466" s="152">
        <f t="shared" si="577"/>
        <v>0</v>
      </c>
      <c r="EX466" s="152">
        <f t="shared" si="577"/>
        <v>0</v>
      </c>
      <c r="EY466" s="152">
        <f t="shared" si="577"/>
        <v>0</v>
      </c>
      <c r="EZ466" s="152">
        <f t="shared" si="577"/>
        <v>0</v>
      </c>
      <c r="FA466" s="152">
        <f t="shared" si="577"/>
        <v>0</v>
      </c>
      <c r="FB466" s="152">
        <f t="shared" si="577"/>
        <v>0</v>
      </c>
      <c r="FC466" s="152">
        <f t="shared" si="578"/>
        <v>0</v>
      </c>
      <c r="FD466" s="152">
        <f t="shared" si="578"/>
        <v>0</v>
      </c>
      <c r="FE466" s="152">
        <f t="shared" si="578"/>
        <v>0</v>
      </c>
      <c r="FF466" s="152">
        <f t="shared" si="578"/>
        <v>0</v>
      </c>
      <c r="FG466" s="152">
        <f t="shared" si="578"/>
        <v>0</v>
      </c>
      <c r="FH466" s="152">
        <f t="shared" si="578"/>
        <v>0</v>
      </c>
      <c r="FI466" s="152">
        <f t="shared" si="578"/>
        <v>0</v>
      </c>
      <c r="FJ466" s="152">
        <f t="shared" si="578"/>
        <v>0</v>
      </c>
      <c r="FK466" s="152">
        <f t="shared" si="578"/>
        <v>0</v>
      </c>
      <c r="FL466" s="29"/>
    </row>
    <row r="467" spans="4:168" x14ac:dyDescent="0.2">
      <c r="N467" s="316" t="s">
        <v>198</v>
      </c>
      <c r="O467" s="317"/>
      <c r="P467" s="318"/>
      <c r="Q467" s="53"/>
      <c r="R467" s="20"/>
      <c r="S467" s="16">
        <f t="shared" si="563"/>
        <v>0</v>
      </c>
      <c r="T467" s="16">
        <f t="shared" si="563"/>
        <v>0</v>
      </c>
      <c r="U467" s="16">
        <f t="shared" si="563"/>
        <v>0</v>
      </c>
      <c r="V467" s="16">
        <f t="shared" si="563"/>
        <v>0</v>
      </c>
      <c r="W467" s="16">
        <f t="shared" si="563"/>
        <v>0</v>
      </c>
      <c r="X467" s="16">
        <f t="shared" si="563"/>
        <v>0</v>
      </c>
      <c r="Y467" s="16">
        <f t="shared" si="563"/>
        <v>0</v>
      </c>
      <c r="Z467" s="16">
        <f t="shared" si="563"/>
        <v>0</v>
      </c>
      <c r="AA467" s="16">
        <f t="shared" si="563"/>
        <v>0</v>
      </c>
      <c r="AB467" s="16">
        <f t="shared" si="563"/>
        <v>0</v>
      </c>
      <c r="AC467" s="16">
        <f t="shared" si="564"/>
        <v>0</v>
      </c>
      <c r="AD467" s="16">
        <f t="shared" si="564"/>
        <v>0</v>
      </c>
      <c r="AE467" s="16">
        <f t="shared" si="564"/>
        <v>0</v>
      </c>
      <c r="AF467" s="16">
        <f t="shared" si="564"/>
        <v>0</v>
      </c>
      <c r="AG467" s="16">
        <f t="shared" si="564"/>
        <v>0</v>
      </c>
      <c r="AH467" s="16">
        <f t="shared" si="564"/>
        <v>0</v>
      </c>
      <c r="AI467" s="16">
        <f t="shared" si="564"/>
        <v>0</v>
      </c>
      <c r="AJ467" s="16">
        <f t="shared" si="564"/>
        <v>0</v>
      </c>
      <c r="AK467" s="16">
        <f t="shared" si="564"/>
        <v>0</v>
      </c>
      <c r="AL467" s="16">
        <f t="shared" si="564"/>
        <v>0</v>
      </c>
      <c r="AM467" s="16">
        <f t="shared" si="565"/>
        <v>0</v>
      </c>
      <c r="AN467" s="16">
        <f t="shared" si="565"/>
        <v>0</v>
      </c>
      <c r="AO467" s="16">
        <f t="shared" si="565"/>
        <v>0</v>
      </c>
      <c r="AP467" s="16">
        <f t="shared" si="565"/>
        <v>0</v>
      </c>
      <c r="AQ467" s="16">
        <f t="shared" si="565"/>
        <v>0</v>
      </c>
      <c r="AR467" s="16">
        <f t="shared" si="565"/>
        <v>0</v>
      </c>
      <c r="AS467" s="16">
        <f t="shared" si="565"/>
        <v>0</v>
      </c>
      <c r="AT467" s="16">
        <f t="shared" si="565"/>
        <v>0</v>
      </c>
      <c r="AU467" s="168"/>
      <c r="AV467" s="16">
        <f t="shared" si="566"/>
        <v>0</v>
      </c>
      <c r="AW467" s="16">
        <f t="shared" si="566"/>
        <v>0</v>
      </c>
      <c r="AX467" s="16">
        <f t="shared" si="566"/>
        <v>0</v>
      </c>
      <c r="AY467" s="16">
        <f t="shared" si="566"/>
        <v>0</v>
      </c>
      <c r="AZ467" s="16">
        <f t="shared" si="566"/>
        <v>0</v>
      </c>
      <c r="BA467" s="16">
        <f t="shared" si="566"/>
        <v>0</v>
      </c>
      <c r="BB467" s="16">
        <f t="shared" si="566"/>
        <v>0</v>
      </c>
      <c r="BC467" s="16">
        <f t="shared" si="566"/>
        <v>0</v>
      </c>
      <c r="BD467" s="16">
        <f t="shared" si="566"/>
        <v>0</v>
      </c>
      <c r="BE467" s="16">
        <f t="shared" si="566"/>
        <v>0</v>
      </c>
      <c r="BF467" s="16">
        <f t="shared" si="567"/>
        <v>0</v>
      </c>
      <c r="BG467" s="16">
        <f t="shared" si="567"/>
        <v>0</v>
      </c>
      <c r="BH467" s="16">
        <f t="shared" si="567"/>
        <v>0</v>
      </c>
      <c r="BI467" s="16">
        <f t="shared" si="567"/>
        <v>0</v>
      </c>
      <c r="BJ467" s="16">
        <f t="shared" si="567"/>
        <v>0</v>
      </c>
      <c r="BK467" s="16">
        <f t="shared" si="567"/>
        <v>0</v>
      </c>
      <c r="BL467" s="16">
        <f t="shared" si="567"/>
        <v>0</v>
      </c>
      <c r="BM467" s="16">
        <f t="shared" si="567"/>
        <v>0</v>
      </c>
      <c r="BN467" s="16">
        <f t="shared" si="567"/>
        <v>0</v>
      </c>
      <c r="BO467" s="16">
        <f t="shared" si="567"/>
        <v>0</v>
      </c>
      <c r="BP467" s="16">
        <f t="shared" si="568"/>
        <v>0</v>
      </c>
      <c r="BQ467" s="16">
        <f t="shared" si="568"/>
        <v>0</v>
      </c>
      <c r="BR467" s="16">
        <f t="shared" si="568"/>
        <v>0</v>
      </c>
      <c r="BS467" s="16">
        <f t="shared" si="568"/>
        <v>0</v>
      </c>
      <c r="BT467" s="16">
        <f t="shared" si="568"/>
        <v>0</v>
      </c>
      <c r="BU467" s="16">
        <f t="shared" si="568"/>
        <v>0</v>
      </c>
      <c r="BV467" s="16">
        <f t="shared" si="568"/>
        <v>0</v>
      </c>
      <c r="BW467" s="16">
        <f t="shared" si="568"/>
        <v>0</v>
      </c>
      <c r="BX467" s="21">
        <f t="shared" si="568"/>
        <v>0</v>
      </c>
      <c r="BY467" s="168"/>
      <c r="BZ467" s="16">
        <f t="shared" si="569"/>
        <v>0</v>
      </c>
      <c r="CA467" s="16">
        <f t="shared" si="569"/>
        <v>0</v>
      </c>
      <c r="CB467" s="168"/>
      <c r="CC467" s="16">
        <f t="shared" si="570"/>
        <v>0</v>
      </c>
      <c r="CD467" s="16">
        <f t="shared" si="570"/>
        <v>0</v>
      </c>
      <c r="CE467" s="16">
        <f t="shared" si="570"/>
        <v>0</v>
      </c>
      <c r="CF467" s="16">
        <f t="shared" si="570"/>
        <v>0</v>
      </c>
      <c r="CG467" s="16">
        <f t="shared" si="570"/>
        <v>0</v>
      </c>
      <c r="CH467" s="16">
        <f t="shared" si="570"/>
        <v>0</v>
      </c>
      <c r="CI467" s="16">
        <f t="shared" si="570"/>
        <v>0</v>
      </c>
      <c r="CJ467" s="16">
        <f t="shared" si="570"/>
        <v>0</v>
      </c>
      <c r="CK467" s="16">
        <f t="shared" si="570"/>
        <v>0</v>
      </c>
      <c r="CL467" s="16">
        <f t="shared" si="570"/>
        <v>0</v>
      </c>
      <c r="CM467" s="16">
        <f t="shared" si="571"/>
        <v>0</v>
      </c>
      <c r="CN467" s="16">
        <f t="shared" si="571"/>
        <v>0</v>
      </c>
      <c r="CO467" s="16">
        <f t="shared" si="571"/>
        <v>0</v>
      </c>
      <c r="CP467" s="16">
        <f t="shared" si="571"/>
        <v>0</v>
      </c>
      <c r="CQ467" s="16">
        <f t="shared" si="571"/>
        <v>0</v>
      </c>
      <c r="CR467" s="16">
        <f t="shared" si="571"/>
        <v>0</v>
      </c>
      <c r="CS467" s="16">
        <f t="shared" si="571"/>
        <v>0</v>
      </c>
      <c r="CT467" s="16">
        <f t="shared" si="571"/>
        <v>0</v>
      </c>
      <c r="CU467" s="16">
        <f t="shared" si="571"/>
        <v>0</v>
      </c>
      <c r="CV467" s="16">
        <f t="shared" si="571"/>
        <v>0</v>
      </c>
      <c r="CW467" s="16">
        <f t="shared" si="572"/>
        <v>0</v>
      </c>
      <c r="CX467" s="16">
        <f t="shared" si="572"/>
        <v>0</v>
      </c>
      <c r="CY467" s="16">
        <f t="shared" si="572"/>
        <v>0</v>
      </c>
      <c r="CZ467" s="16">
        <f t="shared" si="572"/>
        <v>0</v>
      </c>
      <c r="DA467" s="16">
        <f t="shared" si="572"/>
        <v>0</v>
      </c>
      <c r="DB467" s="16">
        <f t="shared" si="572"/>
        <v>0</v>
      </c>
      <c r="DC467" s="16">
        <f t="shared" si="572"/>
        <v>0</v>
      </c>
      <c r="DD467" s="16">
        <f t="shared" si="572"/>
        <v>0</v>
      </c>
      <c r="DE467" s="21">
        <f t="shared" si="572"/>
        <v>0</v>
      </c>
      <c r="DF467" s="168"/>
      <c r="DG467" s="16">
        <f t="shared" si="573"/>
        <v>0</v>
      </c>
      <c r="DH467" s="16">
        <f t="shared" si="573"/>
        <v>0</v>
      </c>
      <c r="DI467" s="168"/>
      <c r="DJ467" s="16">
        <f t="shared" si="574"/>
        <v>0</v>
      </c>
      <c r="DK467" s="16">
        <f t="shared" si="574"/>
        <v>0</v>
      </c>
      <c r="DL467" s="16">
        <f t="shared" si="574"/>
        <v>0</v>
      </c>
      <c r="DM467" s="16">
        <f t="shared" si="574"/>
        <v>0</v>
      </c>
      <c r="DN467" s="16">
        <f t="shared" si="574"/>
        <v>0</v>
      </c>
      <c r="DO467" s="16">
        <f t="shared" si="574"/>
        <v>0</v>
      </c>
      <c r="DP467" s="137">
        <f t="shared" si="574"/>
        <v>0</v>
      </c>
      <c r="DQ467" s="16">
        <f t="shared" si="574"/>
        <v>0</v>
      </c>
      <c r="DR467" s="16">
        <f t="shared" si="574"/>
        <v>0</v>
      </c>
      <c r="DS467" s="16">
        <f t="shared" si="574"/>
        <v>0</v>
      </c>
      <c r="DT467" s="16">
        <f t="shared" si="575"/>
        <v>0</v>
      </c>
      <c r="DU467" s="16">
        <f t="shared" si="575"/>
        <v>0</v>
      </c>
      <c r="DV467" s="16">
        <f t="shared" si="575"/>
        <v>0</v>
      </c>
      <c r="DW467" s="16">
        <f t="shared" si="575"/>
        <v>0</v>
      </c>
      <c r="DX467" s="16">
        <f t="shared" si="575"/>
        <v>0</v>
      </c>
      <c r="DY467" s="16">
        <f t="shared" si="575"/>
        <v>0</v>
      </c>
      <c r="DZ467" s="16">
        <f t="shared" si="575"/>
        <v>0</v>
      </c>
      <c r="EA467" s="16">
        <f t="shared" si="575"/>
        <v>0</v>
      </c>
      <c r="EB467" s="16">
        <f t="shared" si="575"/>
        <v>0</v>
      </c>
      <c r="EC467" s="16">
        <f t="shared" si="575"/>
        <v>0</v>
      </c>
      <c r="ED467" s="16">
        <f t="shared" si="576"/>
        <v>0</v>
      </c>
      <c r="EE467" s="16">
        <f t="shared" si="576"/>
        <v>0</v>
      </c>
      <c r="EF467" s="16">
        <f t="shared" si="576"/>
        <v>0</v>
      </c>
      <c r="EG467" s="137">
        <f t="shared" si="576"/>
        <v>0</v>
      </c>
      <c r="EH467" s="16">
        <f t="shared" si="576"/>
        <v>0</v>
      </c>
      <c r="EI467" s="16">
        <f t="shared" si="576"/>
        <v>0</v>
      </c>
      <c r="EJ467" s="16">
        <f t="shared" si="576"/>
        <v>0</v>
      </c>
      <c r="EK467" s="16">
        <f t="shared" si="576"/>
        <v>0</v>
      </c>
      <c r="EL467" s="16">
        <f t="shared" si="576"/>
        <v>0</v>
      </c>
      <c r="EM467" s="21">
        <f t="shared" si="576"/>
        <v>0</v>
      </c>
      <c r="EN467" s="21"/>
      <c r="EO467" s="21"/>
      <c r="EP467" s="21"/>
      <c r="EQ467" s="21"/>
      <c r="ER467" s="21"/>
      <c r="ES467" s="152">
        <f t="shared" si="577"/>
        <v>0</v>
      </c>
      <c r="ET467" s="152">
        <f t="shared" si="577"/>
        <v>0</v>
      </c>
      <c r="EU467" s="152">
        <f t="shared" si="577"/>
        <v>0</v>
      </c>
      <c r="EV467" s="152">
        <f t="shared" si="577"/>
        <v>0</v>
      </c>
      <c r="EW467" s="152">
        <f t="shared" si="577"/>
        <v>0</v>
      </c>
      <c r="EX467" s="152">
        <f t="shared" si="577"/>
        <v>0</v>
      </c>
      <c r="EY467" s="152">
        <f t="shared" si="577"/>
        <v>0</v>
      </c>
      <c r="EZ467" s="152">
        <f t="shared" si="577"/>
        <v>0</v>
      </c>
      <c r="FA467" s="152">
        <f t="shared" si="577"/>
        <v>0</v>
      </c>
      <c r="FB467" s="152">
        <f t="shared" si="577"/>
        <v>0</v>
      </c>
      <c r="FC467" s="152">
        <f t="shared" si="578"/>
        <v>0</v>
      </c>
      <c r="FD467" s="152">
        <f t="shared" si="578"/>
        <v>0</v>
      </c>
      <c r="FE467" s="152">
        <f t="shared" si="578"/>
        <v>0</v>
      </c>
      <c r="FF467" s="152">
        <f t="shared" si="578"/>
        <v>0</v>
      </c>
      <c r="FG467" s="152">
        <f t="shared" si="578"/>
        <v>0</v>
      </c>
      <c r="FH467" s="152">
        <f t="shared" si="578"/>
        <v>0</v>
      </c>
      <c r="FI467" s="152">
        <f t="shared" si="578"/>
        <v>0</v>
      </c>
      <c r="FJ467" s="152">
        <f t="shared" si="578"/>
        <v>0</v>
      </c>
      <c r="FK467" s="152">
        <f t="shared" si="578"/>
        <v>0</v>
      </c>
      <c r="FL467" s="29"/>
    </row>
    <row r="468" spans="4:168" x14ac:dyDescent="0.2">
      <c r="N468" s="316" t="s">
        <v>474</v>
      </c>
      <c r="O468" s="317"/>
      <c r="P468" s="318"/>
      <c r="Q468" s="53"/>
      <c r="R468" s="20"/>
      <c r="S468" s="16">
        <f t="shared" si="563"/>
        <v>0</v>
      </c>
      <c r="T468" s="16">
        <f t="shared" si="563"/>
        <v>0</v>
      </c>
      <c r="U468" s="16">
        <f t="shared" si="563"/>
        <v>0</v>
      </c>
      <c r="V468" s="16">
        <f t="shared" si="563"/>
        <v>0</v>
      </c>
      <c r="W468" s="16">
        <f t="shared" si="563"/>
        <v>0</v>
      </c>
      <c r="X468" s="16">
        <f t="shared" si="563"/>
        <v>0</v>
      </c>
      <c r="Y468" s="16">
        <f t="shared" si="563"/>
        <v>0</v>
      </c>
      <c r="Z468" s="16">
        <f t="shared" si="563"/>
        <v>0</v>
      </c>
      <c r="AA468" s="16">
        <f t="shared" si="563"/>
        <v>0</v>
      </c>
      <c r="AB468" s="16">
        <f t="shared" si="563"/>
        <v>0</v>
      </c>
      <c r="AC468" s="16">
        <f t="shared" si="564"/>
        <v>0</v>
      </c>
      <c r="AD468" s="16">
        <f t="shared" si="564"/>
        <v>0</v>
      </c>
      <c r="AE468" s="16">
        <f t="shared" si="564"/>
        <v>0</v>
      </c>
      <c r="AF468" s="16">
        <f t="shared" si="564"/>
        <v>0</v>
      </c>
      <c r="AG468" s="16">
        <f t="shared" si="564"/>
        <v>0</v>
      </c>
      <c r="AH468" s="16">
        <f t="shared" si="564"/>
        <v>0</v>
      </c>
      <c r="AI468" s="16">
        <f t="shared" si="564"/>
        <v>0</v>
      </c>
      <c r="AJ468" s="16">
        <f t="shared" si="564"/>
        <v>0</v>
      </c>
      <c r="AK468" s="16">
        <f t="shared" si="564"/>
        <v>0</v>
      </c>
      <c r="AL468" s="16">
        <f t="shared" si="564"/>
        <v>0</v>
      </c>
      <c r="AM468" s="16">
        <f t="shared" si="565"/>
        <v>0</v>
      </c>
      <c r="AN468" s="16">
        <f t="shared" si="565"/>
        <v>0</v>
      </c>
      <c r="AO468" s="16">
        <f t="shared" si="565"/>
        <v>0</v>
      </c>
      <c r="AP468" s="16">
        <f t="shared" si="565"/>
        <v>0</v>
      </c>
      <c r="AQ468" s="16">
        <f t="shared" si="565"/>
        <v>0</v>
      </c>
      <c r="AR468" s="16">
        <f t="shared" si="565"/>
        <v>0</v>
      </c>
      <c r="AS468" s="16">
        <f t="shared" si="565"/>
        <v>0</v>
      </c>
      <c r="AT468" s="16">
        <f t="shared" si="565"/>
        <v>0</v>
      </c>
      <c r="AU468" s="168"/>
      <c r="AV468" s="16">
        <f t="shared" si="566"/>
        <v>0</v>
      </c>
      <c r="AW468" s="16">
        <f t="shared" si="566"/>
        <v>39198</v>
      </c>
      <c r="AX468" s="16">
        <f t="shared" si="566"/>
        <v>0</v>
      </c>
      <c r="AY468" s="16">
        <f t="shared" si="566"/>
        <v>0</v>
      </c>
      <c r="AZ468" s="16">
        <f t="shared" si="566"/>
        <v>0</v>
      </c>
      <c r="BA468" s="16">
        <f t="shared" si="566"/>
        <v>0</v>
      </c>
      <c r="BB468" s="16">
        <f t="shared" si="566"/>
        <v>0</v>
      </c>
      <c r="BC468" s="16">
        <f t="shared" si="566"/>
        <v>0</v>
      </c>
      <c r="BD468" s="16">
        <f t="shared" si="566"/>
        <v>0</v>
      </c>
      <c r="BE468" s="16">
        <f t="shared" si="566"/>
        <v>0</v>
      </c>
      <c r="BF468" s="16">
        <f t="shared" si="567"/>
        <v>0</v>
      </c>
      <c r="BG468" s="16">
        <f t="shared" si="567"/>
        <v>0</v>
      </c>
      <c r="BH468" s="16">
        <f t="shared" si="567"/>
        <v>0</v>
      </c>
      <c r="BI468" s="16">
        <f t="shared" si="567"/>
        <v>0</v>
      </c>
      <c r="BJ468" s="16">
        <f t="shared" si="567"/>
        <v>0</v>
      </c>
      <c r="BK468" s="16">
        <f t="shared" si="567"/>
        <v>0</v>
      </c>
      <c r="BL468" s="16">
        <f t="shared" si="567"/>
        <v>0</v>
      </c>
      <c r="BM468" s="16">
        <f t="shared" si="567"/>
        <v>0</v>
      </c>
      <c r="BN468" s="16">
        <f t="shared" si="567"/>
        <v>0</v>
      </c>
      <c r="BO468" s="16">
        <f t="shared" si="567"/>
        <v>0</v>
      </c>
      <c r="BP468" s="16">
        <f t="shared" si="568"/>
        <v>0</v>
      </c>
      <c r="BQ468" s="16">
        <f t="shared" si="568"/>
        <v>0</v>
      </c>
      <c r="BR468" s="16">
        <f t="shared" si="568"/>
        <v>0</v>
      </c>
      <c r="BS468" s="16">
        <f t="shared" si="568"/>
        <v>0</v>
      </c>
      <c r="BT468" s="16">
        <f t="shared" si="568"/>
        <v>0</v>
      </c>
      <c r="BU468" s="16">
        <f t="shared" si="568"/>
        <v>0</v>
      </c>
      <c r="BV468" s="16">
        <f t="shared" si="568"/>
        <v>0</v>
      </c>
      <c r="BW468" s="16">
        <f t="shared" si="568"/>
        <v>0</v>
      </c>
      <c r="BX468" s="21">
        <f t="shared" si="568"/>
        <v>39198</v>
      </c>
      <c r="BY468" s="168"/>
      <c r="BZ468" s="16">
        <f t="shared" si="569"/>
        <v>0</v>
      </c>
      <c r="CA468" s="16">
        <f t="shared" si="569"/>
        <v>184152</v>
      </c>
      <c r="CB468" s="168"/>
      <c r="CC468" s="16">
        <f t="shared" si="570"/>
        <v>0</v>
      </c>
      <c r="CD468" s="16">
        <f t="shared" si="570"/>
        <v>0</v>
      </c>
      <c r="CE468" s="16">
        <f t="shared" si="570"/>
        <v>0</v>
      </c>
      <c r="CF468" s="16">
        <f t="shared" si="570"/>
        <v>0</v>
      </c>
      <c r="CG468" s="16">
        <f t="shared" si="570"/>
        <v>0</v>
      </c>
      <c r="CH468" s="16">
        <f t="shared" si="570"/>
        <v>-9901.89</v>
      </c>
      <c r="CI468" s="16">
        <f t="shared" si="570"/>
        <v>0</v>
      </c>
      <c r="CJ468" s="16">
        <f t="shared" si="570"/>
        <v>-314.57</v>
      </c>
      <c r="CK468" s="16">
        <f t="shared" si="570"/>
        <v>0</v>
      </c>
      <c r="CL468" s="16">
        <f t="shared" si="570"/>
        <v>0</v>
      </c>
      <c r="CM468" s="16">
        <f t="shared" si="571"/>
        <v>0</v>
      </c>
      <c r="CN468" s="16">
        <f t="shared" si="571"/>
        <v>-185.57</v>
      </c>
      <c r="CO468" s="16">
        <f t="shared" si="571"/>
        <v>0</v>
      </c>
      <c r="CP468" s="16">
        <f t="shared" si="571"/>
        <v>0</v>
      </c>
      <c r="CQ468" s="16">
        <f t="shared" si="571"/>
        <v>0</v>
      </c>
      <c r="CR468" s="16">
        <f t="shared" si="571"/>
        <v>-7111.53</v>
      </c>
      <c r="CS468" s="16">
        <f t="shared" si="571"/>
        <v>0</v>
      </c>
      <c r="CT468" s="16">
        <f t="shared" si="571"/>
        <v>-4450</v>
      </c>
      <c r="CU468" s="16">
        <f t="shared" si="571"/>
        <v>0</v>
      </c>
      <c r="CV468" s="16">
        <f t="shared" si="571"/>
        <v>-4583.75</v>
      </c>
      <c r="CW468" s="16">
        <f t="shared" si="572"/>
        <v>0</v>
      </c>
      <c r="CX468" s="16">
        <f t="shared" si="572"/>
        <v>0</v>
      </c>
      <c r="CY468" s="16">
        <f t="shared" si="572"/>
        <v>0</v>
      </c>
      <c r="CZ468" s="16">
        <f t="shared" si="572"/>
        <v>-19942.150000000001</v>
      </c>
      <c r="DA468" s="16">
        <f t="shared" si="572"/>
        <v>0</v>
      </c>
      <c r="DB468" s="16">
        <f t="shared" si="572"/>
        <v>0</v>
      </c>
      <c r="DC468" s="16">
        <f t="shared" si="572"/>
        <v>-46489.459999999992</v>
      </c>
      <c r="DD468" s="16">
        <f t="shared" si="572"/>
        <v>0</v>
      </c>
      <c r="DE468" s="21">
        <f t="shared" si="572"/>
        <v>176860.54</v>
      </c>
      <c r="DF468" s="168"/>
      <c r="DG468" s="16">
        <f t="shared" si="573"/>
        <v>95419</v>
      </c>
      <c r="DH468" s="16">
        <f t="shared" si="573"/>
        <v>0</v>
      </c>
      <c r="DI468" s="168"/>
      <c r="DJ468" s="16">
        <f t="shared" si="574"/>
        <v>0</v>
      </c>
      <c r="DK468" s="16">
        <f t="shared" si="574"/>
        <v>0</v>
      </c>
      <c r="DL468" s="16">
        <f t="shared" si="574"/>
        <v>0</v>
      </c>
      <c r="DM468" s="16">
        <f t="shared" si="574"/>
        <v>-5473</v>
      </c>
      <c r="DN468" s="16">
        <f t="shared" si="574"/>
        <v>0</v>
      </c>
      <c r="DO468" s="16">
        <f t="shared" si="574"/>
        <v>0</v>
      </c>
      <c r="DP468" s="137">
        <f t="shared" si="574"/>
        <v>-9131.06</v>
      </c>
      <c r="DQ468" s="16">
        <f t="shared" si="574"/>
        <v>-3439.17</v>
      </c>
      <c r="DR468" s="16">
        <f t="shared" si="574"/>
        <v>0</v>
      </c>
      <c r="DS468" s="16">
        <f t="shared" si="574"/>
        <v>-385</v>
      </c>
      <c r="DT468" s="16">
        <f t="shared" si="575"/>
        <v>0</v>
      </c>
      <c r="DU468" s="16">
        <f t="shared" si="575"/>
        <v>-5272.3</v>
      </c>
      <c r="DV468" s="16">
        <f t="shared" si="575"/>
        <v>0</v>
      </c>
      <c r="DW468" s="16">
        <f t="shared" si="575"/>
        <v>0</v>
      </c>
      <c r="DX468" s="16">
        <f t="shared" si="575"/>
        <v>0</v>
      </c>
      <c r="DY468" s="16">
        <f t="shared" si="575"/>
        <v>-3800</v>
      </c>
      <c r="DZ468" s="16">
        <f t="shared" si="575"/>
        <v>0</v>
      </c>
      <c r="EA468" s="16">
        <f t="shared" si="575"/>
        <v>0</v>
      </c>
      <c r="EB468" s="16">
        <f t="shared" si="575"/>
        <v>0</v>
      </c>
      <c r="EC468" s="16">
        <f t="shared" si="575"/>
        <v>-38901.020000000004</v>
      </c>
      <c r="ED468" s="16">
        <f t="shared" si="576"/>
        <v>0</v>
      </c>
      <c r="EE468" s="16">
        <f t="shared" si="576"/>
        <v>-371.78</v>
      </c>
      <c r="EF468" s="16">
        <f t="shared" si="576"/>
        <v>0</v>
      </c>
      <c r="EG468" s="137">
        <f t="shared" si="576"/>
        <v>0</v>
      </c>
      <c r="EH468" s="16">
        <f t="shared" si="576"/>
        <v>-20541.46</v>
      </c>
      <c r="EI468" s="16">
        <f t="shared" si="576"/>
        <v>-35757.56</v>
      </c>
      <c r="EJ468" s="16">
        <f t="shared" si="576"/>
        <v>-9131.06</v>
      </c>
      <c r="EK468" s="16">
        <f t="shared" si="576"/>
        <v>-78183.73</v>
      </c>
      <c r="EL468" s="16">
        <f t="shared" si="576"/>
        <v>-35757.56</v>
      </c>
      <c r="EM468" s="21">
        <f t="shared" si="576"/>
        <v>149207.19</v>
      </c>
      <c r="EN468" s="21"/>
      <c r="EO468" s="21"/>
      <c r="EP468" s="21"/>
      <c r="EQ468" s="21"/>
      <c r="ER468" s="21"/>
      <c r="ES468" s="152">
        <f t="shared" si="577"/>
        <v>-20717.22</v>
      </c>
      <c r="ET468" s="152">
        <f t="shared" si="577"/>
        <v>-3699.55</v>
      </c>
      <c r="EU468" s="152">
        <f t="shared" si="577"/>
        <v>0</v>
      </c>
      <c r="EV468" s="152">
        <f t="shared" si="577"/>
        <v>0</v>
      </c>
      <c r="EW468" s="152">
        <f t="shared" si="577"/>
        <v>-14863.6</v>
      </c>
      <c r="EX468" s="152">
        <f t="shared" si="577"/>
        <v>-15697</v>
      </c>
      <c r="EY468" s="152">
        <f t="shared" si="577"/>
        <v>0</v>
      </c>
      <c r="EZ468" s="152">
        <f t="shared" si="577"/>
        <v>0</v>
      </c>
      <c r="FA468" s="152">
        <f t="shared" si="577"/>
        <v>0</v>
      </c>
      <c r="FB468" s="152">
        <f t="shared" si="577"/>
        <v>0</v>
      </c>
      <c r="FC468" s="152">
        <f t="shared" si="578"/>
        <v>0</v>
      </c>
      <c r="FD468" s="152">
        <f t="shared" si="578"/>
        <v>0</v>
      </c>
      <c r="FE468" s="152">
        <f t="shared" si="578"/>
        <v>0</v>
      </c>
      <c r="FF468" s="152">
        <f t="shared" si="578"/>
        <v>0</v>
      </c>
      <c r="FG468" s="152">
        <f t="shared" si="578"/>
        <v>0</v>
      </c>
      <c r="FH468" s="152">
        <f t="shared" si="578"/>
        <v>0</v>
      </c>
      <c r="FI468" s="152">
        <f t="shared" si="578"/>
        <v>0</v>
      </c>
      <c r="FJ468" s="152">
        <f t="shared" si="578"/>
        <v>0</v>
      </c>
      <c r="FK468" s="152">
        <f t="shared" si="578"/>
        <v>-54977.369999999995</v>
      </c>
      <c r="FL468" s="29"/>
    </row>
    <row r="469" spans="4:168" x14ac:dyDescent="0.2">
      <c r="N469" s="316" t="s">
        <v>447</v>
      </c>
      <c r="O469" s="317"/>
      <c r="P469" s="318"/>
      <c r="Q469" s="53"/>
      <c r="R469" s="20"/>
      <c r="S469" s="16">
        <f t="shared" si="563"/>
        <v>0</v>
      </c>
      <c r="T469" s="16">
        <f t="shared" si="563"/>
        <v>0</v>
      </c>
      <c r="U469" s="16">
        <f t="shared" si="563"/>
        <v>0</v>
      </c>
      <c r="V469" s="16">
        <f t="shared" si="563"/>
        <v>0</v>
      </c>
      <c r="W469" s="16">
        <f t="shared" si="563"/>
        <v>0</v>
      </c>
      <c r="X469" s="16">
        <f t="shared" si="563"/>
        <v>0</v>
      </c>
      <c r="Y469" s="16">
        <f t="shared" si="563"/>
        <v>0</v>
      </c>
      <c r="Z469" s="16">
        <f t="shared" si="563"/>
        <v>0</v>
      </c>
      <c r="AA469" s="16">
        <f t="shared" si="563"/>
        <v>0</v>
      </c>
      <c r="AB469" s="16">
        <f t="shared" si="563"/>
        <v>0</v>
      </c>
      <c r="AC469" s="16">
        <f t="shared" si="564"/>
        <v>0</v>
      </c>
      <c r="AD469" s="16">
        <f t="shared" si="564"/>
        <v>0</v>
      </c>
      <c r="AE469" s="16">
        <f t="shared" si="564"/>
        <v>0</v>
      </c>
      <c r="AF469" s="16">
        <f t="shared" si="564"/>
        <v>0</v>
      </c>
      <c r="AG469" s="16">
        <f t="shared" si="564"/>
        <v>0</v>
      </c>
      <c r="AH469" s="16">
        <f t="shared" si="564"/>
        <v>0</v>
      </c>
      <c r="AI469" s="16">
        <f t="shared" si="564"/>
        <v>0</v>
      </c>
      <c r="AJ469" s="16">
        <f t="shared" si="564"/>
        <v>0</v>
      </c>
      <c r="AK469" s="16">
        <f t="shared" si="564"/>
        <v>0</v>
      </c>
      <c r="AL469" s="16">
        <f t="shared" si="564"/>
        <v>0</v>
      </c>
      <c r="AM469" s="16">
        <f t="shared" si="565"/>
        <v>0</v>
      </c>
      <c r="AN469" s="16">
        <f t="shared" si="565"/>
        <v>0</v>
      </c>
      <c r="AO469" s="16">
        <f t="shared" si="565"/>
        <v>0</v>
      </c>
      <c r="AP469" s="16">
        <f t="shared" si="565"/>
        <v>0</v>
      </c>
      <c r="AQ469" s="16">
        <f t="shared" si="565"/>
        <v>0</v>
      </c>
      <c r="AR469" s="16">
        <f t="shared" si="565"/>
        <v>0</v>
      </c>
      <c r="AS469" s="16">
        <f t="shared" si="565"/>
        <v>0</v>
      </c>
      <c r="AT469" s="16">
        <f t="shared" si="565"/>
        <v>0</v>
      </c>
      <c r="AU469" s="168"/>
      <c r="AV469" s="16">
        <f t="shared" si="566"/>
        <v>0</v>
      </c>
      <c r="AW469" s="16">
        <f t="shared" si="566"/>
        <v>758831</v>
      </c>
      <c r="AX469" s="16">
        <f t="shared" si="566"/>
        <v>0</v>
      </c>
      <c r="AY469" s="16">
        <f t="shared" si="566"/>
        <v>0</v>
      </c>
      <c r="AZ469" s="16">
        <f t="shared" si="566"/>
        <v>0</v>
      </c>
      <c r="BA469" s="16">
        <f t="shared" si="566"/>
        <v>0</v>
      </c>
      <c r="BB469" s="16">
        <f t="shared" si="566"/>
        <v>0</v>
      </c>
      <c r="BC469" s="16">
        <f t="shared" si="566"/>
        <v>0</v>
      </c>
      <c r="BD469" s="16">
        <f t="shared" si="566"/>
        <v>0</v>
      </c>
      <c r="BE469" s="16">
        <f t="shared" si="566"/>
        <v>0</v>
      </c>
      <c r="BF469" s="16">
        <f t="shared" si="567"/>
        <v>0</v>
      </c>
      <c r="BG469" s="16">
        <f t="shared" si="567"/>
        <v>0</v>
      </c>
      <c r="BH469" s="16">
        <f t="shared" si="567"/>
        <v>-5428</v>
      </c>
      <c r="BI469" s="16">
        <f t="shared" si="567"/>
        <v>0</v>
      </c>
      <c r="BJ469" s="16">
        <f t="shared" si="567"/>
        <v>-153497</v>
      </c>
      <c r="BK469" s="16">
        <f t="shared" si="567"/>
        <v>0</v>
      </c>
      <c r="BL469" s="16">
        <f t="shared" si="567"/>
        <v>-7041</v>
      </c>
      <c r="BM469" s="16">
        <f t="shared" si="567"/>
        <v>0</v>
      </c>
      <c r="BN469" s="16">
        <f t="shared" si="567"/>
        <v>-49774</v>
      </c>
      <c r="BO469" s="16">
        <f t="shared" si="567"/>
        <v>0</v>
      </c>
      <c r="BP469" s="16">
        <f t="shared" si="568"/>
        <v>-186412</v>
      </c>
      <c r="BQ469" s="16">
        <f t="shared" si="568"/>
        <v>0</v>
      </c>
      <c r="BR469" s="16">
        <f t="shared" si="568"/>
        <v>-10667</v>
      </c>
      <c r="BS469" s="16">
        <f t="shared" si="568"/>
        <v>0</v>
      </c>
      <c r="BT469" s="16">
        <f t="shared" si="568"/>
        <v>-13496</v>
      </c>
      <c r="BU469" s="16">
        <f t="shared" si="568"/>
        <v>0</v>
      </c>
      <c r="BV469" s="16">
        <f t="shared" si="568"/>
        <v>-426315</v>
      </c>
      <c r="BW469" s="16">
        <f t="shared" si="568"/>
        <v>0</v>
      </c>
      <c r="BX469" s="21">
        <f t="shared" si="568"/>
        <v>332516</v>
      </c>
      <c r="BY469" s="168"/>
      <c r="BZ469" s="16">
        <f t="shared" si="569"/>
        <v>0</v>
      </c>
      <c r="CA469" s="16">
        <f t="shared" si="569"/>
        <v>0</v>
      </c>
      <c r="CB469" s="168"/>
      <c r="CC469" s="16">
        <f t="shared" si="570"/>
        <v>0</v>
      </c>
      <c r="CD469" s="16">
        <f t="shared" si="570"/>
        <v>-47906</v>
      </c>
      <c r="CE469" s="16">
        <f t="shared" si="570"/>
        <v>0</v>
      </c>
      <c r="CF469" s="16">
        <f t="shared" si="570"/>
        <v>0</v>
      </c>
      <c r="CG469" s="16">
        <f t="shared" si="570"/>
        <v>0</v>
      </c>
      <c r="CH469" s="16">
        <f t="shared" si="570"/>
        <v>0</v>
      </c>
      <c r="CI469" s="16">
        <f t="shared" si="570"/>
        <v>0</v>
      </c>
      <c r="CJ469" s="16">
        <f t="shared" si="570"/>
        <v>0</v>
      </c>
      <c r="CK469" s="16">
        <f t="shared" si="570"/>
        <v>0</v>
      </c>
      <c r="CL469" s="16">
        <f t="shared" si="570"/>
        <v>-868.22</v>
      </c>
      <c r="CM469" s="16">
        <f t="shared" si="571"/>
        <v>0</v>
      </c>
      <c r="CN469" s="16">
        <f t="shared" si="571"/>
        <v>-1043.25</v>
      </c>
      <c r="CO469" s="16">
        <f t="shared" si="571"/>
        <v>0</v>
      </c>
      <c r="CP469" s="16">
        <f t="shared" si="571"/>
        <v>-3769.43</v>
      </c>
      <c r="CQ469" s="16">
        <f t="shared" si="571"/>
        <v>0</v>
      </c>
      <c r="CR469" s="16">
        <f t="shared" si="571"/>
        <v>-58258.59</v>
      </c>
      <c r="CS469" s="16">
        <f t="shared" si="571"/>
        <v>0</v>
      </c>
      <c r="CT469" s="16">
        <f t="shared" si="571"/>
        <v>-10787.18</v>
      </c>
      <c r="CU469" s="16">
        <f t="shared" si="571"/>
        <v>0</v>
      </c>
      <c r="CV469" s="16">
        <f t="shared" si="571"/>
        <v>-10952.81</v>
      </c>
      <c r="CW469" s="16">
        <f t="shared" si="572"/>
        <v>0</v>
      </c>
      <c r="CX469" s="16">
        <f t="shared" si="572"/>
        <v>-295</v>
      </c>
      <c r="CY469" s="16">
        <f t="shared" si="572"/>
        <v>0</v>
      </c>
      <c r="CZ469" s="16">
        <f t="shared" si="572"/>
        <v>-4841.05</v>
      </c>
      <c r="DA469" s="16">
        <f t="shared" si="572"/>
        <v>0</v>
      </c>
      <c r="DB469" s="16">
        <f t="shared" si="572"/>
        <v>-47906</v>
      </c>
      <c r="DC469" s="16">
        <f t="shared" si="572"/>
        <v>-90815.53</v>
      </c>
      <c r="DD469" s="16">
        <f t="shared" si="572"/>
        <v>0</v>
      </c>
      <c r="DE469" s="21">
        <f t="shared" si="572"/>
        <v>193794.47</v>
      </c>
      <c r="DF469" s="168"/>
      <c r="DG469" s="16">
        <f t="shared" si="573"/>
        <v>0</v>
      </c>
      <c r="DH469" s="16">
        <f t="shared" si="573"/>
        <v>0</v>
      </c>
      <c r="DI469" s="168"/>
      <c r="DJ469" s="16">
        <f t="shared" si="574"/>
        <v>0</v>
      </c>
      <c r="DK469" s="16">
        <f t="shared" si="574"/>
        <v>-1967.59</v>
      </c>
      <c r="DL469" s="16">
        <f t="shared" si="574"/>
        <v>0</v>
      </c>
      <c r="DM469" s="16">
        <f t="shared" si="574"/>
        <v>-1716.78</v>
      </c>
      <c r="DN469" s="16">
        <f t="shared" si="574"/>
        <v>0</v>
      </c>
      <c r="DO469" s="16">
        <f t="shared" si="574"/>
        <v>0</v>
      </c>
      <c r="DP469" s="137">
        <f t="shared" si="574"/>
        <v>-40.340000000000003</v>
      </c>
      <c r="DQ469" s="16">
        <f t="shared" si="574"/>
        <v>-8689</v>
      </c>
      <c r="DR469" s="16">
        <f t="shared" si="574"/>
        <v>-55300.65</v>
      </c>
      <c r="DS469" s="16">
        <f t="shared" si="574"/>
        <v>-9700.3700000000008</v>
      </c>
      <c r="DT469" s="16">
        <f t="shared" si="575"/>
        <v>0</v>
      </c>
      <c r="DU469" s="16">
        <f t="shared" si="575"/>
        <v>0</v>
      </c>
      <c r="DV469" s="16">
        <f t="shared" si="575"/>
        <v>0</v>
      </c>
      <c r="DW469" s="16">
        <f t="shared" si="575"/>
        <v>0</v>
      </c>
      <c r="DX469" s="16">
        <f t="shared" si="575"/>
        <v>0</v>
      </c>
      <c r="DY469" s="16">
        <f t="shared" si="575"/>
        <v>0</v>
      </c>
      <c r="DZ469" s="16">
        <f t="shared" si="575"/>
        <v>0</v>
      </c>
      <c r="EA469" s="16">
        <f t="shared" si="575"/>
        <v>0</v>
      </c>
      <c r="EB469" s="16">
        <f t="shared" si="575"/>
        <v>0</v>
      </c>
      <c r="EC469" s="16">
        <f t="shared" si="575"/>
        <v>0</v>
      </c>
      <c r="ED469" s="16">
        <f t="shared" si="576"/>
        <v>0</v>
      </c>
      <c r="EE469" s="16">
        <f t="shared" si="576"/>
        <v>0</v>
      </c>
      <c r="EF469" s="16">
        <f t="shared" si="576"/>
        <v>55300.65</v>
      </c>
      <c r="EG469" s="137">
        <f t="shared" si="576"/>
        <v>-55300.65</v>
      </c>
      <c r="EH469" s="16">
        <f t="shared" si="576"/>
        <v>-20971.02</v>
      </c>
      <c r="EI469" s="16">
        <f t="shared" si="576"/>
        <v>0</v>
      </c>
      <c r="EJ469" s="16">
        <f t="shared" si="576"/>
        <v>-55340.990000000005</v>
      </c>
      <c r="EK469" s="16">
        <f t="shared" si="576"/>
        <v>-43044.759999999995</v>
      </c>
      <c r="EL469" s="16">
        <f t="shared" si="576"/>
        <v>0</v>
      </c>
      <c r="EM469" s="21">
        <f t="shared" si="576"/>
        <v>95408.72</v>
      </c>
      <c r="EN469" s="21"/>
      <c r="EO469" s="21"/>
      <c r="EP469" s="21"/>
      <c r="EQ469" s="21"/>
      <c r="ER469" s="21"/>
      <c r="ES469" s="152">
        <f t="shared" si="577"/>
        <v>0</v>
      </c>
      <c r="ET469" s="152">
        <f t="shared" si="577"/>
        <v>0</v>
      </c>
      <c r="EU469" s="152">
        <f t="shared" si="577"/>
        <v>0</v>
      </c>
      <c r="EV469" s="152">
        <f t="shared" si="577"/>
        <v>0</v>
      </c>
      <c r="EW469" s="152">
        <f t="shared" si="577"/>
        <v>0</v>
      </c>
      <c r="EX469" s="152">
        <f t="shared" si="577"/>
        <v>0</v>
      </c>
      <c r="EY469" s="152">
        <f t="shared" si="577"/>
        <v>0</v>
      </c>
      <c r="EZ469" s="152">
        <f t="shared" si="577"/>
        <v>0</v>
      </c>
      <c r="FA469" s="152">
        <f t="shared" si="577"/>
        <v>0</v>
      </c>
      <c r="FB469" s="152">
        <f t="shared" si="577"/>
        <v>0</v>
      </c>
      <c r="FC469" s="152">
        <f t="shared" si="578"/>
        <v>0</v>
      </c>
      <c r="FD469" s="152">
        <f t="shared" si="578"/>
        <v>0</v>
      </c>
      <c r="FE469" s="152">
        <f t="shared" si="578"/>
        <v>0</v>
      </c>
      <c r="FF469" s="152">
        <f t="shared" si="578"/>
        <v>0</v>
      </c>
      <c r="FG469" s="152">
        <f t="shared" si="578"/>
        <v>0</v>
      </c>
      <c r="FH469" s="152">
        <f t="shared" si="578"/>
        <v>0</v>
      </c>
      <c r="FI469" s="152">
        <f t="shared" si="578"/>
        <v>0</v>
      </c>
      <c r="FJ469" s="152">
        <f t="shared" si="578"/>
        <v>0</v>
      </c>
      <c r="FK469" s="152">
        <f t="shared" si="578"/>
        <v>0</v>
      </c>
      <c r="FL469" s="29"/>
    </row>
    <row r="470" spans="4:168" x14ac:dyDescent="0.2">
      <c r="D470" s="76">
        <v>57654</v>
      </c>
      <c r="N470" s="316" t="s">
        <v>212</v>
      </c>
      <c r="O470" s="317"/>
      <c r="P470" s="318"/>
      <c r="Q470" s="53"/>
      <c r="R470" s="20"/>
      <c r="S470" s="16">
        <f t="shared" si="563"/>
        <v>263031</v>
      </c>
      <c r="T470" s="16">
        <f t="shared" si="563"/>
        <v>0</v>
      </c>
      <c r="U470" s="16">
        <f t="shared" si="563"/>
        <v>0</v>
      </c>
      <c r="V470" s="16">
        <f t="shared" si="563"/>
        <v>0</v>
      </c>
      <c r="W470" s="16">
        <f t="shared" si="563"/>
        <v>0</v>
      </c>
      <c r="X470" s="16">
        <f t="shared" si="563"/>
        <v>0</v>
      </c>
      <c r="Y470" s="16">
        <f t="shared" si="563"/>
        <v>0</v>
      </c>
      <c r="Z470" s="16">
        <f t="shared" si="563"/>
        <v>0</v>
      </c>
      <c r="AA470" s="16">
        <f t="shared" si="563"/>
        <v>0</v>
      </c>
      <c r="AB470" s="16">
        <f t="shared" si="563"/>
        <v>0</v>
      </c>
      <c r="AC470" s="16">
        <f t="shared" si="564"/>
        <v>0</v>
      </c>
      <c r="AD470" s="16">
        <f t="shared" si="564"/>
        <v>0</v>
      </c>
      <c r="AE470" s="16">
        <f t="shared" si="564"/>
        <v>0</v>
      </c>
      <c r="AF470" s="16">
        <f t="shared" si="564"/>
        <v>0</v>
      </c>
      <c r="AG470" s="16">
        <f t="shared" si="564"/>
        <v>0</v>
      </c>
      <c r="AH470" s="16">
        <f t="shared" si="564"/>
        <v>0</v>
      </c>
      <c r="AI470" s="16">
        <f t="shared" si="564"/>
        <v>0</v>
      </c>
      <c r="AJ470" s="16">
        <f t="shared" si="564"/>
        <v>0</v>
      </c>
      <c r="AK470" s="16">
        <f t="shared" si="564"/>
        <v>0</v>
      </c>
      <c r="AL470" s="16">
        <f t="shared" si="564"/>
        <v>0</v>
      </c>
      <c r="AM470" s="16">
        <f t="shared" si="565"/>
        <v>0</v>
      </c>
      <c r="AN470" s="16">
        <f t="shared" si="565"/>
        <v>-2774</v>
      </c>
      <c r="AO470" s="16">
        <f t="shared" si="565"/>
        <v>0</v>
      </c>
      <c r="AP470" s="16">
        <f t="shared" si="565"/>
        <v>0</v>
      </c>
      <c r="AQ470" s="16">
        <f t="shared" si="565"/>
        <v>0</v>
      </c>
      <c r="AR470" s="16">
        <f t="shared" si="565"/>
        <v>-2774</v>
      </c>
      <c r="AS470" s="16">
        <f t="shared" si="565"/>
        <v>0</v>
      </c>
      <c r="AT470" s="16">
        <f t="shared" si="565"/>
        <v>260257</v>
      </c>
      <c r="AU470" s="168"/>
      <c r="AV470" s="16">
        <f t="shared" si="566"/>
        <v>1036560</v>
      </c>
      <c r="AW470" s="16">
        <f t="shared" si="566"/>
        <v>0</v>
      </c>
      <c r="AX470" s="16">
        <f t="shared" si="566"/>
        <v>0</v>
      </c>
      <c r="AY470" s="16">
        <f t="shared" si="566"/>
        <v>0</v>
      </c>
      <c r="AZ470" s="16">
        <f t="shared" si="566"/>
        <v>-35604</v>
      </c>
      <c r="BA470" s="16">
        <f t="shared" si="566"/>
        <v>0</v>
      </c>
      <c r="BB470" s="16">
        <f t="shared" si="566"/>
        <v>-4143</v>
      </c>
      <c r="BC470" s="16">
        <f t="shared" si="566"/>
        <v>0</v>
      </c>
      <c r="BD470" s="16">
        <f t="shared" si="566"/>
        <v>-17646</v>
      </c>
      <c r="BE470" s="16">
        <f t="shared" si="566"/>
        <v>0</v>
      </c>
      <c r="BF470" s="16">
        <f t="shared" si="567"/>
        <v>-50136</v>
      </c>
      <c r="BG470" s="16">
        <f t="shared" si="567"/>
        <v>0</v>
      </c>
      <c r="BH470" s="16">
        <f t="shared" si="567"/>
        <v>-130244</v>
      </c>
      <c r="BI470" s="16">
        <f t="shared" si="567"/>
        <v>0</v>
      </c>
      <c r="BJ470" s="16">
        <f t="shared" si="567"/>
        <v>-40247</v>
      </c>
      <c r="BK470" s="16">
        <f t="shared" si="567"/>
        <v>0</v>
      </c>
      <c r="BL470" s="16">
        <f t="shared" si="567"/>
        <v>-73256</v>
      </c>
      <c r="BM470" s="16">
        <f t="shared" si="567"/>
        <v>0</v>
      </c>
      <c r="BN470" s="16">
        <f t="shared" si="567"/>
        <v>-7522</v>
      </c>
      <c r="BO470" s="16">
        <f t="shared" si="567"/>
        <v>0</v>
      </c>
      <c r="BP470" s="16">
        <f t="shared" si="568"/>
        <v>-212649</v>
      </c>
      <c r="BQ470" s="16">
        <f t="shared" si="568"/>
        <v>0</v>
      </c>
      <c r="BR470" s="16">
        <f t="shared" si="568"/>
        <v>-18429</v>
      </c>
      <c r="BS470" s="16">
        <f t="shared" si="568"/>
        <v>0</v>
      </c>
      <c r="BT470" s="16">
        <f t="shared" si="568"/>
        <v>-59275</v>
      </c>
      <c r="BU470" s="16">
        <f t="shared" si="568"/>
        <v>0</v>
      </c>
      <c r="BV470" s="16">
        <f t="shared" si="568"/>
        <v>-649151</v>
      </c>
      <c r="BW470" s="16">
        <f t="shared" si="568"/>
        <v>0</v>
      </c>
      <c r="BX470" s="21">
        <f t="shared" si="568"/>
        <v>647666</v>
      </c>
      <c r="BY470" s="168"/>
      <c r="BZ470" s="16">
        <f t="shared" si="569"/>
        <v>880000</v>
      </c>
      <c r="CA470" s="16">
        <f t="shared" si="569"/>
        <v>0</v>
      </c>
      <c r="CB470" s="168"/>
      <c r="CC470" s="16">
        <f t="shared" si="570"/>
        <v>0</v>
      </c>
      <c r="CD470" s="16">
        <f t="shared" si="570"/>
        <v>-157880.64000000001</v>
      </c>
      <c r="CE470" s="16">
        <f t="shared" si="570"/>
        <v>0</v>
      </c>
      <c r="CF470" s="16">
        <f t="shared" si="570"/>
        <v>-131966.20000000001</v>
      </c>
      <c r="CG470" s="16">
        <f t="shared" si="570"/>
        <v>0</v>
      </c>
      <c r="CH470" s="16">
        <f t="shared" si="570"/>
        <v>-24370.940000000002</v>
      </c>
      <c r="CI470" s="16">
        <f t="shared" si="570"/>
        <v>0</v>
      </c>
      <c r="CJ470" s="16">
        <f t="shared" si="570"/>
        <v>-133775.56</v>
      </c>
      <c r="CK470" s="16">
        <f t="shared" si="570"/>
        <v>0</v>
      </c>
      <c r="CL470" s="16">
        <f t="shared" si="570"/>
        <v>-182024.72</v>
      </c>
      <c r="CM470" s="16">
        <f t="shared" si="571"/>
        <v>0</v>
      </c>
      <c r="CN470" s="16">
        <f t="shared" si="571"/>
        <v>-11540.099999999999</v>
      </c>
      <c r="CO470" s="16">
        <f t="shared" si="571"/>
        <v>0</v>
      </c>
      <c r="CP470" s="16">
        <f t="shared" si="571"/>
        <v>-55678.93</v>
      </c>
      <c r="CQ470" s="16">
        <f t="shared" si="571"/>
        <v>0</v>
      </c>
      <c r="CR470" s="16">
        <f t="shared" si="571"/>
        <v>-134926.41</v>
      </c>
      <c r="CS470" s="16">
        <f t="shared" si="571"/>
        <v>0</v>
      </c>
      <c r="CT470" s="16">
        <f t="shared" si="571"/>
        <v>-131252.75</v>
      </c>
      <c r="CU470" s="16">
        <f t="shared" si="571"/>
        <v>0</v>
      </c>
      <c r="CV470" s="16">
        <f t="shared" si="571"/>
        <v>-11859.68</v>
      </c>
      <c r="CW470" s="16">
        <f t="shared" si="572"/>
        <v>0</v>
      </c>
      <c r="CX470" s="16">
        <f t="shared" si="572"/>
        <v>-5929.84</v>
      </c>
      <c r="CY470" s="16">
        <f t="shared" si="572"/>
        <v>0</v>
      </c>
      <c r="CZ470" s="16">
        <f t="shared" si="572"/>
        <v>-24557.360000000001</v>
      </c>
      <c r="DA470" s="16">
        <f t="shared" si="572"/>
        <v>0</v>
      </c>
      <c r="DB470" s="16">
        <f t="shared" si="572"/>
        <v>-289846.84000000003</v>
      </c>
      <c r="DC470" s="16">
        <f t="shared" si="572"/>
        <v>-715916.28999999992</v>
      </c>
      <c r="DD470" s="16">
        <f t="shared" si="572"/>
        <v>0</v>
      </c>
      <c r="DE470" s="21">
        <f t="shared" si="572"/>
        <v>521902.87</v>
      </c>
      <c r="DF470" s="168"/>
      <c r="DG470" s="16">
        <f t="shared" si="573"/>
        <v>0</v>
      </c>
      <c r="DH470" s="16">
        <f t="shared" si="573"/>
        <v>0</v>
      </c>
      <c r="DI470" s="168"/>
      <c r="DJ470" s="16">
        <f t="shared" si="574"/>
        <v>0</v>
      </c>
      <c r="DK470" s="16">
        <f t="shared" si="574"/>
        <v>-197629.52000000002</v>
      </c>
      <c r="DL470" s="16">
        <f t="shared" si="574"/>
        <v>0</v>
      </c>
      <c r="DM470" s="16">
        <f t="shared" si="574"/>
        <v>0</v>
      </c>
      <c r="DN470" s="16">
        <f t="shared" si="574"/>
        <v>0</v>
      </c>
      <c r="DO470" s="16">
        <f t="shared" si="574"/>
        <v>0</v>
      </c>
      <c r="DP470" s="137">
        <f t="shared" si="574"/>
        <v>-17540.43</v>
      </c>
      <c r="DQ470" s="16">
        <f t="shared" si="574"/>
        <v>-15505.76</v>
      </c>
      <c r="DR470" s="16">
        <f t="shared" si="574"/>
        <v>-6766.98</v>
      </c>
      <c r="DS470" s="16">
        <f t="shared" si="574"/>
        <v>-87007.24</v>
      </c>
      <c r="DT470" s="16">
        <f t="shared" si="575"/>
        <v>0</v>
      </c>
      <c r="DU470" s="16">
        <f t="shared" si="575"/>
        <v>-20264</v>
      </c>
      <c r="DV470" s="16">
        <f t="shared" si="575"/>
        <v>0</v>
      </c>
      <c r="DW470" s="16">
        <f t="shared" si="575"/>
        <v>0</v>
      </c>
      <c r="DX470" s="16">
        <f t="shared" si="575"/>
        <v>0</v>
      </c>
      <c r="DY470" s="16">
        <f t="shared" si="575"/>
        <v>-2777.02</v>
      </c>
      <c r="DZ470" s="16">
        <f t="shared" si="575"/>
        <v>0</v>
      </c>
      <c r="EA470" s="16">
        <f t="shared" si="575"/>
        <v>-9451.5400000000009</v>
      </c>
      <c r="EB470" s="16">
        <f t="shared" si="575"/>
        <v>0</v>
      </c>
      <c r="EC470" s="16">
        <f t="shared" si="575"/>
        <v>-15689.279999999999</v>
      </c>
      <c r="ED470" s="16">
        <f t="shared" si="576"/>
        <v>0</v>
      </c>
      <c r="EE470" s="16">
        <f t="shared" si="576"/>
        <v>-12402.17</v>
      </c>
      <c r="EF470" s="16">
        <f t="shared" si="576"/>
        <v>6766.98</v>
      </c>
      <c r="EG470" s="137">
        <f t="shared" si="576"/>
        <v>-6766.98</v>
      </c>
      <c r="EH470" s="16">
        <f t="shared" si="576"/>
        <v>0</v>
      </c>
      <c r="EI470" s="16">
        <f t="shared" si="576"/>
        <v>0</v>
      </c>
      <c r="EJ470" s="16">
        <f t="shared" si="576"/>
        <v>-24307.41</v>
      </c>
      <c r="EK470" s="16">
        <f t="shared" si="576"/>
        <v>-360726.53</v>
      </c>
      <c r="EL470" s="16">
        <f t="shared" si="576"/>
        <v>0</v>
      </c>
      <c r="EM470" s="21">
        <f t="shared" si="576"/>
        <v>136868.92999999993</v>
      </c>
      <c r="EN470" s="21"/>
      <c r="EO470" s="21"/>
      <c r="EP470" s="21"/>
      <c r="EQ470" s="21"/>
      <c r="ER470" s="21"/>
      <c r="ES470" s="152">
        <f t="shared" si="577"/>
        <v>-30216.05</v>
      </c>
      <c r="ET470" s="152">
        <f t="shared" si="577"/>
        <v>0</v>
      </c>
      <c r="EU470" s="152">
        <f t="shared" si="577"/>
        <v>-39554.82</v>
      </c>
      <c r="EV470" s="152">
        <f t="shared" si="577"/>
        <v>0</v>
      </c>
      <c r="EW470" s="152">
        <f t="shared" si="577"/>
        <v>0</v>
      </c>
      <c r="EX470" s="152">
        <f t="shared" si="577"/>
        <v>9752.4800000000014</v>
      </c>
      <c r="EY470" s="152">
        <f t="shared" si="577"/>
        <v>0</v>
      </c>
      <c r="EZ470" s="152">
        <f t="shared" si="577"/>
        <v>0</v>
      </c>
      <c r="FA470" s="152">
        <f t="shared" si="577"/>
        <v>0</v>
      </c>
      <c r="FB470" s="152">
        <f t="shared" si="577"/>
        <v>0</v>
      </c>
      <c r="FC470" s="152">
        <f t="shared" si="578"/>
        <v>0</v>
      </c>
      <c r="FD470" s="152">
        <f t="shared" si="578"/>
        <v>0</v>
      </c>
      <c r="FE470" s="152">
        <f t="shared" si="578"/>
        <v>0</v>
      </c>
      <c r="FF470" s="152">
        <f t="shared" si="578"/>
        <v>0</v>
      </c>
      <c r="FG470" s="152">
        <f t="shared" si="578"/>
        <v>0</v>
      </c>
      <c r="FH470" s="152">
        <f t="shared" si="578"/>
        <v>0</v>
      </c>
      <c r="FI470" s="152">
        <f t="shared" si="578"/>
        <v>0</v>
      </c>
      <c r="FJ470" s="152">
        <f t="shared" si="578"/>
        <v>0</v>
      </c>
      <c r="FK470" s="152">
        <f t="shared" si="578"/>
        <v>-60018.389999999985</v>
      </c>
      <c r="FL470" s="29"/>
    </row>
    <row r="471" spans="4:168" x14ac:dyDescent="0.2">
      <c r="D471" s="37">
        <v>9187.69</v>
      </c>
      <c r="N471" s="316" t="s">
        <v>215</v>
      </c>
      <c r="O471" s="317"/>
      <c r="P471" s="318"/>
      <c r="Q471" s="53"/>
      <c r="R471" s="20"/>
      <c r="S471" s="16">
        <f t="shared" si="563"/>
        <v>0</v>
      </c>
      <c r="T471" s="16">
        <f t="shared" si="563"/>
        <v>0</v>
      </c>
      <c r="U471" s="16">
        <f t="shared" si="563"/>
        <v>0</v>
      </c>
      <c r="V471" s="16">
        <f t="shared" si="563"/>
        <v>0</v>
      </c>
      <c r="W471" s="16">
        <f t="shared" si="563"/>
        <v>0</v>
      </c>
      <c r="X471" s="16">
        <f t="shared" si="563"/>
        <v>0</v>
      </c>
      <c r="Y471" s="16">
        <f t="shared" si="563"/>
        <v>0</v>
      </c>
      <c r="Z471" s="16">
        <f t="shared" si="563"/>
        <v>0</v>
      </c>
      <c r="AA471" s="16">
        <f t="shared" si="563"/>
        <v>0</v>
      </c>
      <c r="AB471" s="16">
        <f t="shared" si="563"/>
        <v>0</v>
      </c>
      <c r="AC471" s="16">
        <f t="shared" si="564"/>
        <v>0</v>
      </c>
      <c r="AD471" s="16">
        <f t="shared" si="564"/>
        <v>0</v>
      </c>
      <c r="AE471" s="16">
        <f t="shared" si="564"/>
        <v>0</v>
      </c>
      <c r="AF471" s="16">
        <f t="shared" si="564"/>
        <v>0</v>
      </c>
      <c r="AG471" s="16">
        <f t="shared" si="564"/>
        <v>0</v>
      </c>
      <c r="AH471" s="16">
        <f t="shared" si="564"/>
        <v>0</v>
      </c>
      <c r="AI471" s="16">
        <f t="shared" si="564"/>
        <v>0</v>
      </c>
      <c r="AJ471" s="16">
        <f t="shared" si="564"/>
        <v>0</v>
      </c>
      <c r="AK471" s="16">
        <f t="shared" si="564"/>
        <v>0</v>
      </c>
      <c r="AL471" s="16">
        <f t="shared" si="564"/>
        <v>0</v>
      </c>
      <c r="AM471" s="16">
        <f t="shared" si="565"/>
        <v>0</v>
      </c>
      <c r="AN471" s="16">
        <f t="shared" si="565"/>
        <v>0</v>
      </c>
      <c r="AO471" s="16">
        <f t="shared" si="565"/>
        <v>0</v>
      </c>
      <c r="AP471" s="16">
        <f t="shared" si="565"/>
        <v>0</v>
      </c>
      <c r="AQ471" s="16">
        <f t="shared" si="565"/>
        <v>0</v>
      </c>
      <c r="AR471" s="16">
        <f t="shared" si="565"/>
        <v>0</v>
      </c>
      <c r="AS471" s="16">
        <f t="shared" si="565"/>
        <v>0</v>
      </c>
      <c r="AT471" s="16">
        <f t="shared" si="565"/>
        <v>0</v>
      </c>
      <c r="AU471" s="168"/>
      <c r="AV471" s="16">
        <f t="shared" si="566"/>
        <v>0</v>
      </c>
      <c r="AW471" s="16">
        <f t="shared" si="566"/>
        <v>147729</v>
      </c>
      <c r="AX471" s="16">
        <f t="shared" si="566"/>
        <v>0</v>
      </c>
      <c r="AY471" s="16">
        <f t="shared" si="566"/>
        <v>0</v>
      </c>
      <c r="AZ471" s="16">
        <f t="shared" si="566"/>
        <v>0</v>
      </c>
      <c r="BA471" s="16">
        <f t="shared" si="566"/>
        <v>0</v>
      </c>
      <c r="BB471" s="16">
        <f t="shared" si="566"/>
        <v>0</v>
      </c>
      <c r="BC471" s="16">
        <f t="shared" si="566"/>
        <v>0</v>
      </c>
      <c r="BD471" s="16">
        <f t="shared" si="566"/>
        <v>0</v>
      </c>
      <c r="BE471" s="16">
        <f t="shared" si="566"/>
        <v>0</v>
      </c>
      <c r="BF471" s="16">
        <f t="shared" si="567"/>
        <v>0</v>
      </c>
      <c r="BG471" s="16">
        <f t="shared" si="567"/>
        <v>0</v>
      </c>
      <c r="BH471" s="16">
        <f t="shared" si="567"/>
        <v>0</v>
      </c>
      <c r="BI471" s="16">
        <f t="shared" si="567"/>
        <v>0</v>
      </c>
      <c r="BJ471" s="16">
        <f t="shared" si="567"/>
        <v>0</v>
      </c>
      <c r="BK471" s="16">
        <f t="shared" si="567"/>
        <v>0</v>
      </c>
      <c r="BL471" s="16">
        <f t="shared" si="567"/>
        <v>0</v>
      </c>
      <c r="BM471" s="16">
        <f t="shared" si="567"/>
        <v>0</v>
      </c>
      <c r="BN471" s="16">
        <f t="shared" si="567"/>
        <v>0</v>
      </c>
      <c r="BO471" s="16">
        <f t="shared" si="567"/>
        <v>0</v>
      </c>
      <c r="BP471" s="16">
        <f t="shared" si="568"/>
        <v>0</v>
      </c>
      <c r="BQ471" s="16">
        <f t="shared" si="568"/>
        <v>0</v>
      </c>
      <c r="BR471" s="16">
        <f t="shared" si="568"/>
        <v>0</v>
      </c>
      <c r="BS471" s="16">
        <f t="shared" si="568"/>
        <v>0</v>
      </c>
      <c r="BT471" s="16">
        <f t="shared" si="568"/>
        <v>0</v>
      </c>
      <c r="BU471" s="16">
        <f t="shared" si="568"/>
        <v>0</v>
      </c>
      <c r="BV471" s="16">
        <f t="shared" si="568"/>
        <v>0</v>
      </c>
      <c r="BW471" s="16">
        <f t="shared" si="568"/>
        <v>0</v>
      </c>
      <c r="BX471" s="21">
        <f t="shared" si="568"/>
        <v>147729</v>
      </c>
      <c r="BY471" s="168"/>
      <c r="BZ471" s="16">
        <f t="shared" si="569"/>
        <v>0</v>
      </c>
      <c r="CA471" s="16">
        <f t="shared" si="569"/>
        <v>636951</v>
      </c>
      <c r="CB471" s="168"/>
      <c r="CC471" s="16">
        <f t="shared" si="570"/>
        <v>0</v>
      </c>
      <c r="CD471" s="16">
        <f t="shared" si="570"/>
        <v>-5009</v>
      </c>
      <c r="CE471" s="16">
        <f t="shared" si="570"/>
        <v>0</v>
      </c>
      <c r="CF471" s="16">
        <f t="shared" si="570"/>
        <v>-18717.919999999998</v>
      </c>
      <c r="CG471" s="16">
        <f t="shared" si="570"/>
        <v>-17189.080000000002</v>
      </c>
      <c r="CH471" s="16">
        <f t="shared" si="570"/>
        <v>-4662.6499999999996</v>
      </c>
      <c r="CI471" s="16">
        <f t="shared" si="570"/>
        <v>0</v>
      </c>
      <c r="CJ471" s="16">
        <f t="shared" si="570"/>
        <v>0</v>
      </c>
      <c r="CK471" s="16">
        <f t="shared" si="570"/>
        <v>0</v>
      </c>
      <c r="CL471" s="16">
        <f t="shared" si="570"/>
        <v>0</v>
      </c>
      <c r="CM471" s="16">
        <f t="shared" si="571"/>
        <v>0</v>
      </c>
      <c r="CN471" s="16">
        <f t="shared" si="571"/>
        <v>0</v>
      </c>
      <c r="CO471" s="16">
        <f t="shared" si="571"/>
        <v>0</v>
      </c>
      <c r="CP471" s="16">
        <f t="shared" si="571"/>
        <v>0</v>
      </c>
      <c r="CQ471" s="16">
        <f t="shared" si="571"/>
        <v>0</v>
      </c>
      <c r="CR471" s="16">
        <f t="shared" si="571"/>
        <v>0</v>
      </c>
      <c r="CS471" s="16">
        <f t="shared" si="571"/>
        <v>0</v>
      </c>
      <c r="CT471" s="16">
        <f t="shared" si="571"/>
        <v>-33745</v>
      </c>
      <c r="CU471" s="16">
        <f t="shared" si="571"/>
        <v>0</v>
      </c>
      <c r="CV471" s="16">
        <f t="shared" si="571"/>
        <v>-7572</v>
      </c>
      <c r="CW471" s="16">
        <f t="shared" si="572"/>
        <v>0</v>
      </c>
      <c r="CX471" s="16">
        <f t="shared" si="572"/>
        <v>-130843</v>
      </c>
      <c r="CY471" s="16">
        <f t="shared" si="572"/>
        <v>0</v>
      </c>
      <c r="CZ471" s="16">
        <f t="shared" si="572"/>
        <v>-15730</v>
      </c>
      <c r="DA471" s="16">
        <f t="shared" si="572"/>
        <v>0</v>
      </c>
      <c r="DB471" s="16">
        <f t="shared" si="572"/>
        <v>-23726.92</v>
      </c>
      <c r="DC471" s="16">
        <f t="shared" si="572"/>
        <v>-209741.72999999998</v>
      </c>
      <c r="DD471" s="16">
        <f t="shared" si="572"/>
        <v>0</v>
      </c>
      <c r="DE471" s="21">
        <f t="shared" si="572"/>
        <v>551211.35</v>
      </c>
      <c r="DF471" s="168"/>
      <c r="DG471" s="16">
        <f t="shared" si="573"/>
        <v>680160</v>
      </c>
      <c r="DH471" s="16">
        <f t="shared" si="573"/>
        <v>0</v>
      </c>
      <c r="DI471" s="168"/>
      <c r="DJ471" s="16">
        <f t="shared" si="574"/>
        <v>0</v>
      </c>
      <c r="DK471" s="16">
        <f t="shared" si="574"/>
        <v>-41047</v>
      </c>
      <c r="DL471" s="16">
        <f t="shared" si="574"/>
        <v>0</v>
      </c>
      <c r="DM471" s="16">
        <f t="shared" si="574"/>
        <v>-8178</v>
      </c>
      <c r="DN471" s="16">
        <f t="shared" si="574"/>
        <v>0</v>
      </c>
      <c r="DO471" s="16">
        <f t="shared" si="574"/>
        <v>-180</v>
      </c>
      <c r="DP471" s="137">
        <f t="shared" si="574"/>
        <v>-38349.35</v>
      </c>
      <c r="DQ471" s="16">
        <f t="shared" si="574"/>
        <v>-9751</v>
      </c>
      <c r="DR471" s="16">
        <f t="shared" si="574"/>
        <v>-133395.88</v>
      </c>
      <c r="DS471" s="16">
        <f t="shared" si="574"/>
        <v>-4756</v>
      </c>
      <c r="DT471" s="16">
        <f t="shared" si="575"/>
        <v>0</v>
      </c>
      <c r="DU471" s="16">
        <f t="shared" si="575"/>
        <v>-4689</v>
      </c>
      <c r="DV471" s="16">
        <f t="shared" si="575"/>
        <v>0</v>
      </c>
      <c r="DW471" s="16">
        <f t="shared" si="575"/>
        <v>-4690</v>
      </c>
      <c r="DX471" s="16">
        <f t="shared" si="575"/>
        <v>0</v>
      </c>
      <c r="DY471" s="16">
        <f t="shared" si="575"/>
        <v>-5225</v>
      </c>
      <c r="DZ471" s="16">
        <f t="shared" si="575"/>
        <v>0</v>
      </c>
      <c r="EA471" s="16">
        <f t="shared" si="575"/>
        <v>-5927</v>
      </c>
      <c r="EB471" s="16">
        <f t="shared" si="575"/>
        <v>0</v>
      </c>
      <c r="EC471" s="16">
        <f t="shared" si="575"/>
        <v>-11338</v>
      </c>
      <c r="ED471" s="16">
        <f t="shared" si="576"/>
        <v>0</v>
      </c>
      <c r="EE471" s="16">
        <f t="shared" si="576"/>
        <v>-63250</v>
      </c>
      <c r="EF471" s="16">
        <f t="shared" si="576"/>
        <v>133395.88</v>
      </c>
      <c r="EG471" s="137">
        <f t="shared" si="576"/>
        <v>-133395.88</v>
      </c>
      <c r="EH471" s="16">
        <f t="shared" si="576"/>
        <v>-75000</v>
      </c>
      <c r="EI471" s="16">
        <f t="shared" si="576"/>
        <v>0</v>
      </c>
      <c r="EJ471" s="16">
        <f t="shared" si="576"/>
        <v>-171745.23</v>
      </c>
      <c r="EK471" s="16">
        <f t="shared" si="576"/>
        <v>-234031</v>
      </c>
      <c r="EL471" s="16">
        <f t="shared" si="576"/>
        <v>0</v>
      </c>
      <c r="EM471" s="21">
        <f t="shared" si="576"/>
        <v>825595.11999999988</v>
      </c>
      <c r="EN471" s="21"/>
      <c r="EO471" s="21"/>
      <c r="EP471" s="21"/>
      <c r="EQ471" s="21"/>
      <c r="ER471" s="21"/>
      <c r="ES471" s="152">
        <f t="shared" si="577"/>
        <v>-31087</v>
      </c>
      <c r="ET471" s="152">
        <f t="shared" si="577"/>
        <v>16378.349999999999</v>
      </c>
      <c r="EU471" s="152">
        <f t="shared" si="577"/>
        <v>0</v>
      </c>
      <c r="EV471" s="152">
        <f t="shared" si="577"/>
        <v>0</v>
      </c>
      <c r="EW471" s="152">
        <f t="shared" si="577"/>
        <v>0</v>
      </c>
      <c r="EX471" s="152">
        <f t="shared" si="577"/>
        <v>-512601.85</v>
      </c>
      <c r="EY471" s="152">
        <f t="shared" si="577"/>
        <v>-1706.71</v>
      </c>
      <c r="EZ471" s="152">
        <f t="shared" si="577"/>
        <v>0</v>
      </c>
      <c r="FA471" s="152">
        <f t="shared" si="577"/>
        <v>0</v>
      </c>
      <c r="FB471" s="152">
        <f t="shared" si="577"/>
        <v>0</v>
      </c>
      <c r="FC471" s="152">
        <f t="shared" si="578"/>
        <v>0</v>
      </c>
      <c r="FD471" s="152">
        <f t="shared" si="578"/>
        <v>0</v>
      </c>
      <c r="FE471" s="152">
        <f t="shared" si="578"/>
        <v>-700</v>
      </c>
      <c r="FF471" s="152">
        <f t="shared" si="578"/>
        <v>0</v>
      </c>
      <c r="FG471" s="152">
        <f t="shared" si="578"/>
        <v>0</v>
      </c>
      <c r="FH471" s="152">
        <f t="shared" si="578"/>
        <v>0</v>
      </c>
      <c r="FI471" s="152">
        <f t="shared" si="578"/>
        <v>0</v>
      </c>
      <c r="FJ471" s="152">
        <f t="shared" si="578"/>
        <v>0</v>
      </c>
      <c r="FK471" s="152">
        <f t="shared" si="578"/>
        <v>-529717.21000000008</v>
      </c>
      <c r="FL471" s="29"/>
    </row>
    <row r="472" spans="4:168" x14ac:dyDescent="0.2">
      <c r="D472" s="37">
        <v>64423.62</v>
      </c>
      <c r="N472" s="316" t="s">
        <v>216</v>
      </c>
      <c r="O472" s="317"/>
      <c r="P472" s="318"/>
      <c r="Q472" s="53"/>
      <c r="R472" s="20"/>
      <c r="S472" s="16">
        <f t="shared" si="563"/>
        <v>0</v>
      </c>
      <c r="T472" s="16">
        <f t="shared" si="563"/>
        <v>0</v>
      </c>
      <c r="U472" s="16">
        <f t="shared" si="563"/>
        <v>0</v>
      </c>
      <c r="V472" s="16">
        <f t="shared" si="563"/>
        <v>0</v>
      </c>
      <c r="W472" s="16">
        <f t="shared" si="563"/>
        <v>0</v>
      </c>
      <c r="X472" s="16">
        <f t="shared" si="563"/>
        <v>0</v>
      </c>
      <c r="Y472" s="16">
        <f t="shared" si="563"/>
        <v>0</v>
      </c>
      <c r="Z472" s="16">
        <f t="shared" si="563"/>
        <v>0</v>
      </c>
      <c r="AA472" s="16">
        <f t="shared" si="563"/>
        <v>0</v>
      </c>
      <c r="AB472" s="16">
        <f t="shared" si="563"/>
        <v>0</v>
      </c>
      <c r="AC472" s="16">
        <f t="shared" si="564"/>
        <v>0</v>
      </c>
      <c r="AD472" s="16">
        <f t="shared" si="564"/>
        <v>0</v>
      </c>
      <c r="AE472" s="16">
        <f t="shared" si="564"/>
        <v>0</v>
      </c>
      <c r="AF472" s="16">
        <f t="shared" si="564"/>
        <v>0</v>
      </c>
      <c r="AG472" s="16">
        <f t="shared" si="564"/>
        <v>0</v>
      </c>
      <c r="AH472" s="16">
        <f t="shared" si="564"/>
        <v>0</v>
      </c>
      <c r="AI472" s="16">
        <f t="shared" si="564"/>
        <v>0</v>
      </c>
      <c r="AJ472" s="16">
        <f t="shared" si="564"/>
        <v>0</v>
      </c>
      <c r="AK472" s="16">
        <f t="shared" si="564"/>
        <v>0</v>
      </c>
      <c r="AL472" s="16">
        <f t="shared" si="564"/>
        <v>0</v>
      </c>
      <c r="AM472" s="16">
        <f t="shared" si="565"/>
        <v>0</v>
      </c>
      <c r="AN472" s="16">
        <f t="shared" si="565"/>
        <v>0</v>
      </c>
      <c r="AO472" s="16">
        <f t="shared" si="565"/>
        <v>0</v>
      </c>
      <c r="AP472" s="16">
        <f t="shared" si="565"/>
        <v>0</v>
      </c>
      <c r="AQ472" s="16">
        <f t="shared" si="565"/>
        <v>0</v>
      </c>
      <c r="AR472" s="16">
        <f t="shared" si="565"/>
        <v>0</v>
      </c>
      <c r="AS472" s="16">
        <f t="shared" si="565"/>
        <v>0</v>
      </c>
      <c r="AT472" s="16">
        <f t="shared" si="565"/>
        <v>0</v>
      </c>
      <c r="AU472" s="168"/>
      <c r="AV472" s="16">
        <f t="shared" si="566"/>
        <v>0</v>
      </c>
      <c r="AW472" s="16">
        <f t="shared" si="566"/>
        <v>0</v>
      </c>
      <c r="AX472" s="16">
        <f t="shared" si="566"/>
        <v>0</v>
      </c>
      <c r="AY472" s="16">
        <f t="shared" si="566"/>
        <v>0</v>
      </c>
      <c r="AZ472" s="16">
        <f t="shared" si="566"/>
        <v>0</v>
      </c>
      <c r="BA472" s="16">
        <f t="shared" si="566"/>
        <v>0</v>
      </c>
      <c r="BB472" s="16">
        <f t="shared" si="566"/>
        <v>0</v>
      </c>
      <c r="BC472" s="16">
        <f t="shared" si="566"/>
        <v>0</v>
      </c>
      <c r="BD472" s="16">
        <f t="shared" si="566"/>
        <v>0</v>
      </c>
      <c r="BE472" s="16">
        <f t="shared" si="566"/>
        <v>0</v>
      </c>
      <c r="BF472" s="16">
        <f t="shared" si="567"/>
        <v>0</v>
      </c>
      <c r="BG472" s="16">
        <f t="shared" si="567"/>
        <v>0</v>
      </c>
      <c r="BH472" s="16">
        <f t="shared" si="567"/>
        <v>0</v>
      </c>
      <c r="BI472" s="16">
        <f t="shared" si="567"/>
        <v>0</v>
      </c>
      <c r="BJ472" s="16">
        <f t="shared" si="567"/>
        <v>0</v>
      </c>
      <c r="BK472" s="16">
        <f t="shared" si="567"/>
        <v>0</v>
      </c>
      <c r="BL472" s="16">
        <f t="shared" si="567"/>
        <v>0</v>
      </c>
      <c r="BM472" s="16">
        <f t="shared" si="567"/>
        <v>0</v>
      </c>
      <c r="BN472" s="16">
        <f t="shared" si="567"/>
        <v>0</v>
      </c>
      <c r="BO472" s="16">
        <f t="shared" si="567"/>
        <v>0</v>
      </c>
      <c r="BP472" s="16">
        <f t="shared" si="568"/>
        <v>0</v>
      </c>
      <c r="BQ472" s="16">
        <f t="shared" si="568"/>
        <v>0</v>
      </c>
      <c r="BR472" s="16">
        <f t="shared" si="568"/>
        <v>0</v>
      </c>
      <c r="BS472" s="16">
        <f t="shared" si="568"/>
        <v>0</v>
      </c>
      <c r="BT472" s="16">
        <f t="shared" si="568"/>
        <v>0</v>
      </c>
      <c r="BU472" s="16">
        <f t="shared" si="568"/>
        <v>0</v>
      </c>
      <c r="BV472" s="16">
        <f t="shared" si="568"/>
        <v>0</v>
      </c>
      <c r="BW472" s="16">
        <f t="shared" si="568"/>
        <v>0</v>
      </c>
      <c r="BX472" s="21">
        <f t="shared" si="568"/>
        <v>0</v>
      </c>
      <c r="BY472" s="168"/>
      <c r="BZ472" s="16">
        <f t="shared" si="569"/>
        <v>0</v>
      </c>
      <c r="CA472" s="16">
        <f t="shared" si="569"/>
        <v>0</v>
      </c>
      <c r="CB472" s="168"/>
      <c r="CC472" s="16">
        <f t="shared" si="570"/>
        <v>105264</v>
      </c>
      <c r="CD472" s="16">
        <f t="shared" si="570"/>
        <v>0</v>
      </c>
      <c r="CE472" s="16">
        <f t="shared" si="570"/>
        <v>0</v>
      </c>
      <c r="CF472" s="16">
        <f t="shared" si="570"/>
        <v>0</v>
      </c>
      <c r="CG472" s="16">
        <f t="shared" si="570"/>
        <v>0</v>
      </c>
      <c r="CH472" s="16">
        <f t="shared" si="570"/>
        <v>0</v>
      </c>
      <c r="CI472" s="16">
        <f t="shared" si="570"/>
        <v>0</v>
      </c>
      <c r="CJ472" s="16">
        <f t="shared" si="570"/>
        <v>0</v>
      </c>
      <c r="CK472" s="16">
        <f t="shared" si="570"/>
        <v>0</v>
      </c>
      <c r="CL472" s="16">
        <f t="shared" si="570"/>
        <v>0</v>
      </c>
      <c r="CM472" s="16">
        <f t="shared" si="571"/>
        <v>0</v>
      </c>
      <c r="CN472" s="16">
        <f t="shared" si="571"/>
        <v>0</v>
      </c>
      <c r="CO472" s="16">
        <f t="shared" si="571"/>
        <v>0</v>
      </c>
      <c r="CP472" s="16">
        <f t="shared" si="571"/>
        <v>0</v>
      </c>
      <c r="CQ472" s="16">
        <f t="shared" si="571"/>
        <v>0</v>
      </c>
      <c r="CR472" s="16">
        <f t="shared" si="571"/>
        <v>0</v>
      </c>
      <c r="CS472" s="16">
        <f t="shared" si="571"/>
        <v>0</v>
      </c>
      <c r="CT472" s="16">
        <f t="shared" si="571"/>
        <v>0</v>
      </c>
      <c r="CU472" s="16">
        <f t="shared" si="571"/>
        <v>0</v>
      </c>
      <c r="CV472" s="16">
        <f t="shared" si="571"/>
        <v>0</v>
      </c>
      <c r="CW472" s="16">
        <f t="shared" si="572"/>
        <v>0</v>
      </c>
      <c r="CX472" s="16">
        <f t="shared" si="572"/>
        <v>0</v>
      </c>
      <c r="CY472" s="16">
        <f t="shared" si="572"/>
        <v>0</v>
      </c>
      <c r="CZ472" s="16">
        <f t="shared" si="572"/>
        <v>0</v>
      </c>
      <c r="DA472" s="16">
        <f t="shared" si="572"/>
        <v>0</v>
      </c>
      <c r="DB472" s="16">
        <f t="shared" si="572"/>
        <v>0</v>
      </c>
      <c r="DC472" s="16">
        <f t="shared" si="572"/>
        <v>0</v>
      </c>
      <c r="DD472" s="16">
        <f t="shared" si="572"/>
        <v>0</v>
      </c>
      <c r="DE472" s="21">
        <f t="shared" si="572"/>
        <v>105264</v>
      </c>
      <c r="DF472" s="168"/>
      <c r="DG472" s="16">
        <f t="shared" si="573"/>
        <v>0</v>
      </c>
      <c r="DH472" s="16">
        <f t="shared" si="573"/>
        <v>409216</v>
      </c>
      <c r="DI472" s="168"/>
      <c r="DJ472" s="16">
        <f t="shared" si="574"/>
        <v>0</v>
      </c>
      <c r="DK472" s="16">
        <f t="shared" si="574"/>
        <v>0</v>
      </c>
      <c r="DL472" s="16">
        <f t="shared" si="574"/>
        <v>0</v>
      </c>
      <c r="DM472" s="16">
        <f t="shared" si="574"/>
        <v>-3387.22</v>
      </c>
      <c r="DN472" s="16">
        <f t="shared" si="574"/>
        <v>0</v>
      </c>
      <c r="DO472" s="16">
        <f t="shared" si="574"/>
        <v>0</v>
      </c>
      <c r="DP472" s="137">
        <f t="shared" si="574"/>
        <v>0</v>
      </c>
      <c r="DQ472" s="16">
        <f t="shared" si="574"/>
        <v>0</v>
      </c>
      <c r="DR472" s="16">
        <f t="shared" si="574"/>
        <v>0</v>
      </c>
      <c r="DS472" s="16">
        <f t="shared" si="574"/>
        <v>-29635.42</v>
      </c>
      <c r="DT472" s="16">
        <f t="shared" si="575"/>
        <v>0</v>
      </c>
      <c r="DU472" s="16">
        <f t="shared" si="575"/>
        <v>-11723.98</v>
      </c>
      <c r="DV472" s="16">
        <f t="shared" si="575"/>
        <v>0</v>
      </c>
      <c r="DW472" s="16">
        <f t="shared" si="575"/>
        <v>0</v>
      </c>
      <c r="DX472" s="16">
        <f t="shared" si="575"/>
        <v>0</v>
      </c>
      <c r="DY472" s="16">
        <f t="shared" si="575"/>
        <v>-7078.71</v>
      </c>
      <c r="DZ472" s="16">
        <f t="shared" si="575"/>
        <v>0</v>
      </c>
      <c r="EA472" s="16">
        <f t="shared" si="575"/>
        <v>-17778.310000000001</v>
      </c>
      <c r="EB472" s="16">
        <f t="shared" si="575"/>
        <v>0</v>
      </c>
      <c r="EC472" s="16">
        <f t="shared" si="575"/>
        <v>-13891.44</v>
      </c>
      <c r="ED472" s="16">
        <f t="shared" si="576"/>
        <v>0</v>
      </c>
      <c r="EE472" s="16">
        <f t="shared" si="576"/>
        <v>-55122.450000000004</v>
      </c>
      <c r="EF472" s="16">
        <f t="shared" si="576"/>
        <v>0</v>
      </c>
      <c r="EG472" s="137">
        <f t="shared" si="576"/>
        <v>0</v>
      </c>
      <c r="EH472" s="16">
        <f t="shared" si="576"/>
        <v>0</v>
      </c>
      <c r="EI472" s="16">
        <f t="shared" si="576"/>
        <v>0</v>
      </c>
      <c r="EJ472" s="16">
        <f t="shared" si="576"/>
        <v>0</v>
      </c>
      <c r="EK472" s="16">
        <f t="shared" si="576"/>
        <v>-138617.53</v>
      </c>
      <c r="EL472" s="16">
        <f t="shared" si="576"/>
        <v>0</v>
      </c>
      <c r="EM472" s="21">
        <f t="shared" si="576"/>
        <v>375862.47</v>
      </c>
      <c r="EN472" s="21"/>
      <c r="EO472" s="21"/>
      <c r="EP472" s="21"/>
      <c r="EQ472" s="21"/>
      <c r="ER472" s="21"/>
      <c r="ES472" s="152">
        <f t="shared" si="577"/>
        <v>-32979.17</v>
      </c>
      <c r="ET472" s="152">
        <f t="shared" si="577"/>
        <v>-3982.14</v>
      </c>
      <c r="EU472" s="152">
        <f t="shared" si="577"/>
        <v>-24024.67</v>
      </c>
      <c r="EV472" s="152">
        <f t="shared" si="577"/>
        <v>0</v>
      </c>
      <c r="EW472" s="152">
        <f t="shared" si="577"/>
        <v>0</v>
      </c>
      <c r="EX472" s="152">
        <f t="shared" si="577"/>
        <v>0</v>
      </c>
      <c r="EY472" s="152">
        <f t="shared" si="577"/>
        <v>0</v>
      </c>
      <c r="EZ472" s="152">
        <f t="shared" si="577"/>
        <v>0</v>
      </c>
      <c r="FA472" s="152">
        <f t="shared" si="577"/>
        <v>0</v>
      </c>
      <c r="FB472" s="152">
        <f t="shared" si="577"/>
        <v>0</v>
      </c>
      <c r="FC472" s="152">
        <f t="shared" si="578"/>
        <v>-1459.84</v>
      </c>
      <c r="FD472" s="152">
        <f t="shared" si="578"/>
        <v>0</v>
      </c>
      <c r="FE472" s="152">
        <f t="shared" si="578"/>
        <v>0</v>
      </c>
      <c r="FF472" s="152">
        <f t="shared" si="578"/>
        <v>0</v>
      </c>
      <c r="FG472" s="152">
        <f t="shared" si="578"/>
        <v>0</v>
      </c>
      <c r="FH472" s="152">
        <f t="shared" si="578"/>
        <v>0</v>
      </c>
      <c r="FI472" s="152">
        <f t="shared" si="578"/>
        <v>0</v>
      </c>
      <c r="FJ472" s="152">
        <f t="shared" si="578"/>
        <v>0</v>
      </c>
      <c r="FK472" s="152">
        <f t="shared" si="578"/>
        <v>-62445.82</v>
      </c>
      <c r="FL472" s="29"/>
    </row>
    <row r="473" spans="4:168" x14ac:dyDescent="0.2">
      <c r="D473" s="37">
        <v>64423.62</v>
      </c>
      <c r="N473" s="316" t="s">
        <v>500</v>
      </c>
      <c r="O473" s="317"/>
      <c r="P473" s="318"/>
      <c r="Q473" s="53"/>
      <c r="R473" s="20"/>
      <c r="S473" s="16">
        <f t="shared" si="563"/>
        <v>0</v>
      </c>
      <c r="T473" s="16">
        <f t="shared" si="563"/>
        <v>0</v>
      </c>
      <c r="U473" s="16">
        <f t="shared" si="563"/>
        <v>0</v>
      </c>
      <c r="V473" s="16">
        <f t="shared" si="563"/>
        <v>0</v>
      </c>
      <c r="W473" s="16">
        <f t="shared" si="563"/>
        <v>0</v>
      </c>
      <c r="X473" s="16">
        <f t="shared" si="563"/>
        <v>0</v>
      </c>
      <c r="Y473" s="16">
        <f t="shared" si="563"/>
        <v>0</v>
      </c>
      <c r="Z473" s="16">
        <f t="shared" si="563"/>
        <v>0</v>
      </c>
      <c r="AA473" s="16">
        <f t="shared" si="563"/>
        <v>0</v>
      </c>
      <c r="AB473" s="16">
        <f t="shared" si="563"/>
        <v>0</v>
      </c>
      <c r="AC473" s="16">
        <f t="shared" si="564"/>
        <v>0</v>
      </c>
      <c r="AD473" s="16">
        <f t="shared" si="564"/>
        <v>0</v>
      </c>
      <c r="AE473" s="16">
        <f t="shared" si="564"/>
        <v>0</v>
      </c>
      <c r="AF473" s="16">
        <f t="shared" si="564"/>
        <v>0</v>
      </c>
      <c r="AG473" s="16">
        <f t="shared" si="564"/>
        <v>0</v>
      </c>
      <c r="AH473" s="16">
        <f t="shared" si="564"/>
        <v>0</v>
      </c>
      <c r="AI473" s="16">
        <f t="shared" si="564"/>
        <v>0</v>
      </c>
      <c r="AJ473" s="16">
        <f t="shared" si="564"/>
        <v>0</v>
      </c>
      <c r="AK473" s="16">
        <f t="shared" si="564"/>
        <v>0</v>
      </c>
      <c r="AL473" s="16">
        <f t="shared" si="564"/>
        <v>0</v>
      </c>
      <c r="AM473" s="16">
        <f t="shared" si="565"/>
        <v>0</v>
      </c>
      <c r="AN473" s="16">
        <f t="shared" si="565"/>
        <v>0</v>
      </c>
      <c r="AO473" s="16">
        <f t="shared" si="565"/>
        <v>0</v>
      </c>
      <c r="AP473" s="16">
        <f t="shared" si="565"/>
        <v>0</v>
      </c>
      <c r="AQ473" s="16">
        <f t="shared" si="565"/>
        <v>0</v>
      </c>
      <c r="AR473" s="16">
        <f t="shared" si="565"/>
        <v>0</v>
      </c>
      <c r="AS473" s="16">
        <f t="shared" si="565"/>
        <v>0</v>
      </c>
      <c r="AT473" s="16">
        <f t="shared" si="565"/>
        <v>0</v>
      </c>
      <c r="AU473" s="168"/>
      <c r="AV473" s="16">
        <f t="shared" si="566"/>
        <v>0</v>
      </c>
      <c r="AW473" s="16">
        <f t="shared" si="566"/>
        <v>0</v>
      </c>
      <c r="AX473" s="16">
        <f t="shared" si="566"/>
        <v>0</v>
      </c>
      <c r="AY473" s="16">
        <f t="shared" si="566"/>
        <v>0</v>
      </c>
      <c r="AZ473" s="16">
        <f t="shared" si="566"/>
        <v>0</v>
      </c>
      <c r="BA473" s="16">
        <f t="shared" si="566"/>
        <v>0</v>
      </c>
      <c r="BB473" s="16">
        <f t="shared" si="566"/>
        <v>0</v>
      </c>
      <c r="BC473" s="16">
        <f t="shared" si="566"/>
        <v>0</v>
      </c>
      <c r="BD473" s="16">
        <f t="shared" si="566"/>
        <v>0</v>
      </c>
      <c r="BE473" s="16">
        <f t="shared" si="566"/>
        <v>0</v>
      </c>
      <c r="BF473" s="16">
        <f t="shared" si="567"/>
        <v>0</v>
      </c>
      <c r="BG473" s="16">
        <f t="shared" si="567"/>
        <v>0</v>
      </c>
      <c r="BH473" s="16">
        <f t="shared" si="567"/>
        <v>0</v>
      </c>
      <c r="BI473" s="16">
        <f t="shared" si="567"/>
        <v>0</v>
      </c>
      <c r="BJ473" s="16">
        <f t="shared" si="567"/>
        <v>0</v>
      </c>
      <c r="BK473" s="16">
        <f t="shared" si="567"/>
        <v>0</v>
      </c>
      <c r="BL473" s="16">
        <f t="shared" si="567"/>
        <v>0</v>
      </c>
      <c r="BM473" s="16">
        <f t="shared" si="567"/>
        <v>0</v>
      </c>
      <c r="BN473" s="16">
        <f t="shared" si="567"/>
        <v>0</v>
      </c>
      <c r="BO473" s="16">
        <f t="shared" si="567"/>
        <v>0</v>
      </c>
      <c r="BP473" s="16">
        <f t="shared" si="568"/>
        <v>0</v>
      </c>
      <c r="BQ473" s="16">
        <f t="shared" si="568"/>
        <v>0</v>
      </c>
      <c r="BR473" s="16">
        <f t="shared" si="568"/>
        <v>0</v>
      </c>
      <c r="BS473" s="16">
        <f t="shared" si="568"/>
        <v>0</v>
      </c>
      <c r="BT473" s="16">
        <f t="shared" si="568"/>
        <v>0</v>
      </c>
      <c r="BU473" s="16">
        <f t="shared" si="568"/>
        <v>0</v>
      </c>
      <c r="BV473" s="16">
        <f t="shared" si="568"/>
        <v>0</v>
      </c>
      <c r="BW473" s="16">
        <f t="shared" si="568"/>
        <v>0</v>
      </c>
      <c r="BX473" s="21">
        <f t="shared" si="568"/>
        <v>0</v>
      </c>
      <c r="BY473" s="168"/>
      <c r="BZ473" s="16">
        <f t="shared" si="569"/>
        <v>0</v>
      </c>
      <c r="CA473" s="16">
        <f t="shared" si="569"/>
        <v>0</v>
      </c>
      <c r="CB473" s="168"/>
      <c r="CC473" s="16">
        <f t="shared" si="570"/>
        <v>0</v>
      </c>
      <c r="CD473" s="16">
        <f t="shared" si="570"/>
        <v>0</v>
      </c>
      <c r="CE473" s="16">
        <f t="shared" si="570"/>
        <v>0</v>
      </c>
      <c r="CF473" s="16">
        <f t="shared" si="570"/>
        <v>0</v>
      </c>
      <c r="CG473" s="16">
        <f t="shared" si="570"/>
        <v>0</v>
      </c>
      <c r="CH473" s="16">
        <f t="shared" si="570"/>
        <v>0</v>
      </c>
      <c r="CI473" s="16">
        <f t="shared" si="570"/>
        <v>0</v>
      </c>
      <c r="CJ473" s="16">
        <f t="shared" si="570"/>
        <v>0</v>
      </c>
      <c r="CK473" s="16">
        <f t="shared" si="570"/>
        <v>0</v>
      </c>
      <c r="CL473" s="16">
        <f t="shared" si="570"/>
        <v>0</v>
      </c>
      <c r="CM473" s="16">
        <f t="shared" si="571"/>
        <v>0</v>
      </c>
      <c r="CN473" s="16">
        <f t="shared" si="571"/>
        <v>0</v>
      </c>
      <c r="CO473" s="16">
        <f t="shared" si="571"/>
        <v>0</v>
      </c>
      <c r="CP473" s="16">
        <f t="shared" si="571"/>
        <v>0</v>
      </c>
      <c r="CQ473" s="16">
        <f t="shared" si="571"/>
        <v>0</v>
      </c>
      <c r="CR473" s="16">
        <f t="shared" si="571"/>
        <v>0</v>
      </c>
      <c r="CS473" s="16">
        <f t="shared" si="571"/>
        <v>0</v>
      </c>
      <c r="CT473" s="16">
        <f t="shared" si="571"/>
        <v>0</v>
      </c>
      <c r="CU473" s="16">
        <f t="shared" si="571"/>
        <v>0</v>
      </c>
      <c r="CV473" s="16">
        <f t="shared" si="571"/>
        <v>0</v>
      </c>
      <c r="CW473" s="16">
        <f t="shared" si="572"/>
        <v>0</v>
      </c>
      <c r="CX473" s="16">
        <f t="shared" si="572"/>
        <v>0</v>
      </c>
      <c r="CY473" s="16">
        <f t="shared" si="572"/>
        <v>0</v>
      </c>
      <c r="CZ473" s="16">
        <f t="shared" si="572"/>
        <v>0</v>
      </c>
      <c r="DA473" s="16">
        <f t="shared" si="572"/>
        <v>0</v>
      </c>
      <c r="DB473" s="16">
        <f t="shared" si="572"/>
        <v>0</v>
      </c>
      <c r="DC473" s="16">
        <f t="shared" si="572"/>
        <v>0</v>
      </c>
      <c r="DD473" s="16">
        <f t="shared" si="572"/>
        <v>0</v>
      </c>
      <c r="DE473" s="21">
        <f t="shared" si="572"/>
        <v>0</v>
      </c>
      <c r="DF473" s="168"/>
      <c r="DG473" s="16">
        <f t="shared" si="573"/>
        <v>0</v>
      </c>
      <c r="DH473" s="16">
        <f t="shared" si="573"/>
        <v>0</v>
      </c>
      <c r="DI473" s="168"/>
      <c r="DJ473" s="16">
        <f t="shared" si="574"/>
        <v>115000</v>
      </c>
      <c r="DK473" s="16">
        <f t="shared" si="574"/>
        <v>0</v>
      </c>
      <c r="DL473" s="16">
        <f t="shared" si="574"/>
        <v>0</v>
      </c>
      <c r="DM473" s="16">
        <f t="shared" si="574"/>
        <v>0</v>
      </c>
      <c r="DN473" s="16">
        <f t="shared" si="574"/>
        <v>0</v>
      </c>
      <c r="DO473" s="16">
        <f t="shared" si="574"/>
        <v>0</v>
      </c>
      <c r="DP473" s="137">
        <f t="shared" si="574"/>
        <v>0</v>
      </c>
      <c r="DQ473" s="16">
        <f t="shared" si="574"/>
        <v>0</v>
      </c>
      <c r="DR473" s="16">
        <f t="shared" si="574"/>
        <v>0</v>
      </c>
      <c r="DS473" s="16">
        <f t="shared" si="574"/>
        <v>0</v>
      </c>
      <c r="DT473" s="16">
        <f t="shared" si="575"/>
        <v>0</v>
      </c>
      <c r="DU473" s="16">
        <f t="shared" si="575"/>
        <v>0</v>
      </c>
      <c r="DV473" s="16">
        <f t="shared" si="575"/>
        <v>0</v>
      </c>
      <c r="DW473" s="16">
        <f t="shared" si="575"/>
        <v>0</v>
      </c>
      <c r="DX473" s="16">
        <f t="shared" si="575"/>
        <v>0</v>
      </c>
      <c r="DY473" s="16">
        <f t="shared" si="575"/>
        <v>0</v>
      </c>
      <c r="DZ473" s="16">
        <f t="shared" si="575"/>
        <v>0</v>
      </c>
      <c r="EA473" s="16">
        <f t="shared" si="575"/>
        <v>0</v>
      </c>
      <c r="EB473" s="16">
        <f t="shared" si="575"/>
        <v>0</v>
      </c>
      <c r="EC473" s="16">
        <f t="shared" si="575"/>
        <v>0</v>
      </c>
      <c r="ED473" s="16">
        <f t="shared" si="576"/>
        <v>0</v>
      </c>
      <c r="EE473" s="16">
        <f t="shared" si="576"/>
        <v>0</v>
      </c>
      <c r="EF473" s="16">
        <f t="shared" si="576"/>
        <v>0</v>
      </c>
      <c r="EG473" s="137">
        <f t="shared" si="576"/>
        <v>0</v>
      </c>
      <c r="EH473" s="16">
        <f t="shared" si="576"/>
        <v>0</v>
      </c>
      <c r="EI473" s="16">
        <f t="shared" si="576"/>
        <v>0</v>
      </c>
      <c r="EJ473" s="16">
        <f t="shared" si="576"/>
        <v>0</v>
      </c>
      <c r="EK473" s="16">
        <f t="shared" si="576"/>
        <v>0</v>
      </c>
      <c r="EL473" s="16">
        <f t="shared" si="576"/>
        <v>0</v>
      </c>
      <c r="EM473" s="21">
        <f t="shared" si="576"/>
        <v>115000</v>
      </c>
      <c r="EN473" s="21"/>
      <c r="EO473" s="21"/>
      <c r="EP473" s="21"/>
      <c r="EQ473" s="21"/>
      <c r="ER473" s="21"/>
      <c r="ES473" s="152">
        <f t="shared" si="577"/>
        <v>0</v>
      </c>
      <c r="ET473" s="152">
        <f t="shared" si="577"/>
        <v>0</v>
      </c>
      <c r="EU473" s="152">
        <f t="shared" si="577"/>
        <v>0</v>
      </c>
      <c r="EV473" s="152">
        <f t="shared" si="577"/>
        <v>0</v>
      </c>
      <c r="EW473" s="152">
        <f t="shared" si="577"/>
        <v>-1296</v>
      </c>
      <c r="EX473" s="152">
        <f t="shared" si="577"/>
        <v>0</v>
      </c>
      <c r="EY473" s="152">
        <f t="shared" si="577"/>
        <v>-18476.68</v>
      </c>
      <c r="EZ473" s="152">
        <f t="shared" si="577"/>
        <v>0</v>
      </c>
      <c r="FA473" s="152">
        <f t="shared" si="577"/>
        <v>0</v>
      </c>
      <c r="FB473" s="152">
        <f t="shared" si="577"/>
        <v>0</v>
      </c>
      <c r="FC473" s="152">
        <f t="shared" si="578"/>
        <v>0</v>
      </c>
      <c r="FD473" s="152">
        <f t="shared" si="578"/>
        <v>0</v>
      </c>
      <c r="FE473" s="152">
        <f t="shared" si="578"/>
        <v>-13423.71</v>
      </c>
      <c r="FF473" s="152">
        <f t="shared" si="578"/>
        <v>0</v>
      </c>
      <c r="FG473" s="152">
        <f t="shared" si="578"/>
        <v>0</v>
      </c>
      <c r="FH473" s="152">
        <f t="shared" si="578"/>
        <v>0</v>
      </c>
      <c r="FI473" s="152">
        <f t="shared" si="578"/>
        <v>0</v>
      </c>
      <c r="FJ473" s="152">
        <f t="shared" si="578"/>
        <v>0</v>
      </c>
      <c r="FK473" s="152">
        <f t="shared" si="578"/>
        <v>-33196.39</v>
      </c>
      <c r="FL473" s="29"/>
    </row>
    <row r="474" spans="4:168" x14ac:dyDescent="0.2">
      <c r="D474" s="76" t="s">
        <v>823</v>
      </c>
      <c r="N474" s="316" t="s">
        <v>166</v>
      </c>
      <c r="O474" s="317"/>
      <c r="P474" s="318"/>
      <c r="Q474" s="53"/>
      <c r="R474" s="20"/>
      <c r="S474" s="16">
        <f t="shared" si="563"/>
        <v>50064</v>
      </c>
      <c r="T474" s="16">
        <f t="shared" si="563"/>
        <v>0</v>
      </c>
      <c r="U474" s="16">
        <f t="shared" si="563"/>
        <v>0</v>
      </c>
      <c r="V474" s="16">
        <f t="shared" si="563"/>
        <v>0</v>
      </c>
      <c r="W474" s="16">
        <f t="shared" si="563"/>
        <v>0</v>
      </c>
      <c r="X474" s="16">
        <f t="shared" si="563"/>
        <v>0</v>
      </c>
      <c r="Y474" s="16">
        <f t="shared" si="563"/>
        <v>0</v>
      </c>
      <c r="Z474" s="16">
        <f t="shared" si="563"/>
        <v>0</v>
      </c>
      <c r="AA474" s="16">
        <f t="shared" si="563"/>
        <v>0</v>
      </c>
      <c r="AB474" s="16">
        <f t="shared" si="563"/>
        <v>0</v>
      </c>
      <c r="AC474" s="16">
        <f t="shared" si="564"/>
        <v>0</v>
      </c>
      <c r="AD474" s="16">
        <f t="shared" si="564"/>
        <v>0</v>
      </c>
      <c r="AE474" s="16">
        <f t="shared" si="564"/>
        <v>0</v>
      </c>
      <c r="AF474" s="16">
        <f t="shared" si="564"/>
        <v>0</v>
      </c>
      <c r="AG474" s="16">
        <f t="shared" si="564"/>
        <v>0</v>
      </c>
      <c r="AH474" s="16">
        <f t="shared" si="564"/>
        <v>0</v>
      </c>
      <c r="AI474" s="16">
        <f t="shared" si="564"/>
        <v>0</v>
      </c>
      <c r="AJ474" s="16">
        <f t="shared" si="564"/>
        <v>0</v>
      </c>
      <c r="AK474" s="16">
        <f t="shared" si="564"/>
        <v>0</v>
      </c>
      <c r="AL474" s="16">
        <f t="shared" si="564"/>
        <v>0</v>
      </c>
      <c r="AM474" s="16">
        <f t="shared" si="565"/>
        <v>0</v>
      </c>
      <c r="AN474" s="16">
        <f t="shared" si="565"/>
        <v>0</v>
      </c>
      <c r="AO474" s="16">
        <f t="shared" si="565"/>
        <v>0</v>
      </c>
      <c r="AP474" s="16">
        <f t="shared" si="565"/>
        <v>-1044</v>
      </c>
      <c r="AQ474" s="16">
        <f t="shared" si="565"/>
        <v>0</v>
      </c>
      <c r="AR474" s="16">
        <f t="shared" si="565"/>
        <v>-1044</v>
      </c>
      <c r="AS474" s="16">
        <f t="shared" si="565"/>
        <v>0</v>
      </c>
      <c r="AT474" s="16">
        <f t="shared" si="565"/>
        <v>49020</v>
      </c>
      <c r="AU474" s="168"/>
      <c r="AV474" s="16">
        <f t="shared" si="566"/>
        <v>0</v>
      </c>
      <c r="AW474" s="16">
        <f t="shared" si="566"/>
        <v>0</v>
      </c>
      <c r="AX474" s="16">
        <f t="shared" si="566"/>
        <v>0</v>
      </c>
      <c r="AY474" s="16">
        <f t="shared" si="566"/>
        <v>0</v>
      </c>
      <c r="AZ474" s="16">
        <f t="shared" si="566"/>
        <v>-6250</v>
      </c>
      <c r="BA474" s="16">
        <f t="shared" si="566"/>
        <v>0</v>
      </c>
      <c r="BB474" s="16">
        <f t="shared" si="566"/>
        <v>0</v>
      </c>
      <c r="BC474" s="16">
        <f t="shared" si="566"/>
        <v>0</v>
      </c>
      <c r="BD474" s="16">
        <f t="shared" si="566"/>
        <v>0</v>
      </c>
      <c r="BE474" s="16">
        <f t="shared" si="566"/>
        <v>0</v>
      </c>
      <c r="BF474" s="16">
        <f t="shared" si="567"/>
        <v>0</v>
      </c>
      <c r="BG474" s="16">
        <f t="shared" si="567"/>
        <v>0</v>
      </c>
      <c r="BH474" s="16">
        <f t="shared" si="567"/>
        <v>0</v>
      </c>
      <c r="BI474" s="16">
        <f t="shared" si="567"/>
        <v>0</v>
      </c>
      <c r="BJ474" s="16">
        <f t="shared" si="567"/>
        <v>0</v>
      </c>
      <c r="BK474" s="16">
        <f t="shared" si="567"/>
        <v>0</v>
      </c>
      <c r="BL474" s="16">
        <f t="shared" si="567"/>
        <v>0</v>
      </c>
      <c r="BM474" s="16">
        <f t="shared" si="567"/>
        <v>0</v>
      </c>
      <c r="BN474" s="16">
        <f t="shared" si="567"/>
        <v>0</v>
      </c>
      <c r="BO474" s="16">
        <f t="shared" si="567"/>
        <v>0</v>
      </c>
      <c r="BP474" s="16">
        <f t="shared" si="568"/>
        <v>0</v>
      </c>
      <c r="BQ474" s="16">
        <f t="shared" si="568"/>
        <v>0</v>
      </c>
      <c r="BR474" s="16">
        <f t="shared" si="568"/>
        <v>0</v>
      </c>
      <c r="BS474" s="16">
        <f t="shared" si="568"/>
        <v>0</v>
      </c>
      <c r="BT474" s="16">
        <f t="shared" si="568"/>
        <v>0</v>
      </c>
      <c r="BU474" s="16">
        <f t="shared" si="568"/>
        <v>0</v>
      </c>
      <c r="BV474" s="16">
        <f t="shared" si="568"/>
        <v>-6250</v>
      </c>
      <c r="BW474" s="16">
        <f t="shared" si="568"/>
        <v>0</v>
      </c>
      <c r="BX474" s="21">
        <f t="shared" si="568"/>
        <v>42770</v>
      </c>
      <c r="BY474" s="168"/>
      <c r="BZ474" s="16">
        <f t="shared" si="569"/>
        <v>0</v>
      </c>
      <c r="CA474" s="16">
        <f t="shared" si="569"/>
        <v>0</v>
      </c>
      <c r="CB474" s="168"/>
      <c r="CC474" s="16">
        <f t="shared" si="570"/>
        <v>0</v>
      </c>
      <c r="CD474" s="16">
        <f t="shared" si="570"/>
        <v>0</v>
      </c>
      <c r="CE474" s="16">
        <f t="shared" si="570"/>
        <v>0</v>
      </c>
      <c r="CF474" s="16">
        <f t="shared" si="570"/>
        <v>0</v>
      </c>
      <c r="CG474" s="16">
        <f t="shared" si="570"/>
        <v>0</v>
      </c>
      <c r="CH474" s="16">
        <f t="shared" si="570"/>
        <v>0</v>
      </c>
      <c r="CI474" s="16">
        <f t="shared" si="570"/>
        <v>0</v>
      </c>
      <c r="CJ474" s="16">
        <f t="shared" si="570"/>
        <v>0</v>
      </c>
      <c r="CK474" s="16">
        <f t="shared" si="570"/>
        <v>0</v>
      </c>
      <c r="CL474" s="16">
        <f t="shared" si="570"/>
        <v>0</v>
      </c>
      <c r="CM474" s="16">
        <f t="shared" si="571"/>
        <v>0</v>
      </c>
      <c r="CN474" s="16">
        <f t="shared" si="571"/>
        <v>0</v>
      </c>
      <c r="CO474" s="16">
        <f t="shared" si="571"/>
        <v>0</v>
      </c>
      <c r="CP474" s="16">
        <f t="shared" si="571"/>
        <v>0</v>
      </c>
      <c r="CQ474" s="16">
        <f t="shared" si="571"/>
        <v>0</v>
      </c>
      <c r="CR474" s="16">
        <f t="shared" si="571"/>
        <v>0</v>
      </c>
      <c r="CS474" s="16">
        <f t="shared" si="571"/>
        <v>0</v>
      </c>
      <c r="CT474" s="16">
        <f t="shared" si="571"/>
        <v>0</v>
      </c>
      <c r="CU474" s="16">
        <f t="shared" si="571"/>
        <v>0</v>
      </c>
      <c r="CV474" s="16">
        <f t="shared" si="571"/>
        <v>0</v>
      </c>
      <c r="CW474" s="16">
        <f t="shared" si="572"/>
        <v>0</v>
      </c>
      <c r="CX474" s="16">
        <f t="shared" si="572"/>
        <v>0</v>
      </c>
      <c r="CY474" s="16">
        <f t="shared" si="572"/>
        <v>0</v>
      </c>
      <c r="CZ474" s="16">
        <f t="shared" si="572"/>
        <v>0</v>
      </c>
      <c r="DA474" s="16">
        <f t="shared" si="572"/>
        <v>0</v>
      </c>
      <c r="DB474" s="16">
        <f t="shared" si="572"/>
        <v>0</v>
      </c>
      <c r="DC474" s="16">
        <f t="shared" si="572"/>
        <v>0</v>
      </c>
      <c r="DD474" s="16">
        <f t="shared" si="572"/>
        <v>0</v>
      </c>
      <c r="DE474" s="21">
        <f t="shared" si="572"/>
        <v>42770</v>
      </c>
      <c r="DF474" s="168"/>
      <c r="DG474" s="16">
        <f t="shared" si="573"/>
        <v>0</v>
      </c>
      <c r="DH474" s="16">
        <f t="shared" si="573"/>
        <v>0</v>
      </c>
      <c r="DI474" s="168"/>
      <c r="DJ474" s="16">
        <f t="shared" si="574"/>
        <v>0</v>
      </c>
      <c r="DK474" s="16">
        <f t="shared" si="574"/>
        <v>0</v>
      </c>
      <c r="DL474" s="16">
        <f t="shared" si="574"/>
        <v>0</v>
      </c>
      <c r="DM474" s="16">
        <f t="shared" si="574"/>
        <v>0</v>
      </c>
      <c r="DN474" s="16">
        <f t="shared" si="574"/>
        <v>0</v>
      </c>
      <c r="DO474" s="16">
        <f t="shared" si="574"/>
        <v>0</v>
      </c>
      <c r="DP474" s="137">
        <f t="shared" si="574"/>
        <v>0</v>
      </c>
      <c r="DQ474" s="16">
        <f t="shared" si="574"/>
        <v>0</v>
      </c>
      <c r="DR474" s="16">
        <f t="shared" si="574"/>
        <v>-4020</v>
      </c>
      <c r="DS474" s="16">
        <f t="shared" si="574"/>
        <v>0</v>
      </c>
      <c r="DT474" s="16">
        <f t="shared" si="575"/>
        <v>0</v>
      </c>
      <c r="DU474" s="16">
        <f t="shared" si="575"/>
        <v>0</v>
      </c>
      <c r="DV474" s="16">
        <f t="shared" si="575"/>
        <v>0</v>
      </c>
      <c r="DW474" s="16">
        <f t="shared" si="575"/>
        <v>0</v>
      </c>
      <c r="DX474" s="16">
        <f t="shared" si="575"/>
        <v>0</v>
      </c>
      <c r="DY474" s="16">
        <f t="shared" si="575"/>
        <v>0</v>
      </c>
      <c r="DZ474" s="16">
        <f t="shared" si="575"/>
        <v>0</v>
      </c>
      <c r="EA474" s="16">
        <f t="shared" si="575"/>
        <v>0</v>
      </c>
      <c r="EB474" s="16">
        <f t="shared" si="575"/>
        <v>0</v>
      </c>
      <c r="EC474" s="16">
        <f t="shared" si="575"/>
        <v>0</v>
      </c>
      <c r="ED474" s="16">
        <f t="shared" si="576"/>
        <v>0</v>
      </c>
      <c r="EE474" s="16">
        <f t="shared" si="576"/>
        <v>0</v>
      </c>
      <c r="EF474" s="16">
        <f t="shared" si="576"/>
        <v>4020</v>
      </c>
      <c r="EG474" s="137">
        <f t="shared" si="576"/>
        <v>-4020</v>
      </c>
      <c r="EH474" s="16">
        <f t="shared" si="576"/>
        <v>0</v>
      </c>
      <c r="EI474" s="16">
        <f t="shared" si="576"/>
        <v>0</v>
      </c>
      <c r="EJ474" s="16">
        <f t="shared" si="576"/>
        <v>-4020</v>
      </c>
      <c r="EK474" s="16">
        <f t="shared" si="576"/>
        <v>0</v>
      </c>
      <c r="EL474" s="16">
        <f t="shared" si="576"/>
        <v>0</v>
      </c>
      <c r="EM474" s="21">
        <f t="shared" si="576"/>
        <v>38750</v>
      </c>
      <c r="EN474" s="21"/>
      <c r="EO474" s="21"/>
      <c r="EP474" s="21"/>
      <c r="EQ474" s="21"/>
      <c r="ER474" s="21"/>
      <c r="ES474" s="152">
        <f t="shared" si="577"/>
        <v>0</v>
      </c>
      <c r="ET474" s="152">
        <f t="shared" si="577"/>
        <v>0</v>
      </c>
      <c r="EU474" s="152">
        <f t="shared" si="577"/>
        <v>0</v>
      </c>
      <c r="EV474" s="152">
        <f t="shared" si="577"/>
        <v>0</v>
      </c>
      <c r="EW474" s="152">
        <f t="shared" si="577"/>
        <v>0</v>
      </c>
      <c r="EX474" s="152">
        <f t="shared" si="577"/>
        <v>0</v>
      </c>
      <c r="EY474" s="152">
        <f t="shared" si="577"/>
        <v>0</v>
      </c>
      <c r="EZ474" s="152">
        <f t="shared" si="577"/>
        <v>0</v>
      </c>
      <c r="FA474" s="152">
        <f t="shared" si="577"/>
        <v>0</v>
      </c>
      <c r="FB474" s="152">
        <f t="shared" si="577"/>
        <v>0</v>
      </c>
      <c r="FC474" s="152">
        <f t="shared" si="578"/>
        <v>0</v>
      </c>
      <c r="FD474" s="152">
        <f t="shared" si="578"/>
        <v>0</v>
      </c>
      <c r="FE474" s="152">
        <f t="shared" si="578"/>
        <v>0</v>
      </c>
      <c r="FF474" s="152">
        <f t="shared" si="578"/>
        <v>0</v>
      </c>
      <c r="FG474" s="152">
        <f t="shared" si="578"/>
        <v>0</v>
      </c>
      <c r="FH474" s="152">
        <f t="shared" si="578"/>
        <v>0</v>
      </c>
      <c r="FI474" s="152">
        <f t="shared" si="578"/>
        <v>0</v>
      </c>
      <c r="FJ474" s="152">
        <f t="shared" si="578"/>
        <v>0</v>
      </c>
      <c r="FK474" s="152">
        <f t="shared" si="578"/>
        <v>0</v>
      </c>
      <c r="FL474" s="29"/>
    </row>
    <row r="475" spans="4:168" x14ac:dyDescent="0.2">
      <c r="D475" s="76">
        <v>468574.24</v>
      </c>
      <c r="N475" s="316" t="s">
        <v>200</v>
      </c>
      <c r="O475" s="317"/>
      <c r="P475" s="318"/>
      <c r="Q475" s="53"/>
      <c r="R475" s="20"/>
      <c r="S475" s="16">
        <f t="shared" ref="S475:AB488" si="579">SUMIF($E$1:$E$692,$N475,S:S)</f>
        <v>599478</v>
      </c>
      <c r="T475" s="16">
        <f t="shared" si="579"/>
        <v>0</v>
      </c>
      <c r="U475" s="16">
        <f t="shared" si="579"/>
        <v>0</v>
      </c>
      <c r="V475" s="16">
        <f t="shared" si="579"/>
        <v>0</v>
      </c>
      <c r="W475" s="16">
        <f t="shared" si="579"/>
        <v>0</v>
      </c>
      <c r="X475" s="16">
        <f t="shared" si="579"/>
        <v>0</v>
      </c>
      <c r="Y475" s="16">
        <f t="shared" si="579"/>
        <v>0</v>
      </c>
      <c r="Z475" s="16">
        <f t="shared" si="579"/>
        <v>0</v>
      </c>
      <c r="AA475" s="16">
        <f t="shared" si="579"/>
        <v>0</v>
      </c>
      <c r="AB475" s="16">
        <f t="shared" si="579"/>
        <v>0</v>
      </c>
      <c r="AC475" s="16">
        <f t="shared" ref="AC475:AL488" si="580">SUMIF($E$1:$E$692,$N475,AC:AC)</f>
        <v>0</v>
      </c>
      <c r="AD475" s="16">
        <f t="shared" si="580"/>
        <v>0</v>
      </c>
      <c r="AE475" s="16">
        <f t="shared" si="580"/>
        <v>0</v>
      </c>
      <c r="AF475" s="16">
        <f t="shared" si="580"/>
        <v>0</v>
      </c>
      <c r="AG475" s="16">
        <f t="shared" si="580"/>
        <v>0</v>
      </c>
      <c r="AH475" s="16">
        <f t="shared" si="580"/>
        <v>0</v>
      </c>
      <c r="AI475" s="16">
        <f t="shared" si="580"/>
        <v>0</v>
      </c>
      <c r="AJ475" s="16">
        <f t="shared" si="580"/>
        <v>0</v>
      </c>
      <c r="AK475" s="16">
        <f t="shared" si="580"/>
        <v>0</v>
      </c>
      <c r="AL475" s="16">
        <f t="shared" si="580"/>
        <v>-114828</v>
      </c>
      <c r="AM475" s="16">
        <f t="shared" ref="AM475:AT488" si="581">SUMIF($E$1:$E$692,$N475,AM:AM)</f>
        <v>0</v>
      </c>
      <c r="AN475" s="16">
        <f t="shared" si="581"/>
        <v>-29533</v>
      </c>
      <c r="AO475" s="16">
        <f t="shared" si="581"/>
        <v>0</v>
      </c>
      <c r="AP475" s="16">
        <f t="shared" si="581"/>
        <v>-28539</v>
      </c>
      <c r="AQ475" s="16">
        <f t="shared" si="581"/>
        <v>0</v>
      </c>
      <c r="AR475" s="16">
        <f t="shared" si="581"/>
        <v>-172900</v>
      </c>
      <c r="AS475" s="16">
        <f t="shared" si="581"/>
        <v>0</v>
      </c>
      <c r="AT475" s="16">
        <f t="shared" si="581"/>
        <v>426578</v>
      </c>
      <c r="AU475" s="168"/>
      <c r="AV475" s="16">
        <f t="shared" ref="AV475:BE488" si="582">SUMIF($E$1:$E$692,$N475,AV:AV)</f>
        <v>0</v>
      </c>
      <c r="AW475" s="16">
        <f t="shared" si="582"/>
        <v>0</v>
      </c>
      <c r="AX475" s="16">
        <f t="shared" si="582"/>
        <v>-18000</v>
      </c>
      <c r="AY475" s="16">
        <f t="shared" si="582"/>
        <v>0</v>
      </c>
      <c r="AZ475" s="16">
        <f t="shared" si="582"/>
        <v>-77267</v>
      </c>
      <c r="BA475" s="16">
        <f t="shared" si="582"/>
        <v>0</v>
      </c>
      <c r="BB475" s="16">
        <f t="shared" si="582"/>
        <v>-114371</v>
      </c>
      <c r="BC475" s="16">
        <f t="shared" si="582"/>
        <v>0</v>
      </c>
      <c r="BD475" s="16">
        <f t="shared" si="582"/>
        <v>-134871</v>
      </c>
      <c r="BE475" s="16">
        <f t="shared" si="582"/>
        <v>0</v>
      </c>
      <c r="BF475" s="16">
        <f t="shared" ref="BF475:BO488" si="583">SUMIF($E$1:$E$692,$N475,BF:BF)</f>
        <v>0</v>
      </c>
      <c r="BG475" s="16">
        <f t="shared" si="583"/>
        <v>0</v>
      </c>
      <c r="BH475" s="16">
        <f t="shared" si="583"/>
        <v>0</v>
      </c>
      <c r="BI475" s="16">
        <f t="shared" si="583"/>
        <v>0</v>
      </c>
      <c r="BJ475" s="16">
        <f t="shared" si="583"/>
        <v>0</v>
      </c>
      <c r="BK475" s="16">
        <f t="shared" si="583"/>
        <v>0</v>
      </c>
      <c r="BL475" s="16">
        <f t="shared" si="583"/>
        <v>0</v>
      </c>
      <c r="BM475" s="16">
        <f t="shared" si="583"/>
        <v>0</v>
      </c>
      <c r="BN475" s="16">
        <f t="shared" si="583"/>
        <v>-15430</v>
      </c>
      <c r="BO475" s="16">
        <f t="shared" si="583"/>
        <v>0</v>
      </c>
      <c r="BP475" s="16">
        <f t="shared" ref="BP475:BX488" si="584">SUMIF($E$1:$E$692,$N475,BP:BP)</f>
        <v>0</v>
      </c>
      <c r="BQ475" s="16">
        <f t="shared" si="584"/>
        <v>0</v>
      </c>
      <c r="BR475" s="16">
        <f t="shared" si="584"/>
        <v>-5575</v>
      </c>
      <c r="BS475" s="16">
        <f t="shared" si="584"/>
        <v>0</v>
      </c>
      <c r="BT475" s="16">
        <f t="shared" si="584"/>
        <v>0</v>
      </c>
      <c r="BU475" s="16">
        <f t="shared" si="584"/>
        <v>0</v>
      </c>
      <c r="BV475" s="16">
        <f t="shared" si="584"/>
        <v>-365514</v>
      </c>
      <c r="BW475" s="16">
        <f t="shared" si="584"/>
        <v>0</v>
      </c>
      <c r="BX475" s="21">
        <f t="shared" si="584"/>
        <v>61064</v>
      </c>
      <c r="BY475" s="168"/>
      <c r="BZ475" s="16">
        <f t="shared" si="569"/>
        <v>-1233</v>
      </c>
      <c r="CA475" s="16">
        <f t="shared" si="569"/>
        <v>0</v>
      </c>
      <c r="CB475" s="168"/>
      <c r="CC475" s="16">
        <f t="shared" ref="CC475:CL488" si="585">SUMIF($E$1:$E$692,$N475,CC:CC)</f>
        <v>0</v>
      </c>
      <c r="CD475" s="16">
        <f t="shared" si="585"/>
        <v>0</v>
      </c>
      <c r="CE475" s="16">
        <f t="shared" si="585"/>
        <v>0</v>
      </c>
      <c r="CF475" s="16">
        <f t="shared" si="585"/>
        <v>0</v>
      </c>
      <c r="CG475" s="16">
        <f t="shared" si="585"/>
        <v>0</v>
      </c>
      <c r="CH475" s="16">
        <f t="shared" si="585"/>
        <v>0</v>
      </c>
      <c r="CI475" s="16">
        <f t="shared" si="585"/>
        <v>0</v>
      </c>
      <c r="CJ475" s="16">
        <f t="shared" si="585"/>
        <v>0</v>
      </c>
      <c r="CK475" s="16">
        <f t="shared" si="585"/>
        <v>0</v>
      </c>
      <c r="CL475" s="16">
        <f t="shared" si="585"/>
        <v>0</v>
      </c>
      <c r="CM475" s="16">
        <f t="shared" ref="CM475:CV488" si="586">SUMIF($E$1:$E$692,$N475,CM:CM)</f>
        <v>0</v>
      </c>
      <c r="CN475" s="16">
        <f t="shared" si="586"/>
        <v>0</v>
      </c>
      <c r="CO475" s="16">
        <f t="shared" si="586"/>
        <v>0</v>
      </c>
      <c r="CP475" s="16">
        <f t="shared" si="586"/>
        <v>0</v>
      </c>
      <c r="CQ475" s="16">
        <f t="shared" si="586"/>
        <v>0</v>
      </c>
      <c r="CR475" s="16">
        <f t="shared" si="586"/>
        <v>0</v>
      </c>
      <c r="CS475" s="16">
        <f t="shared" si="586"/>
        <v>0</v>
      </c>
      <c r="CT475" s="16">
        <f t="shared" si="586"/>
        <v>0</v>
      </c>
      <c r="CU475" s="16">
        <f t="shared" si="586"/>
        <v>0</v>
      </c>
      <c r="CV475" s="16">
        <f t="shared" si="586"/>
        <v>0</v>
      </c>
      <c r="CW475" s="16">
        <f t="shared" ref="CW475:DE488" si="587">SUMIF($E$1:$E$692,$N475,CW:CW)</f>
        <v>0</v>
      </c>
      <c r="CX475" s="16">
        <f t="shared" si="587"/>
        <v>0</v>
      </c>
      <c r="CY475" s="16">
        <f t="shared" si="587"/>
        <v>0</v>
      </c>
      <c r="CZ475" s="16">
        <f t="shared" si="587"/>
        <v>-6090</v>
      </c>
      <c r="DA475" s="16">
        <f t="shared" si="587"/>
        <v>0</v>
      </c>
      <c r="DB475" s="16">
        <f t="shared" si="587"/>
        <v>0</v>
      </c>
      <c r="DC475" s="16">
        <f t="shared" si="587"/>
        <v>-6090</v>
      </c>
      <c r="DD475" s="16">
        <f t="shared" si="587"/>
        <v>0</v>
      </c>
      <c r="DE475" s="21">
        <f t="shared" si="587"/>
        <v>53741</v>
      </c>
      <c r="DF475" s="168"/>
      <c r="DG475" s="16">
        <f t="shared" si="573"/>
        <v>0</v>
      </c>
      <c r="DH475" s="16">
        <f t="shared" si="573"/>
        <v>0</v>
      </c>
      <c r="DI475" s="168"/>
      <c r="DJ475" s="16">
        <f t="shared" ref="DJ475:DS488" si="588">SUMIF($E$1:$E$692,$N475,DJ:DJ)</f>
        <v>0</v>
      </c>
      <c r="DK475" s="16">
        <f t="shared" si="588"/>
        <v>0</v>
      </c>
      <c r="DL475" s="16">
        <f t="shared" si="588"/>
        <v>0</v>
      </c>
      <c r="DM475" s="16">
        <f t="shared" si="588"/>
        <v>0</v>
      </c>
      <c r="DN475" s="16">
        <f t="shared" si="588"/>
        <v>0</v>
      </c>
      <c r="DO475" s="16">
        <f t="shared" si="588"/>
        <v>0</v>
      </c>
      <c r="DP475" s="137">
        <f t="shared" si="588"/>
        <v>0</v>
      </c>
      <c r="DQ475" s="16">
        <f t="shared" si="588"/>
        <v>0</v>
      </c>
      <c r="DR475" s="16">
        <f t="shared" si="588"/>
        <v>0</v>
      </c>
      <c r="DS475" s="16">
        <f t="shared" si="588"/>
        <v>0</v>
      </c>
      <c r="DT475" s="16">
        <f t="shared" ref="DT475:EC488" si="589">SUMIF($E$1:$E$692,$N475,DT:DT)</f>
        <v>0</v>
      </c>
      <c r="DU475" s="16">
        <f t="shared" si="589"/>
        <v>0</v>
      </c>
      <c r="DV475" s="16">
        <f t="shared" si="589"/>
        <v>0</v>
      </c>
      <c r="DW475" s="16">
        <f t="shared" si="589"/>
        <v>0</v>
      </c>
      <c r="DX475" s="16">
        <f t="shared" si="589"/>
        <v>0</v>
      </c>
      <c r="DY475" s="16">
        <f t="shared" si="589"/>
        <v>0</v>
      </c>
      <c r="DZ475" s="16">
        <f t="shared" si="589"/>
        <v>0</v>
      </c>
      <c r="EA475" s="16">
        <f t="shared" si="589"/>
        <v>0</v>
      </c>
      <c r="EB475" s="16">
        <f t="shared" si="589"/>
        <v>0</v>
      </c>
      <c r="EC475" s="16">
        <f t="shared" si="589"/>
        <v>0</v>
      </c>
      <c r="ED475" s="16">
        <f t="shared" ref="ED475:EM488" si="590">SUMIF($E$1:$E$692,$N475,ED:ED)</f>
        <v>0</v>
      </c>
      <c r="EE475" s="16">
        <f t="shared" si="590"/>
        <v>0</v>
      </c>
      <c r="EF475" s="16">
        <f t="shared" si="590"/>
        <v>0</v>
      </c>
      <c r="EG475" s="137">
        <f t="shared" si="590"/>
        <v>0</v>
      </c>
      <c r="EH475" s="16">
        <f t="shared" si="590"/>
        <v>0</v>
      </c>
      <c r="EI475" s="16">
        <f t="shared" si="590"/>
        <v>0</v>
      </c>
      <c r="EJ475" s="16">
        <f t="shared" si="590"/>
        <v>0</v>
      </c>
      <c r="EK475" s="16">
        <f t="shared" si="590"/>
        <v>0</v>
      </c>
      <c r="EL475" s="16">
        <f t="shared" si="590"/>
        <v>0</v>
      </c>
      <c r="EM475" s="21">
        <f t="shared" si="590"/>
        <v>53741</v>
      </c>
      <c r="EN475" s="21"/>
      <c r="EO475" s="21"/>
      <c r="EP475" s="21"/>
      <c r="EQ475" s="21"/>
      <c r="ER475" s="21"/>
      <c r="ES475" s="152">
        <f t="shared" ref="ES475:FB488" si="591">SUMIF($E$1:$E$692,$N475,ES:ES)</f>
        <v>0</v>
      </c>
      <c r="ET475" s="152">
        <f t="shared" si="591"/>
        <v>0</v>
      </c>
      <c r="EU475" s="152">
        <f t="shared" si="591"/>
        <v>0</v>
      </c>
      <c r="EV475" s="152">
        <f t="shared" si="591"/>
        <v>0</v>
      </c>
      <c r="EW475" s="152">
        <f t="shared" si="591"/>
        <v>0</v>
      </c>
      <c r="EX475" s="152">
        <f t="shared" si="591"/>
        <v>0</v>
      </c>
      <c r="EY475" s="152">
        <f t="shared" si="591"/>
        <v>0</v>
      </c>
      <c r="EZ475" s="152">
        <f t="shared" si="591"/>
        <v>0</v>
      </c>
      <c r="FA475" s="152">
        <f t="shared" si="591"/>
        <v>0</v>
      </c>
      <c r="FB475" s="152">
        <f t="shared" si="591"/>
        <v>0</v>
      </c>
      <c r="FC475" s="152">
        <f t="shared" ref="FC475:FK488" si="592">SUMIF($E$1:$E$692,$N475,FC:FC)</f>
        <v>0</v>
      </c>
      <c r="FD475" s="152">
        <f t="shared" si="592"/>
        <v>0</v>
      </c>
      <c r="FE475" s="152">
        <f t="shared" si="592"/>
        <v>0</v>
      </c>
      <c r="FF475" s="152">
        <f t="shared" si="592"/>
        <v>0</v>
      </c>
      <c r="FG475" s="152">
        <f t="shared" si="592"/>
        <v>0</v>
      </c>
      <c r="FH475" s="152">
        <f t="shared" si="592"/>
        <v>0</v>
      </c>
      <c r="FI475" s="152">
        <f t="shared" si="592"/>
        <v>0</v>
      </c>
      <c r="FJ475" s="152">
        <f t="shared" si="592"/>
        <v>0</v>
      </c>
      <c r="FK475" s="152">
        <f t="shared" si="592"/>
        <v>0</v>
      </c>
      <c r="FL475" s="29"/>
    </row>
    <row r="476" spans="4:168" x14ac:dyDescent="0.2">
      <c r="D476" s="76">
        <v>14743</v>
      </c>
      <c r="N476" s="316" t="s">
        <v>201</v>
      </c>
      <c r="O476" s="317"/>
      <c r="P476" s="318"/>
      <c r="Q476" s="53"/>
      <c r="R476" s="20"/>
      <c r="S476" s="16">
        <f t="shared" si="579"/>
        <v>0</v>
      </c>
      <c r="T476" s="16">
        <f t="shared" si="579"/>
        <v>0</v>
      </c>
      <c r="U476" s="16">
        <f t="shared" si="579"/>
        <v>0</v>
      </c>
      <c r="V476" s="16">
        <f t="shared" si="579"/>
        <v>0</v>
      </c>
      <c r="W476" s="16">
        <f t="shared" si="579"/>
        <v>0</v>
      </c>
      <c r="X476" s="16">
        <f t="shared" si="579"/>
        <v>0</v>
      </c>
      <c r="Y476" s="16">
        <f t="shared" si="579"/>
        <v>0</v>
      </c>
      <c r="Z476" s="16">
        <f t="shared" si="579"/>
        <v>0</v>
      </c>
      <c r="AA476" s="16">
        <f t="shared" si="579"/>
        <v>0</v>
      </c>
      <c r="AB476" s="16">
        <f t="shared" si="579"/>
        <v>0</v>
      </c>
      <c r="AC476" s="16">
        <f t="shared" si="580"/>
        <v>0</v>
      </c>
      <c r="AD476" s="16">
        <f t="shared" si="580"/>
        <v>0</v>
      </c>
      <c r="AE476" s="16">
        <f t="shared" si="580"/>
        <v>0</v>
      </c>
      <c r="AF476" s="16">
        <f t="shared" si="580"/>
        <v>0</v>
      </c>
      <c r="AG476" s="16">
        <f t="shared" si="580"/>
        <v>0</v>
      </c>
      <c r="AH476" s="16">
        <f t="shared" si="580"/>
        <v>0</v>
      </c>
      <c r="AI476" s="16">
        <f t="shared" si="580"/>
        <v>0</v>
      </c>
      <c r="AJ476" s="16">
        <f t="shared" si="580"/>
        <v>0</v>
      </c>
      <c r="AK476" s="16">
        <f t="shared" si="580"/>
        <v>0</v>
      </c>
      <c r="AL476" s="16">
        <f t="shared" si="580"/>
        <v>0</v>
      </c>
      <c r="AM476" s="16">
        <f t="shared" si="581"/>
        <v>0</v>
      </c>
      <c r="AN476" s="16">
        <f t="shared" si="581"/>
        <v>0</v>
      </c>
      <c r="AO476" s="16">
        <f t="shared" si="581"/>
        <v>0</v>
      </c>
      <c r="AP476" s="16">
        <f t="shared" si="581"/>
        <v>0</v>
      </c>
      <c r="AQ476" s="16">
        <f t="shared" si="581"/>
        <v>0</v>
      </c>
      <c r="AR476" s="16">
        <f t="shared" si="581"/>
        <v>0</v>
      </c>
      <c r="AS476" s="16">
        <f t="shared" si="581"/>
        <v>0</v>
      </c>
      <c r="AT476" s="16">
        <f t="shared" si="581"/>
        <v>0</v>
      </c>
      <c r="AU476" s="168"/>
      <c r="AV476" s="16">
        <f t="shared" si="582"/>
        <v>0</v>
      </c>
      <c r="AW476" s="16">
        <f t="shared" si="582"/>
        <v>1734166</v>
      </c>
      <c r="AX476" s="16">
        <f t="shared" si="582"/>
        <v>0</v>
      </c>
      <c r="AY476" s="16">
        <f t="shared" si="582"/>
        <v>0</v>
      </c>
      <c r="AZ476" s="16">
        <f t="shared" si="582"/>
        <v>0</v>
      </c>
      <c r="BA476" s="16">
        <f t="shared" si="582"/>
        <v>0</v>
      </c>
      <c r="BB476" s="16">
        <f t="shared" si="582"/>
        <v>0</v>
      </c>
      <c r="BC476" s="16">
        <f t="shared" si="582"/>
        <v>0</v>
      </c>
      <c r="BD476" s="16">
        <f t="shared" si="582"/>
        <v>0</v>
      </c>
      <c r="BE476" s="16">
        <f t="shared" si="582"/>
        <v>0</v>
      </c>
      <c r="BF476" s="16">
        <f t="shared" si="583"/>
        <v>0</v>
      </c>
      <c r="BG476" s="16">
        <f t="shared" si="583"/>
        <v>0</v>
      </c>
      <c r="BH476" s="16">
        <f t="shared" si="583"/>
        <v>0</v>
      </c>
      <c r="BI476" s="16">
        <f t="shared" si="583"/>
        <v>0</v>
      </c>
      <c r="BJ476" s="16">
        <f t="shared" si="583"/>
        <v>0</v>
      </c>
      <c r="BK476" s="16">
        <f t="shared" si="583"/>
        <v>0</v>
      </c>
      <c r="BL476" s="16">
        <f t="shared" si="583"/>
        <v>0</v>
      </c>
      <c r="BM476" s="16">
        <f t="shared" si="583"/>
        <v>0</v>
      </c>
      <c r="BN476" s="16">
        <f t="shared" si="583"/>
        <v>0</v>
      </c>
      <c r="BO476" s="16">
        <f t="shared" si="583"/>
        <v>0</v>
      </c>
      <c r="BP476" s="16">
        <f t="shared" si="584"/>
        <v>-20100</v>
      </c>
      <c r="BQ476" s="16">
        <f t="shared" si="584"/>
        <v>0</v>
      </c>
      <c r="BR476" s="16">
        <f t="shared" si="584"/>
        <v>-29804</v>
      </c>
      <c r="BS476" s="16">
        <f t="shared" si="584"/>
        <v>0</v>
      </c>
      <c r="BT476" s="16">
        <f t="shared" si="584"/>
        <v>-97965</v>
      </c>
      <c r="BU476" s="16">
        <f t="shared" si="584"/>
        <v>0</v>
      </c>
      <c r="BV476" s="16">
        <f t="shared" si="584"/>
        <v>-147869</v>
      </c>
      <c r="BW476" s="16">
        <f t="shared" si="584"/>
        <v>0</v>
      </c>
      <c r="BX476" s="21">
        <f t="shared" si="584"/>
        <v>1586297</v>
      </c>
      <c r="BY476" s="168"/>
      <c r="BZ476" s="16">
        <f t="shared" si="569"/>
        <v>0</v>
      </c>
      <c r="CA476" s="16">
        <f t="shared" si="569"/>
        <v>60504</v>
      </c>
      <c r="CB476" s="168"/>
      <c r="CC476" s="16">
        <f t="shared" si="585"/>
        <v>33150</v>
      </c>
      <c r="CD476" s="16">
        <f t="shared" si="585"/>
        <v>-49251</v>
      </c>
      <c r="CE476" s="16">
        <f t="shared" si="585"/>
        <v>0</v>
      </c>
      <c r="CF476" s="16">
        <f t="shared" si="585"/>
        <v>0</v>
      </c>
      <c r="CG476" s="16">
        <f t="shared" si="585"/>
        <v>-85070.97</v>
      </c>
      <c r="CH476" s="16">
        <f t="shared" si="585"/>
        <v>-90748.5</v>
      </c>
      <c r="CI476" s="16">
        <f t="shared" si="585"/>
        <v>0</v>
      </c>
      <c r="CJ476" s="16">
        <f t="shared" si="585"/>
        <v>-72554.429999999993</v>
      </c>
      <c r="CK476" s="16">
        <f t="shared" si="585"/>
        <v>0</v>
      </c>
      <c r="CL476" s="16">
        <f t="shared" si="585"/>
        <v>-40593.229999999996</v>
      </c>
      <c r="CM476" s="16">
        <f t="shared" si="586"/>
        <v>0</v>
      </c>
      <c r="CN476" s="16">
        <f t="shared" si="586"/>
        <v>-31223.18</v>
      </c>
      <c r="CO476" s="16">
        <f t="shared" si="586"/>
        <v>0</v>
      </c>
      <c r="CP476" s="16">
        <f t="shared" si="586"/>
        <v>-162737.45000000001</v>
      </c>
      <c r="CQ476" s="16">
        <f t="shared" si="586"/>
        <v>0</v>
      </c>
      <c r="CR476" s="16">
        <f t="shared" si="586"/>
        <v>-35249.999999999993</v>
      </c>
      <c r="CS476" s="16">
        <f t="shared" si="586"/>
        <v>0</v>
      </c>
      <c r="CT476" s="16">
        <f t="shared" si="586"/>
        <v>-57378.030000000006</v>
      </c>
      <c r="CU476" s="16">
        <f t="shared" si="586"/>
        <v>0</v>
      </c>
      <c r="CV476" s="16">
        <f t="shared" si="586"/>
        <v>-5648.8</v>
      </c>
      <c r="CW476" s="16">
        <f t="shared" si="587"/>
        <v>0</v>
      </c>
      <c r="CX476" s="16">
        <f t="shared" si="587"/>
        <v>-4800</v>
      </c>
      <c r="CY476" s="16">
        <f t="shared" si="587"/>
        <v>0</v>
      </c>
      <c r="CZ476" s="16">
        <f t="shared" si="587"/>
        <v>-577.65</v>
      </c>
      <c r="DA476" s="16">
        <f t="shared" si="587"/>
        <v>0</v>
      </c>
      <c r="DB476" s="16">
        <f t="shared" si="587"/>
        <v>-49251</v>
      </c>
      <c r="DC476" s="16">
        <f t="shared" si="587"/>
        <v>-586582.24</v>
      </c>
      <c r="DD476" s="16">
        <f t="shared" si="587"/>
        <v>0</v>
      </c>
      <c r="DE476" s="21">
        <f t="shared" si="587"/>
        <v>1044117.7600000001</v>
      </c>
      <c r="DF476" s="168"/>
      <c r="DG476" s="16">
        <f t="shared" si="573"/>
        <v>0</v>
      </c>
      <c r="DH476" s="16">
        <f t="shared" si="573"/>
        <v>0</v>
      </c>
      <c r="DI476" s="168"/>
      <c r="DJ476" s="16">
        <f t="shared" si="588"/>
        <v>0</v>
      </c>
      <c r="DK476" s="16">
        <f t="shared" si="588"/>
        <v>0</v>
      </c>
      <c r="DL476" s="16">
        <f t="shared" si="588"/>
        <v>0</v>
      </c>
      <c r="DM476" s="16">
        <f t="shared" si="588"/>
        <v>-13077.35</v>
      </c>
      <c r="DN476" s="16">
        <f t="shared" si="588"/>
        <v>0</v>
      </c>
      <c r="DO476" s="16">
        <f t="shared" si="588"/>
        <v>-9750</v>
      </c>
      <c r="DP476" s="137">
        <f t="shared" si="588"/>
        <v>-452610.32</v>
      </c>
      <c r="DQ476" s="16">
        <f t="shared" si="588"/>
        <v>-4108.26</v>
      </c>
      <c r="DR476" s="16">
        <f t="shared" si="588"/>
        <v>0</v>
      </c>
      <c r="DS476" s="16">
        <f t="shared" si="588"/>
        <v>-29628.36</v>
      </c>
      <c r="DT476" s="16">
        <f t="shared" si="589"/>
        <v>0</v>
      </c>
      <c r="DU476" s="16">
        <f t="shared" si="589"/>
        <v>-329.65999999999997</v>
      </c>
      <c r="DV476" s="16">
        <f t="shared" si="589"/>
        <v>0</v>
      </c>
      <c r="DW476" s="16">
        <f t="shared" si="589"/>
        <v>-440.72</v>
      </c>
      <c r="DX476" s="16">
        <f t="shared" si="589"/>
        <v>0</v>
      </c>
      <c r="DY476" s="16">
        <f t="shared" si="589"/>
        <v>-1718.72</v>
      </c>
      <c r="DZ476" s="16">
        <f t="shared" si="589"/>
        <v>0</v>
      </c>
      <c r="EA476" s="16">
        <f t="shared" si="589"/>
        <v>0</v>
      </c>
      <c r="EB476" s="16">
        <f t="shared" si="589"/>
        <v>0</v>
      </c>
      <c r="EC476" s="16">
        <f t="shared" si="589"/>
        <v>0</v>
      </c>
      <c r="ED476" s="16">
        <f t="shared" si="590"/>
        <v>0</v>
      </c>
      <c r="EE476" s="16">
        <f t="shared" si="590"/>
        <v>0</v>
      </c>
      <c r="EF476" s="16">
        <f t="shared" si="590"/>
        <v>0</v>
      </c>
      <c r="EG476" s="137">
        <f t="shared" si="590"/>
        <v>0</v>
      </c>
      <c r="EH476" s="16">
        <f t="shared" si="590"/>
        <v>0</v>
      </c>
      <c r="EI476" s="16">
        <f t="shared" si="590"/>
        <v>0</v>
      </c>
      <c r="EJ476" s="16">
        <f t="shared" si="590"/>
        <v>-452610.32</v>
      </c>
      <c r="EK476" s="16">
        <f t="shared" si="590"/>
        <v>-59053.07</v>
      </c>
      <c r="EL476" s="16">
        <f t="shared" si="590"/>
        <v>0</v>
      </c>
      <c r="EM476" s="21">
        <f t="shared" si="590"/>
        <v>532454.37000000011</v>
      </c>
      <c r="EN476" s="21"/>
      <c r="EO476" s="21"/>
      <c r="EP476" s="21"/>
      <c r="EQ476" s="21"/>
      <c r="ER476" s="21"/>
      <c r="ES476" s="152">
        <f t="shared" si="591"/>
        <v>-36368.1</v>
      </c>
      <c r="ET476" s="152">
        <f t="shared" si="591"/>
        <v>0</v>
      </c>
      <c r="EU476" s="152">
        <f t="shared" si="591"/>
        <v>-86504.7</v>
      </c>
      <c r="EV476" s="152">
        <f t="shared" si="591"/>
        <v>0</v>
      </c>
      <c r="EW476" s="152">
        <f t="shared" si="591"/>
        <v>0</v>
      </c>
      <c r="EX476" s="152">
        <f t="shared" si="591"/>
        <v>0</v>
      </c>
      <c r="EY476" s="152">
        <f t="shared" si="591"/>
        <v>0</v>
      </c>
      <c r="EZ476" s="152">
        <f t="shared" si="591"/>
        <v>0</v>
      </c>
      <c r="FA476" s="152">
        <f t="shared" si="591"/>
        <v>0</v>
      </c>
      <c r="FB476" s="152">
        <f t="shared" si="591"/>
        <v>0</v>
      </c>
      <c r="FC476" s="152">
        <f t="shared" si="592"/>
        <v>0</v>
      </c>
      <c r="FD476" s="152">
        <f t="shared" si="592"/>
        <v>0</v>
      </c>
      <c r="FE476" s="152">
        <f t="shared" si="592"/>
        <v>0</v>
      </c>
      <c r="FF476" s="152">
        <f t="shared" si="592"/>
        <v>0</v>
      </c>
      <c r="FG476" s="152">
        <f t="shared" si="592"/>
        <v>0</v>
      </c>
      <c r="FH476" s="152">
        <f t="shared" si="592"/>
        <v>0</v>
      </c>
      <c r="FI476" s="152">
        <f t="shared" si="592"/>
        <v>0</v>
      </c>
      <c r="FJ476" s="152">
        <f t="shared" si="592"/>
        <v>0</v>
      </c>
      <c r="FK476" s="152">
        <f t="shared" si="592"/>
        <v>-122872.79999999999</v>
      </c>
      <c r="FL476" s="29"/>
    </row>
    <row r="477" spans="4:168" x14ac:dyDescent="0.2">
      <c r="D477" s="76" t="s">
        <v>701</v>
      </c>
      <c r="N477" s="316" t="s">
        <v>202</v>
      </c>
      <c r="O477" s="317"/>
      <c r="P477" s="318"/>
      <c r="Q477" s="53"/>
      <c r="R477" s="20"/>
      <c r="S477" s="16">
        <f t="shared" si="579"/>
        <v>0</v>
      </c>
      <c r="T477" s="16">
        <f t="shared" si="579"/>
        <v>0</v>
      </c>
      <c r="U477" s="16">
        <f t="shared" si="579"/>
        <v>0</v>
      </c>
      <c r="V477" s="16">
        <f t="shared" si="579"/>
        <v>0</v>
      </c>
      <c r="W477" s="16">
        <f t="shared" si="579"/>
        <v>0</v>
      </c>
      <c r="X477" s="16">
        <f t="shared" si="579"/>
        <v>0</v>
      </c>
      <c r="Y477" s="16">
        <f t="shared" si="579"/>
        <v>0</v>
      </c>
      <c r="Z477" s="16">
        <f t="shared" si="579"/>
        <v>0</v>
      </c>
      <c r="AA477" s="16">
        <f t="shared" si="579"/>
        <v>0</v>
      </c>
      <c r="AB477" s="16">
        <f t="shared" si="579"/>
        <v>0</v>
      </c>
      <c r="AC477" s="16">
        <f t="shared" si="580"/>
        <v>0</v>
      </c>
      <c r="AD477" s="16">
        <f t="shared" si="580"/>
        <v>0</v>
      </c>
      <c r="AE477" s="16">
        <f t="shared" si="580"/>
        <v>0</v>
      </c>
      <c r="AF477" s="16">
        <f t="shared" si="580"/>
        <v>0</v>
      </c>
      <c r="AG477" s="16">
        <f t="shared" si="580"/>
        <v>0</v>
      </c>
      <c r="AH477" s="16">
        <f t="shared" si="580"/>
        <v>0</v>
      </c>
      <c r="AI477" s="16">
        <f t="shared" si="580"/>
        <v>0</v>
      </c>
      <c r="AJ477" s="16">
        <f t="shared" si="580"/>
        <v>0</v>
      </c>
      <c r="AK477" s="16">
        <f t="shared" si="580"/>
        <v>0</v>
      </c>
      <c r="AL477" s="16">
        <f t="shared" si="580"/>
        <v>0</v>
      </c>
      <c r="AM477" s="16">
        <f t="shared" si="581"/>
        <v>0</v>
      </c>
      <c r="AN477" s="16">
        <f t="shared" si="581"/>
        <v>0</v>
      </c>
      <c r="AO477" s="16">
        <f t="shared" si="581"/>
        <v>0</v>
      </c>
      <c r="AP477" s="16">
        <f t="shared" si="581"/>
        <v>0</v>
      </c>
      <c r="AQ477" s="16">
        <f t="shared" si="581"/>
        <v>0</v>
      </c>
      <c r="AR477" s="16">
        <f t="shared" si="581"/>
        <v>0</v>
      </c>
      <c r="AS477" s="16">
        <f t="shared" si="581"/>
        <v>0</v>
      </c>
      <c r="AT477" s="16">
        <f t="shared" si="581"/>
        <v>0</v>
      </c>
      <c r="AU477" s="168"/>
      <c r="AV477" s="16">
        <f t="shared" si="582"/>
        <v>0</v>
      </c>
      <c r="AW477" s="16">
        <f t="shared" si="582"/>
        <v>0</v>
      </c>
      <c r="AX477" s="16">
        <f t="shared" si="582"/>
        <v>0</v>
      </c>
      <c r="AY477" s="16">
        <f t="shared" si="582"/>
        <v>0</v>
      </c>
      <c r="AZ477" s="16">
        <f t="shared" si="582"/>
        <v>0</v>
      </c>
      <c r="BA477" s="16">
        <f t="shared" si="582"/>
        <v>0</v>
      </c>
      <c r="BB477" s="16">
        <f t="shared" si="582"/>
        <v>0</v>
      </c>
      <c r="BC477" s="16">
        <f t="shared" si="582"/>
        <v>0</v>
      </c>
      <c r="BD477" s="16">
        <f t="shared" si="582"/>
        <v>0</v>
      </c>
      <c r="BE477" s="16">
        <f t="shared" si="582"/>
        <v>0</v>
      </c>
      <c r="BF477" s="16">
        <f t="shared" si="583"/>
        <v>0</v>
      </c>
      <c r="BG477" s="16">
        <f t="shared" si="583"/>
        <v>0</v>
      </c>
      <c r="BH477" s="16">
        <f t="shared" si="583"/>
        <v>0</v>
      </c>
      <c r="BI477" s="16">
        <f t="shared" si="583"/>
        <v>0</v>
      </c>
      <c r="BJ477" s="16">
        <f t="shared" si="583"/>
        <v>0</v>
      </c>
      <c r="BK477" s="16">
        <f t="shared" si="583"/>
        <v>0</v>
      </c>
      <c r="BL477" s="16">
        <f t="shared" si="583"/>
        <v>0</v>
      </c>
      <c r="BM477" s="16">
        <f t="shared" si="583"/>
        <v>0</v>
      </c>
      <c r="BN477" s="16">
        <f t="shared" si="583"/>
        <v>0</v>
      </c>
      <c r="BO477" s="16">
        <f t="shared" si="583"/>
        <v>0</v>
      </c>
      <c r="BP477" s="16">
        <f t="shared" si="584"/>
        <v>0</v>
      </c>
      <c r="BQ477" s="16">
        <f t="shared" si="584"/>
        <v>0</v>
      </c>
      <c r="BR477" s="16">
        <f t="shared" si="584"/>
        <v>0</v>
      </c>
      <c r="BS477" s="16">
        <f t="shared" si="584"/>
        <v>0</v>
      </c>
      <c r="BT477" s="16">
        <f t="shared" si="584"/>
        <v>0</v>
      </c>
      <c r="BU477" s="16">
        <f t="shared" si="584"/>
        <v>0</v>
      </c>
      <c r="BV477" s="16">
        <f t="shared" si="584"/>
        <v>0</v>
      </c>
      <c r="BW477" s="16">
        <f t="shared" si="584"/>
        <v>0</v>
      </c>
      <c r="BX477" s="21">
        <f t="shared" si="584"/>
        <v>0</v>
      </c>
      <c r="BY477" s="168"/>
      <c r="BZ477" s="16">
        <f t="shared" si="569"/>
        <v>0</v>
      </c>
      <c r="CA477" s="16">
        <f t="shared" si="569"/>
        <v>125892</v>
      </c>
      <c r="CB477" s="168"/>
      <c r="CC477" s="16">
        <f t="shared" si="585"/>
        <v>418731.41674800002</v>
      </c>
      <c r="CD477" s="16">
        <f t="shared" si="585"/>
        <v>0</v>
      </c>
      <c r="CE477" s="16">
        <f t="shared" si="585"/>
        <v>0</v>
      </c>
      <c r="CF477" s="16">
        <f t="shared" si="585"/>
        <v>0</v>
      </c>
      <c r="CG477" s="16">
        <f t="shared" si="585"/>
        <v>0</v>
      </c>
      <c r="CH477" s="16">
        <f t="shared" si="585"/>
        <v>0</v>
      </c>
      <c r="CI477" s="16">
        <f t="shared" si="585"/>
        <v>0</v>
      </c>
      <c r="CJ477" s="16">
        <f t="shared" si="585"/>
        <v>0</v>
      </c>
      <c r="CK477" s="16">
        <f t="shared" si="585"/>
        <v>0</v>
      </c>
      <c r="CL477" s="16">
        <f t="shared" si="585"/>
        <v>0</v>
      </c>
      <c r="CM477" s="16">
        <f t="shared" si="586"/>
        <v>0</v>
      </c>
      <c r="CN477" s="16">
        <f t="shared" si="586"/>
        <v>0</v>
      </c>
      <c r="CO477" s="16">
        <f t="shared" si="586"/>
        <v>0</v>
      </c>
      <c r="CP477" s="16">
        <f t="shared" si="586"/>
        <v>0</v>
      </c>
      <c r="CQ477" s="16">
        <f t="shared" si="586"/>
        <v>0</v>
      </c>
      <c r="CR477" s="16">
        <f t="shared" si="586"/>
        <v>0</v>
      </c>
      <c r="CS477" s="16">
        <f t="shared" si="586"/>
        <v>0</v>
      </c>
      <c r="CT477" s="16">
        <f t="shared" si="586"/>
        <v>0</v>
      </c>
      <c r="CU477" s="16">
        <f t="shared" si="586"/>
        <v>0</v>
      </c>
      <c r="CV477" s="16">
        <f t="shared" si="586"/>
        <v>0</v>
      </c>
      <c r="CW477" s="16">
        <f t="shared" si="587"/>
        <v>0</v>
      </c>
      <c r="CX477" s="16">
        <f t="shared" si="587"/>
        <v>-250</v>
      </c>
      <c r="CY477" s="16">
        <f t="shared" si="587"/>
        <v>0</v>
      </c>
      <c r="CZ477" s="16">
        <f t="shared" si="587"/>
        <v>0</v>
      </c>
      <c r="DA477" s="16">
        <f t="shared" si="587"/>
        <v>0</v>
      </c>
      <c r="DB477" s="16">
        <f t="shared" si="587"/>
        <v>0</v>
      </c>
      <c r="DC477" s="16">
        <f t="shared" si="587"/>
        <v>-250</v>
      </c>
      <c r="DD477" s="16">
        <f t="shared" si="587"/>
        <v>0</v>
      </c>
      <c r="DE477" s="21">
        <f t="shared" si="587"/>
        <v>544373.41674799996</v>
      </c>
      <c r="DF477" s="168"/>
      <c r="DG477" s="16">
        <f t="shared" si="573"/>
        <v>48057.199200000003</v>
      </c>
      <c r="DH477" s="16">
        <f t="shared" si="573"/>
        <v>0</v>
      </c>
      <c r="DI477" s="168"/>
      <c r="DJ477" s="16">
        <f t="shared" si="588"/>
        <v>0</v>
      </c>
      <c r="DK477" s="16">
        <f t="shared" si="588"/>
        <v>-36225.999300000003</v>
      </c>
      <c r="DL477" s="16">
        <f t="shared" si="588"/>
        <v>0</v>
      </c>
      <c r="DM477" s="16">
        <f t="shared" si="588"/>
        <v>-62450</v>
      </c>
      <c r="DN477" s="16">
        <f t="shared" si="588"/>
        <v>0</v>
      </c>
      <c r="DO477" s="16">
        <f t="shared" si="588"/>
        <v>-2457</v>
      </c>
      <c r="DP477" s="137">
        <f t="shared" si="588"/>
        <v>0</v>
      </c>
      <c r="DQ477" s="16">
        <f t="shared" si="588"/>
        <v>-964.55</v>
      </c>
      <c r="DR477" s="16">
        <f t="shared" si="588"/>
        <v>0</v>
      </c>
      <c r="DS477" s="16">
        <f t="shared" si="588"/>
        <v>-2441.25</v>
      </c>
      <c r="DT477" s="16">
        <f t="shared" si="589"/>
        <v>0</v>
      </c>
      <c r="DU477" s="16">
        <f t="shared" si="589"/>
        <v>-280</v>
      </c>
      <c r="DV477" s="16">
        <f t="shared" si="589"/>
        <v>0</v>
      </c>
      <c r="DW477" s="16">
        <f t="shared" si="589"/>
        <v>-25728.799800000001</v>
      </c>
      <c r="DX477" s="16">
        <f t="shared" si="589"/>
        <v>0</v>
      </c>
      <c r="DY477" s="16">
        <f t="shared" si="589"/>
        <v>0</v>
      </c>
      <c r="DZ477" s="16">
        <f t="shared" si="589"/>
        <v>0</v>
      </c>
      <c r="EA477" s="16">
        <f t="shared" si="589"/>
        <v>-2592</v>
      </c>
      <c r="EB477" s="16">
        <f t="shared" si="589"/>
        <v>0</v>
      </c>
      <c r="EC477" s="16">
        <f t="shared" si="589"/>
        <v>-3199.5299999999997</v>
      </c>
      <c r="ED477" s="16">
        <f t="shared" si="590"/>
        <v>0</v>
      </c>
      <c r="EE477" s="16">
        <f t="shared" si="590"/>
        <v>-15000</v>
      </c>
      <c r="EF477" s="16">
        <f t="shared" si="590"/>
        <v>0</v>
      </c>
      <c r="EG477" s="137">
        <f t="shared" si="590"/>
        <v>0</v>
      </c>
      <c r="EH477" s="16">
        <f t="shared" si="590"/>
        <v>-13526.369999999999</v>
      </c>
      <c r="EI477" s="16">
        <f t="shared" si="590"/>
        <v>-12663.52</v>
      </c>
      <c r="EJ477" s="16">
        <f t="shared" si="590"/>
        <v>0</v>
      </c>
      <c r="EK477" s="16">
        <f t="shared" si="590"/>
        <v>-164865.49910000002</v>
      </c>
      <c r="EL477" s="16">
        <f t="shared" si="590"/>
        <v>-12663.52</v>
      </c>
      <c r="EM477" s="21">
        <f t="shared" si="590"/>
        <v>414901.59684800002</v>
      </c>
      <c r="EN477" s="21"/>
      <c r="EO477" s="21"/>
      <c r="EP477" s="21"/>
      <c r="EQ477" s="21"/>
      <c r="ER477" s="21"/>
      <c r="ES477" s="152">
        <f t="shared" si="591"/>
        <v>-12805.72</v>
      </c>
      <c r="ET477" s="152">
        <f t="shared" si="591"/>
        <v>-1296</v>
      </c>
      <c r="EU477" s="152">
        <f t="shared" si="591"/>
        <v>-72.430000000000007</v>
      </c>
      <c r="EV477" s="152">
        <f t="shared" si="591"/>
        <v>70</v>
      </c>
      <c r="EW477" s="152">
        <f t="shared" si="591"/>
        <v>-33673.979999999996</v>
      </c>
      <c r="EX477" s="152">
        <f t="shared" si="591"/>
        <v>-2883.97</v>
      </c>
      <c r="EY477" s="152">
        <f t="shared" si="591"/>
        <v>-18837.45</v>
      </c>
      <c r="EZ477" s="152">
        <f t="shared" si="591"/>
        <v>-70</v>
      </c>
      <c r="FA477" s="152">
        <f t="shared" si="591"/>
        <v>0</v>
      </c>
      <c r="FB477" s="152">
        <f t="shared" si="591"/>
        <v>70</v>
      </c>
      <c r="FC477" s="152">
        <f t="shared" si="592"/>
        <v>-6773.2199999999993</v>
      </c>
      <c r="FD477" s="152">
        <f t="shared" si="592"/>
        <v>-165.65</v>
      </c>
      <c r="FE477" s="152">
        <f t="shared" si="592"/>
        <v>-4743</v>
      </c>
      <c r="FF477" s="152">
        <f t="shared" si="592"/>
        <v>0</v>
      </c>
      <c r="FG477" s="152">
        <f t="shared" si="592"/>
        <v>0</v>
      </c>
      <c r="FH477" s="152">
        <f t="shared" si="592"/>
        <v>0</v>
      </c>
      <c r="FI477" s="152">
        <f t="shared" si="592"/>
        <v>0</v>
      </c>
      <c r="FJ477" s="152">
        <f t="shared" si="592"/>
        <v>0</v>
      </c>
      <c r="FK477" s="152">
        <f t="shared" si="592"/>
        <v>-81181.42</v>
      </c>
      <c r="FL477" s="29"/>
    </row>
    <row r="478" spans="4:168" x14ac:dyDescent="0.2">
      <c r="D478" s="76" t="s">
        <v>701</v>
      </c>
      <c r="N478" s="316" t="s">
        <v>203</v>
      </c>
      <c r="O478" s="317"/>
      <c r="P478" s="318"/>
      <c r="Q478" s="53"/>
      <c r="R478" s="20"/>
      <c r="S478" s="16">
        <f t="shared" si="579"/>
        <v>0</v>
      </c>
      <c r="T478" s="16">
        <f t="shared" si="579"/>
        <v>0</v>
      </c>
      <c r="U478" s="16">
        <f t="shared" si="579"/>
        <v>0</v>
      </c>
      <c r="V478" s="16">
        <f t="shared" si="579"/>
        <v>0</v>
      </c>
      <c r="W478" s="16">
        <f t="shared" si="579"/>
        <v>0</v>
      </c>
      <c r="X478" s="16">
        <f t="shared" si="579"/>
        <v>0</v>
      </c>
      <c r="Y478" s="16">
        <f t="shared" si="579"/>
        <v>0</v>
      </c>
      <c r="Z478" s="16">
        <f t="shared" si="579"/>
        <v>0</v>
      </c>
      <c r="AA478" s="16">
        <f t="shared" si="579"/>
        <v>0</v>
      </c>
      <c r="AB478" s="16">
        <f t="shared" si="579"/>
        <v>0</v>
      </c>
      <c r="AC478" s="16">
        <f t="shared" si="580"/>
        <v>0</v>
      </c>
      <c r="AD478" s="16">
        <f t="shared" si="580"/>
        <v>0</v>
      </c>
      <c r="AE478" s="16">
        <f t="shared" si="580"/>
        <v>0</v>
      </c>
      <c r="AF478" s="16">
        <f t="shared" si="580"/>
        <v>0</v>
      </c>
      <c r="AG478" s="16">
        <f t="shared" si="580"/>
        <v>0</v>
      </c>
      <c r="AH478" s="16">
        <f t="shared" si="580"/>
        <v>0</v>
      </c>
      <c r="AI478" s="16">
        <f t="shared" si="580"/>
        <v>0</v>
      </c>
      <c r="AJ478" s="16">
        <f t="shared" si="580"/>
        <v>0</v>
      </c>
      <c r="AK478" s="16">
        <f t="shared" si="580"/>
        <v>0</v>
      </c>
      <c r="AL478" s="16">
        <f t="shared" si="580"/>
        <v>0</v>
      </c>
      <c r="AM478" s="16">
        <f t="shared" si="581"/>
        <v>0</v>
      </c>
      <c r="AN478" s="16">
        <f t="shared" si="581"/>
        <v>0</v>
      </c>
      <c r="AO478" s="16">
        <f t="shared" si="581"/>
        <v>0</v>
      </c>
      <c r="AP478" s="16">
        <f t="shared" si="581"/>
        <v>0</v>
      </c>
      <c r="AQ478" s="16">
        <f t="shared" si="581"/>
        <v>0</v>
      </c>
      <c r="AR478" s="16">
        <f t="shared" si="581"/>
        <v>0</v>
      </c>
      <c r="AS478" s="16">
        <f t="shared" si="581"/>
        <v>0</v>
      </c>
      <c r="AT478" s="16">
        <f t="shared" si="581"/>
        <v>0</v>
      </c>
      <c r="AU478" s="168"/>
      <c r="AV478" s="16">
        <f t="shared" si="582"/>
        <v>0</v>
      </c>
      <c r="AW478" s="16">
        <f t="shared" si="582"/>
        <v>0</v>
      </c>
      <c r="AX478" s="16">
        <f t="shared" si="582"/>
        <v>0</v>
      </c>
      <c r="AY478" s="16">
        <f t="shared" si="582"/>
        <v>0</v>
      </c>
      <c r="AZ478" s="16">
        <f t="shared" si="582"/>
        <v>0</v>
      </c>
      <c r="BA478" s="16">
        <f t="shared" si="582"/>
        <v>0</v>
      </c>
      <c r="BB478" s="16">
        <f t="shared" si="582"/>
        <v>0</v>
      </c>
      <c r="BC478" s="16">
        <f t="shared" si="582"/>
        <v>0</v>
      </c>
      <c r="BD478" s="16">
        <f t="shared" si="582"/>
        <v>0</v>
      </c>
      <c r="BE478" s="16">
        <f t="shared" si="582"/>
        <v>0</v>
      </c>
      <c r="BF478" s="16">
        <f t="shared" si="583"/>
        <v>0</v>
      </c>
      <c r="BG478" s="16">
        <f t="shared" si="583"/>
        <v>0</v>
      </c>
      <c r="BH478" s="16">
        <f t="shared" si="583"/>
        <v>0</v>
      </c>
      <c r="BI478" s="16">
        <f t="shared" si="583"/>
        <v>0</v>
      </c>
      <c r="BJ478" s="16">
        <f t="shared" si="583"/>
        <v>0</v>
      </c>
      <c r="BK478" s="16">
        <f t="shared" si="583"/>
        <v>0</v>
      </c>
      <c r="BL478" s="16">
        <f t="shared" si="583"/>
        <v>0</v>
      </c>
      <c r="BM478" s="16">
        <f t="shared" si="583"/>
        <v>0</v>
      </c>
      <c r="BN478" s="16">
        <f t="shared" si="583"/>
        <v>0</v>
      </c>
      <c r="BO478" s="16">
        <f t="shared" si="583"/>
        <v>0</v>
      </c>
      <c r="BP478" s="16">
        <f t="shared" si="584"/>
        <v>0</v>
      </c>
      <c r="BQ478" s="16">
        <f t="shared" si="584"/>
        <v>0</v>
      </c>
      <c r="BR478" s="16">
        <f t="shared" si="584"/>
        <v>0</v>
      </c>
      <c r="BS478" s="16">
        <f t="shared" si="584"/>
        <v>0</v>
      </c>
      <c r="BT478" s="16">
        <f t="shared" si="584"/>
        <v>0</v>
      </c>
      <c r="BU478" s="16">
        <f t="shared" si="584"/>
        <v>0</v>
      </c>
      <c r="BV478" s="16">
        <f t="shared" si="584"/>
        <v>0</v>
      </c>
      <c r="BW478" s="16">
        <f t="shared" si="584"/>
        <v>0</v>
      </c>
      <c r="BX478" s="21">
        <f t="shared" si="584"/>
        <v>0</v>
      </c>
      <c r="BY478" s="168"/>
      <c r="BZ478" s="16">
        <f t="shared" si="569"/>
        <v>0</v>
      </c>
      <c r="CA478" s="16">
        <f t="shared" si="569"/>
        <v>0</v>
      </c>
      <c r="CB478" s="168"/>
      <c r="CC478" s="16">
        <f t="shared" si="585"/>
        <v>0</v>
      </c>
      <c r="CD478" s="16">
        <f t="shared" si="585"/>
        <v>0</v>
      </c>
      <c r="CE478" s="16">
        <f t="shared" si="585"/>
        <v>0</v>
      </c>
      <c r="CF478" s="16">
        <f t="shared" si="585"/>
        <v>0</v>
      </c>
      <c r="CG478" s="16">
        <f t="shared" si="585"/>
        <v>0</v>
      </c>
      <c r="CH478" s="16">
        <f t="shared" si="585"/>
        <v>0</v>
      </c>
      <c r="CI478" s="16">
        <f t="shared" si="585"/>
        <v>0</v>
      </c>
      <c r="CJ478" s="16">
        <f t="shared" si="585"/>
        <v>0</v>
      </c>
      <c r="CK478" s="16">
        <f t="shared" si="585"/>
        <v>0</v>
      </c>
      <c r="CL478" s="16">
        <f t="shared" si="585"/>
        <v>0</v>
      </c>
      <c r="CM478" s="16">
        <f t="shared" si="586"/>
        <v>0</v>
      </c>
      <c r="CN478" s="16">
        <f t="shared" si="586"/>
        <v>0</v>
      </c>
      <c r="CO478" s="16">
        <f t="shared" si="586"/>
        <v>0</v>
      </c>
      <c r="CP478" s="16">
        <f t="shared" si="586"/>
        <v>0</v>
      </c>
      <c r="CQ478" s="16">
        <f t="shared" si="586"/>
        <v>0</v>
      </c>
      <c r="CR478" s="16">
        <f t="shared" si="586"/>
        <v>0</v>
      </c>
      <c r="CS478" s="16">
        <f t="shared" si="586"/>
        <v>0</v>
      </c>
      <c r="CT478" s="16">
        <f t="shared" si="586"/>
        <v>0</v>
      </c>
      <c r="CU478" s="16">
        <f t="shared" si="586"/>
        <v>0</v>
      </c>
      <c r="CV478" s="16">
        <f t="shared" si="586"/>
        <v>0</v>
      </c>
      <c r="CW478" s="16">
        <f t="shared" si="587"/>
        <v>0</v>
      </c>
      <c r="CX478" s="16">
        <f t="shared" si="587"/>
        <v>0</v>
      </c>
      <c r="CY478" s="16">
        <f t="shared" si="587"/>
        <v>0</v>
      </c>
      <c r="CZ478" s="16">
        <f t="shared" si="587"/>
        <v>0</v>
      </c>
      <c r="DA478" s="16">
        <f t="shared" si="587"/>
        <v>0</v>
      </c>
      <c r="DB478" s="16">
        <f t="shared" si="587"/>
        <v>0</v>
      </c>
      <c r="DC478" s="16">
        <f t="shared" si="587"/>
        <v>0</v>
      </c>
      <c r="DD478" s="16">
        <f t="shared" si="587"/>
        <v>0</v>
      </c>
      <c r="DE478" s="21">
        <f t="shared" si="587"/>
        <v>0</v>
      </c>
      <c r="DF478" s="168"/>
      <c r="DG478" s="16">
        <f t="shared" si="573"/>
        <v>0</v>
      </c>
      <c r="DH478" s="16">
        <f t="shared" si="573"/>
        <v>0</v>
      </c>
      <c r="DI478" s="168"/>
      <c r="DJ478" s="16">
        <f t="shared" si="588"/>
        <v>159606</v>
      </c>
      <c r="DK478" s="16">
        <f t="shared" si="588"/>
        <v>0</v>
      </c>
      <c r="DL478" s="16">
        <f t="shared" si="588"/>
        <v>0</v>
      </c>
      <c r="DM478" s="16">
        <f t="shared" si="588"/>
        <v>0</v>
      </c>
      <c r="DN478" s="16">
        <f t="shared" si="588"/>
        <v>0</v>
      </c>
      <c r="DO478" s="16">
        <f t="shared" si="588"/>
        <v>0</v>
      </c>
      <c r="DP478" s="137">
        <f t="shared" si="588"/>
        <v>0</v>
      </c>
      <c r="DQ478" s="16">
        <f t="shared" si="588"/>
        <v>0</v>
      </c>
      <c r="DR478" s="16">
        <f t="shared" si="588"/>
        <v>0</v>
      </c>
      <c r="DS478" s="16">
        <f t="shared" si="588"/>
        <v>0</v>
      </c>
      <c r="DT478" s="16">
        <f t="shared" si="589"/>
        <v>0</v>
      </c>
      <c r="DU478" s="16">
        <f t="shared" si="589"/>
        <v>0</v>
      </c>
      <c r="DV478" s="16">
        <f t="shared" si="589"/>
        <v>0</v>
      </c>
      <c r="DW478" s="16">
        <f t="shared" si="589"/>
        <v>0</v>
      </c>
      <c r="DX478" s="16">
        <f t="shared" si="589"/>
        <v>0</v>
      </c>
      <c r="DY478" s="16">
        <f t="shared" si="589"/>
        <v>0</v>
      </c>
      <c r="DZ478" s="16">
        <f t="shared" si="589"/>
        <v>0</v>
      </c>
      <c r="EA478" s="16">
        <f t="shared" si="589"/>
        <v>0</v>
      </c>
      <c r="EB478" s="16">
        <f t="shared" si="589"/>
        <v>0</v>
      </c>
      <c r="EC478" s="16">
        <f t="shared" si="589"/>
        <v>0</v>
      </c>
      <c r="ED478" s="16">
        <f t="shared" si="590"/>
        <v>0</v>
      </c>
      <c r="EE478" s="16">
        <f t="shared" si="590"/>
        <v>0</v>
      </c>
      <c r="EF478" s="16">
        <f t="shared" si="590"/>
        <v>0</v>
      </c>
      <c r="EG478" s="137">
        <f t="shared" si="590"/>
        <v>0</v>
      </c>
      <c r="EH478" s="16">
        <f t="shared" si="590"/>
        <v>0</v>
      </c>
      <c r="EI478" s="16">
        <f t="shared" si="590"/>
        <v>0</v>
      </c>
      <c r="EJ478" s="16">
        <f t="shared" si="590"/>
        <v>0</v>
      </c>
      <c r="EK478" s="16">
        <f t="shared" si="590"/>
        <v>0</v>
      </c>
      <c r="EL478" s="16">
        <f t="shared" si="590"/>
        <v>0</v>
      </c>
      <c r="EM478" s="21">
        <f t="shared" si="590"/>
        <v>159606</v>
      </c>
      <c r="EN478" s="21"/>
      <c r="EO478" s="21"/>
      <c r="EP478" s="21"/>
      <c r="EQ478" s="21"/>
      <c r="ER478" s="21"/>
      <c r="ES478" s="152">
        <f t="shared" si="591"/>
        <v>0</v>
      </c>
      <c r="ET478" s="152">
        <f t="shared" si="591"/>
        <v>0</v>
      </c>
      <c r="EU478" s="152">
        <f t="shared" si="591"/>
        <v>-31876.399999999998</v>
      </c>
      <c r="EV478" s="152">
        <f t="shared" si="591"/>
        <v>0</v>
      </c>
      <c r="EW478" s="152">
        <f t="shared" si="591"/>
        <v>-3510.06</v>
      </c>
      <c r="EX478" s="152">
        <f t="shared" si="591"/>
        <v>-1770.06</v>
      </c>
      <c r="EY478" s="152">
        <f t="shared" si="591"/>
        <v>-17073.16</v>
      </c>
      <c r="EZ478" s="152">
        <f t="shared" si="591"/>
        <v>0</v>
      </c>
      <c r="FA478" s="152">
        <f t="shared" si="591"/>
        <v>0</v>
      </c>
      <c r="FB478" s="152">
        <f t="shared" si="591"/>
        <v>0</v>
      </c>
      <c r="FC478" s="152">
        <f t="shared" si="592"/>
        <v>-1730.51</v>
      </c>
      <c r="FD478" s="152">
        <f t="shared" si="592"/>
        <v>-20000</v>
      </c>
      <c r="FE478" s="152">
        <f t="shared" si="592"/>
        <v>-2402.79</v>
      </c>
      <c r="FF478" s="152">
        <f t="shared" si="592"/>
        <v>0</v>
      </c>
      <c r="FG478" s="152">
        <f t="shared" si="592"/>
        <v>0</v>
      </c>
      <c r="FH478" s="152">
        <f t="shared" si="592"/>
        <v>0</v>
      </c>
      <c r="FI478" s="152">
        <f t="shared" si="592"/>
        <v>0</v>
      </c>
      <c r="FJ478" s="152">
        <f t="shared" si="592"/>
        <v>0</v>
      </c>
      <c r="FK478" s="152">
        <f t="shared" si="592"/>
        <v>-78362.98000000001</v>
      </c>
      <c r="FL478" s="29"/>
    </row>
    <row r="479" spans="4:168" x14ac:dyDescent="0.2">
      <c r="D479" s="93">
        <f>EE461</f>
        <v>-475584.62000000005</v>
      </c>
      <c r="N479" s="316" t="s">
        <v>211</v>
      </c>
      <c r="O479" s="317"/>
      <c r="P479" s="318"/>
      <c r="Q479" s="53"/>
      <c r="R479" s="20"/>
      <c r="S479" s="16">
        <f t="shared" si="579"/>
        <v>2506539</v>
      </c>
      <c r="T479" s="16">
        <f t="shared" si="579"/>
        <v>0</v>
      </c>
      <c r="U479" s="16">
        <f t="shared" si="579"/>
        <v>0</v>
      </c>
      <c r="V479" s="16">
        <f t="shared" si="579"/>
        <v>0</v>
      </c>
      <c r="W479" s="16">
        <f t="shared" si="579"/>
        <v>0</v>
      </c>
      <c r="X479" s="16">
        <f t="shared" si="579"/>
        <v>0</v>
      </c>
      <c r="Y479" s="16">
        <f t="shared" si="579"/>
        <v>0</v>
      </c>
      <c r="Z479" s="16">
        <f t="shared" si="579"/>
        <v>0</v>
      </c>
      <c r="AA479" s="16">
        <f t="shared" si="579"/>
        <v>0</v>
      </c>
      <c r="AB479" s="16">
        <f t="shared" si="579"/>
        <v>0</v>
      </c>
      <c r="AC479" s="16">
        <f t="shared" si="580"/>
        <v>0</v>
      </c>
      <c r="AD479" s="16">
        <f t="shared" si="580"/>
        <v>0</v>
      </c>
      <c r="AE479" s="16">
        <f t="shared" si="580"/>
        <v>0</v>
      </c>
      <c r="AF479" s="16">
        <f t="shared" si="580"/>
        <v>0</v>
      </c>
      <c r="AG479" s="16">
        <f t="shared" si="580"/>
        <v>0</v>
      </c>
      <c r="AH479" s="16">
        <f t="shared" si="580"/>
        <v>0</v>
      </c>
      <c r="AI479" s="16">
        <f t="shared" si="580"/>
        <v>0</v>
      </c>
      <c r="AJ479" s="16">
        <f t="shared" si="580"/>
        <v>0</v>
      </c>
      <c r="AK479" s="16">
        <f t="shared" si="580"/>
        <v>0</v>
      </c>
      <c r="AL479" s="16">
        <f t="shared" si="580"/>
        <v>-15210</v>
      </c>
      <c r="AM479" s="16">
        <f t="shared" si="581"/>
        <v>0</v>
      </c>
      <c r="AN479" s="16">
        <f t="shared" si="581"/>
        <v>-56248</v>
      </c>
      <c r="AO479" s="16">
        <f t="shared" si="581"/>
        <v>0</v>
      </c>
      <c r="AP479" s="16">
        <f t="shared" si="581"/>
        <v>-53643</v>
      </c>
      <c r="AQ479" s="16">
        <f t="shared" si="581"/>
        <v>0</v>
      </c>
      <c r="AR479" s="16">
        <f t="shared" si="581"/>
        <v>-125101</v>
      </c>
      <c r="AS479" s="16">
        <f t="shared" si="581"/>
        <v>0</v>
      </c>
      <c r="AT479" s="16">
        <f t="shared" si="581"/>
        <v>2381438</v>
      </c>
      <c r="AU479" s="168"/>
      <c r="AV479" s="16">
        <f t="shared" si="582"/>
        <v>2667151</v>
      </c>
      <c r="AW479" s="16">
        <f t="shared" si="582"/>
        <v>0</v>
      </c>
      <c r="AX479" s="16">
        <f t="shared" si="582"/>
        <v>-65109</v>
      </c>
      <c r="AY479" s="16">
        <f t="shared" si="582"/>
        <v>0</v>
      </c>
      <c r="AZ479" s="16">
        <f t="shared" si="582"/>
        <v>-41067</v>
      </c>
      <c r="BA479" s="16">
        <f t="shared" si="582"/>
        <v>0</v>
      </c>
      <c r="BB479" s="16">
        <f t="shared" si="582"/>
        <v>-33234</v>
      </c>
      <c r="BC479" s="16">
        <f t="shared" si="582"/>
        <v>0</v>
      </c>
      <c r="BD479" s="16">
        <f t="shared" si="582"/>
        <v>-193389</v>
      </c>
      <c r="BE479" s="16">
        <f t="shared" si="582"/>
        <v>0</v>
      </c>
      <c r="BF479" s="16">
        <f t="shared" si="583"/>
        <v>-190968</v>
      </c>
      <c r="BG479" s="16">
        <f t="shared" si="583"/>
        <v>0</v>
      </c>
      <c r="BH479" s="16">
        <f t="shared" si="583"/>
        <v>-95601</v>
      </c>
      <c r="BI479" s="16">
        <f t="shared" si="583"/>
        <v>0</v>
      </c>
      <c r="BJ479" s="16">
        <f t="shared" si="583"/>
        <v>-217608</v>
      </c>
      <c r="BK479" s="16">
        <f t="shared" si="583"/>
        <v>0</v>
      </c>
      <c r="BL479" s="16">
        <f t="shared" si="583"/>
        <v>-227844</v>
      </c>
      <c r="BM479" s="16">
        <f t="shared" si="583"/>
        <v>0</v>
      </c>
      <c r="BN479" s="16">
        <f t="shared" si="583"/>
        <v>-172570</v>
      </c>
      <c r="BO479" s="16">
        <f t="shared" si="583"/>
        <v>0</v>
      </c>
      <c r="BP479" s="16">
        <f t="shared" si="584"/>
        <v>-343419</v>
      </c>
      <c r="BQ479" s="16">
        <f t="shared" si="584"/>
        <v>0</v>
      </c>
      <c r="BR479" s="16">
        <f t="shared" si="584"/>
        <v>-273792</v>
      </c>
      <c r="BS479" s="16">
        <f t="shared" si="584"/>
        <v>0</v>
      </c>
      <c r="BT479" s="16">
        <f t="shared" si="584"/>
        <v>-175200</v>
      </c>
      <c r="BU479" s="16">
        <f t="shared" si="584"/>
        <v>0</v>
      </c>
      <c r="BV479" s="16">
        <f t="shared" si="584"/>
        <v>-2029801</v>
      </c>
      <c r="BW479" s="16">
        <f t="shared" si="584"/>
        <v>0</v>
      </c>
      <c r="BX479" s="21">
        <f t="shared" si="584"/>
        <v>3018788</v>
      </c>
      <c r="BY479" s="168"/>
      <c r="BZ479" s="16">
        <f t="shared" si="569"/>
        <v>1893870</v>
      </c>
      <c r="CA479" s="16">
        <f t="shared" si="569"/>
        <v>0</v>
      </c>
      <c r="CB479" s="168"/>
      <c r="CC479" s="16">
        <f t="shared" si="585"/>
        <v>0</v>
      </c>
      <c r="CD479" s="16">
        <f t="shared" si="585"/>
        <v>-372366.17</v>
      </c>
      <c r="CE479" s="16">
        <f t="shared" si="585"/>
        <v>0</v>
      </c>
      <c r="CF479" s="16">
        <f t="shared" si="585"/>
        <v>-2381</v>
      </c>
      <c r="CG479" s="16">
        <f t="shared" si="585"/>
        <v>-19</v>
      </c>
      <c r="CH479" s="16">
        <f t="shared" si="585"/>
        <v>-19090.260000000002</v>
      </c>
      <c r="CI479" s="16">
        <f t="shared" si="585"/>
        <v>0</v>
      </c>
      <c r="CJ479" s="16">
        <f t="shared" si="585"/>
        <v>-180925.12</v>
      </c>
      <c r="CK479" s="16">
        <f t="shared" si="585"/>
        <v>0</v>
      </c>
      <c r="CL479" s="16">
        <f t="shared" si="585"/>
        <v>-282422.08</v>
      </c>
      <c r="CM479" s="16">
        <f t="shared" si="586"/>
        <v>0</v>
      </c>
      <c r="CN479" s="16">
        <f t="shared" si="586"/>
        <v>-150124.74</v>
      </c>
      <c r="CO479" s="16">
        <f t="shared" si="586"/>
        <v>0</v>
      </c>
      <c r="CP479" s="16">
        <f t="shared" si="586"/>
        <v>-382136.92999999993</v>
      </c>
      <c r="CQ479" s="16">
        <f t="shared" si="586"/>
        <v>0</v>
      </c>
      <c r="CR479" s="16">
        <f t="shared" si="586"/>
        <v>-17388.21</v>
      </c>
      <c r="CS479" s="16">
        <f t="shared" si="586"/>
        <v>0</v>
      </c>
      <c r="CT479" s="16">
        <f t="shared" si="586"/>
        <v>-438157.95</v>
      </c>
      <c r="CU479" s="16">
        <f t="shared" si="586"/>
        <v>0</v>
      </c>
      <c r="CV479" s="16">
        <f t="shared" si="586"/>
        <v>-196483.86000000002</v>
      </c>
      <c r="CW479" s="16">
        <f t="shared" si="587"/>
        <v>0</v>
      </c>
      <c r="CX479" s="16">
        <f t="shared" si="587"/>
        <v>-116983.05</v>
      </c>
      <c r="CY479" s="16">
        <f t="shared" si="587"/>
        <v>0</v>
      </c>
      <c r="CZ479" s="16">
        <f t="shared" si="587"/>
        <v>-197563.59999999998</v>
      </c>
      <c r="DA479" s="16">
        <f t="shared" si="587"/>
        <v>0</v>
      </c>
      <c r="DB479" s="16">
        <f t="shared" si="587"/>
        <v>-374747.17</v>
      </c>
      <c r="DC479" s="16">
        <f t="shared" si="587"/>
        <v>-1981294.8</v>
      </c>
      <c r="DD479" s="16">
        <f t="shared" si="587"/>
        <v>0</v>
      </c>
      <c r="DE479" s="21">
        <f t="shared" si="587"/>
        <v>2556616.0299999993</v>
      </c>
      <c r="DF479" s="168"/>
      <c r="DG479" s="16">
        <f t="shared" si="573"/>
        <v>0</v>
      </c>
      <c r="DH479" s="16">
        <f t="shared" si="573"/>
        <v>0</v>
      </c>
      <c r="DI479" s="168"/>
      <c r="DJ479" s="16">
        <f t="shared" si="588"/>
        <v>0</v>
      </c>
      <c r="DK479" s="16">
        <f t="shared" si="588"/>
        <v>-47009.81</v>
      </c>
      <c r="DL479" s="16">
        <f t="shared" si="588"/>
        <v>0</v>
      </c>
      <c r="DM479" s="16">
        <f t="shared" si="588"/>
        <v>-26874.46</v>
      </c>
      <c r="DN479" s="16">
        <f t="shared" si="588"/>
        <v>0</v>
      </c>
      <c r="DO479" s="16">
        <f t="shared" si="588"/>
        <v>0</v>
      </c>
      <c r="DP479" s="137">
        <f t="shared" si="588"/>
        <v>-125736.56</v>
      </c>
      <c r="DQ479" s="16">
        <f t="shared" si="588"/>
        <v>-73988.06</v>
      </c>
      <c r="DR479" s="16">
        <f t="shared" si="588"/>
        <v>0</v>
      </c>
      <c r="DS479" s="16">
        <f t="shared" si="588"/>
        <v>-126610.26</v>
      </c>
      <c r="DT479" s="16">
        <f t="shared" si="589"/>
        <v>0</v>
      </c>
      <c r="DU479" s="16">
        <f t="shared" si="589"/>
        <v>-550616.51</v>
      </c>
      <c r="DV479" s="16">
        <f t="shared" si="589"/>
        <v>0</v>
      </c>
      <c r="DW479" s="16">
        <f t="shared" si="589"/>
        <v>-18544.34</v>
      </c>
      <c r="DX479" s="16">
        <f t="shared" si="589"/>
        <v>0</v>
      </c>
      <c r="DY479" s="16">
        <f t="shared" si="589"/>
        <v>-676543.33</v>
      </c>
      <c r="DZ479" s="16">
        <f t="shared" si="589"/>
        <v>0</v>
      </c>
      <c r="EA479" s="16">
        <f t="shared" si="589"/>
        <v>-22443.4</v>
      </c>
      <c r="EB479" s="16">
        <f t="shared" si="589"/>
        <v>0</v>
      </c>
      <c r="EC479" s="16">
        <f t="shared" si="589"/>
        <v>-33014.509999999995</v>
      </c>
      <c r="ED479" s="16">
        <f t="shared" si="590"/>
        <v>0</v>
      </c>
      <c r="EE479" s="16">
        <f t="shared" si="590"/>
        <v>123656.21</v>
      </c>
      <c r="EF479" s="16">
        <f t="shared" si="590"/>
        <v>0</v>
      </c>
      <c r="EG479" s="137">
        <f t="shared" si="590"/>
        <v>-145664.70000000001</v>
      </c>
      <c r="EH479" s="16">
        <f t="shared" si="590"/>
        <v>-59681.32</v>
      </c>
      <c r="EI479" s="16">
        <f t="shared" si="590"/>
        <v>-66337.600000000006</v>
      </c>
      <c r="EJ479" s="16">
        <f t="shared" si="590"/>
        <v>-271401.26</v>
      </c>
      <c r="EK479" s="16">
        <f t="shared" si="590"/>
        <v>-1511669.7899999996</v>
      </c>
      <c r="EL479" s="16">
        <f t="shared" si="590"/>
        <v>-66337.600000000006</v>
      </c>
      <c r="EM479" s="21">
        <f t="shared" si="590"/>
        <v>707207.37999999989</v>
      </c>
      <c r="EN479" s="21"/>
      <c r="EO479" s="21"/>
      <c r="EP479" s="21"/>
      <c r="EQ479" s="21"/>
      <c r="ER479" s="21"/>
      <c r="ES479" s="152">
        <f t="shared" si="591"/>
        <v>-18051.66</v>
      </c>
      <c r="ET479" s="152">
        <f t="shared" si="591"/>
        <v>-3357.1</v>
      </c>
      <c r="EU479" s="152">
        <f t="shared" si="591"/>
        <v>-10978.89</v>
      </c>
      <c r="EV479" s="152">
        <f t="shared" si="591"/>
        <v>0</v>
      </c>
      <c r="EW479" s="152">
        <f t="shared" si="591"/>
        <v>-9423.369999999999</v>
      </c>
      <c r="EX479" s="152">
        <f t="shared" si="591"/>
        <v>-164988.15</v>
      </c>
      <c r="EY479" s="152">
        <f t="shared" si="591"/>
        <v>-11300</v>
      </c>
      <c r="EZ479" s="152">
        <f t="shared" si="591"/>
        <v>0</v>
      </c>
      <c r="FA479" s="152">
        <f t="shared" si="591"/>
        <v>0</v>
      </c>
      <c r="FB479" s="152">
        <f t="shared" si="591"/>
        <v>0</v>
      </c>
      <c r="FC479" s="152">
        <f t="shared" si="592"/>
        <v>0</v>
      </c>
      <c r="FD479" s="152">
        <f t="shared" si="592"/>
        <v>0</v>
      </c>
      <c r="FE479" s="152">
        <f t="shared" si="592"/>
        <v>0</v>
      </c>
      <c r="FF479" s="152">
        <f t="shared" si="592"/>
        <v>0</v>
      </c>
      <c r="FG479" s="152">
        <f t="shared" si="592"/>
        <v>0</v>
      </c>
      <c r="FH479" s="152">
        <f t="shared" si="592"/>
        <v>0</v>
      </c>
      <c r="FI479" s="152">
        <f t="shared" si="592"/>
        <v>0</v>
      </c>
      <c r="FJ479" s="152">
        <f t="shared" si="592"/>
        <v>0</v>
      </c>
      <c r="FK479" s="152">
        <f t="shared" si="592"/>
        <v>-218099.17</v>
      </c>
      <c r="FL479" s="29"/>
    </row>
    <row r="480" spans="4:168" x14ac:dyDescent="0.2">
      <c r="D480" s="76">
        <f>SUM(D470:D476)</f>
        <v>679006.16999999993</v>
      </c>
      <c r="N480" s="316" t="s">
        <v>213</v>
      </c>
      <c r="O480" s="317"/>
      <c r="P480" s="318"/>
      <c r="Q480" s="53"/>
      <c r="R480" s="20"/>
      <c r="S480" s="16">
        <f t="shared" si="579"/>
        <v>0</v>
      </c>
      <c r="T480" s="16">
        <f t="shared" si="579"/>
        <v>0</v>
      </c>
      <c r="U480" s="16">
        <f t="shared" si="579"/>
        <v>0</v>
      </c>
      <c r="V480" s="16">
        <f t="shared" si="579"/>
        <v>0</v>
      </c>
      <c r="W480" s="16">
        <f t="shared" si="579"/>
        <v>0</v>
      </c>
      <c r="X480" s="16">
        <f t="shared" si="579"/>
        <v>0</v>
      </c>
      <c r="Y480" s="16">
        <f t="shared" si="579"/>
        <v>0</v>
      </c>
      <c r="Z480" s="16">
        <f t="shared" si="579"/>
        <v>0</v>
      </c>
      <c r="AA480" s="16">
        <f t="shared" si="579"/>
        <v>0</v>
      </c>
      <c r="AB480" s="16">
        <f t="shared" si="579"/>
        <v>0</v>
      </c>
      <c r="AC480" s="16">
        <f t="shared" si="580"/>
        <v>0</v>
      </c>
      <c r="AD480" s="16">
        <f t="shared" si="580"/>
        <v>0</v>
      </c>
      <c r="AE480" s="16">
        <f t="shared" si="580"/>
        <v>0</v>
      </c>
      <c r="AF480" s="16">
        <f t="shared" si="580"/>
        <v>0</v>
      </c>
      <c r="AG480" s="16">
        <f t="shared" si="580"/>
        <v>0</v>
      </c>
      <c r="AH480" s="16">
        <f t="shared" si="580"/>
        <v>0</v>
      </c>
      <c r="AI480" s="16">
        <f t="shared" si="580"/>
        <v>0</v>
      </c>
      <c r="AJ480" s="16">
        <f t="shared" si="580"/>
        <v>0</v>
      </c>
      <c r="AK480" s="16">
        <f t="shared" si="580"/>
        <v>0</v>
      </c>
      <c r="AL480" s="16">
        <f t="shared" si="580"/>
        <v>0</v>
      </c>
      <c r="AM480" s="16">
        <f t="shared" si="581"/>
        <v>0</v>
      </c>
      <c r="AN480" s="16">
        <f t="shared" si="581"/>
        <v>0</v>
      </c>
      <c r="AO480" s="16">
        <f t="shared" si="581"/>
        <v>0</v>
      </c>
      <c r="AP480" s="16">
        <f t="shared" si="581"/>
        <v>0</v>
      </c>
      <c r="AQ480" s="16">
        <f t="shared" si="581"/>
        <v>0</v>
      </c>
      <c r="AR480" s="16">
        <f t="shared" si="581"/>
        <v>0</v>
      </c>
      <c r="AS480" s="16">
        <f t="shared" si="581"/>
        <v>0</v>
      </c>
      <c r="AT480" s="16">
        <f t="shared" si="581"/>
        <v>0</v>
      </c>
      <c r="AU480" s="168"/>
      <c r="AV480" s="16">
        <f t="shared" si="582"/>
        <v>0</v>
      </c>
      <c r="AW480" s="16">
        <f t="shared" si="582"/>
        <v>2470812.6269999999</v>
      </c>
      <c r="AX480" s="16">
        <f t="shared" si="582"/>
        <v>0</v>
      </c>
      <c r="AY480" s="16">
        <f t="shared" si="582"/>
        <v>0</v>
      </c>
      <c r="AZ480" s="16">
        <f t="shared" si="582"/>
        <v>0</v>
      </c>
      <c r="BA480" s="16">
        <f t="shared" si="582"/>
        <v>0</v>
      </c>
      <c r="BB480" s="16">
        <f t="shared" si="582"/>
        <v>0</v>
      </c>
      <c r="BC480" s="16">
        <f t="shared" si="582"/>
        <v>0</v>
      </c>
      <c r="BD480" s="16">
        <f t="shared" si="582"/>
        <v>0</v>
      </c>
      <c r="BE480" s="16">
        <f t="shared" si="582"/>
        <v>0</v>
      </c>
      <c r="BF480" s="16">
        <f t="shared" si="583"/>
        <v>0</v>
      </c>
      <c r="BG480" s="16">
        <f t="shared" si="583"/>
        <v>0</v>
      </c>
      <c r="BH480" s="16">
        <f t="shared" si="583"/>
        <v>0</v>
      </c>
      <c r="BI480" s="16">
        <f t="shared" si="583"/>
        <v>0</v>
      </c>
      <c r="BJ480" s="16">
        <f t="shared" si="583"/>
        <v>0</v>
      </c>
      <c r="BK480" s="16">
        <f t="shared" si="583"/>
        <v>0</v>
      </c>
      <c r="BL480" s="16">
        <f t="shared" si="583"/>
        <v>0</v>
      </c>
      <c r="BM480" s="16">
        <f t="shared" si="583"/>
        <v>0</v>
      </c>
      <c r="BN480" s="16">
        <f t="shared" si="583"/>
        <v>0</v>
      </c>
      <c r="BO480" s="16">
        <f t="shared" si="583"/>
        <v>0</v>
      </c>
      <c r="BP480" s="16">
        <f t="shared" si="584"/>
        <v>-96734</v>
      </c>
      <c r="BQ480" s="16">
        <f t="shared" si="584"/>
        <v>0</v>
      </c>
      <c r="BR480" s="16">
        <f t="shared" si="584"/>
        <v>-47680.07</v>
      </c>
      <c r="BS480" s="16">
        <f t="shared" si="584"/>
        <v>0</v>
      </c>
      <c r="BT480" s="16">
        <f t="shared" si="584"/>
        <v>-210985.95</v>
      </c>
      <c r="BU480" s="16">
        <f t="shared" si="584"/>
        <v>0</v>
      </c>
      <c r="BV480" s="16">
        <f t="shared" si="584"/>
        <v>-355400.02</v>
      </c>
      <c r="BW480" s="16">
        <f t="shared" si="584"/>
        <v>0</v>
      </c>
      <c r="BX480" s="21">
        <f t="shared" si="584"/>
        <v>2115412.6069999998</v>
      </c>
      <c r="BY480" s="168"/>
      <c r="BZ480" s="16">
        <f t="shared" si="569"/>
        <v>0</v>
      </c>
      <c r="CA480" s="16">
        <f t="shared" si="569"/>
        <v>4628613</v>
      </c>
      <c r="CB480" s="168"/>
      <c r="CC480" s="16">
        <f t="shared" si="585"/>
        <v>1620.96</v>
      </c>
      <c r="CD480" s="16">
        <f t="shared" si="585"/>
        <v>-10363</v>
      </c>
      <c r="CE480" s="16">
        <f t="shared" si="585"/>
        <v>0</v>
      </c>
      <c r="CF480" s="16">
        <f t="shared" si="585"/>
        <v>-40679.279999999999</v>
      </c>
      <c r="CG480" s="16">
        <f t="shared" si="585"/>
        <v>-52180</v>
      </c>
      <c r="CH480" s="16">
        <f t="shared" si="585"/>
        <v>-78261.38</v>
      </c>
      <c r="CI480" s="16">
        <f t="shared" si="585"/>
        <v>0</v>
      </c>
      <c r="CJ480" s="16">
        <f t="shared" si="585"/>
        <v>-251092.96000000002</v>
      </c>
      <c r="CK480" s="16">
        <f t="shared" si="585"/>
        <v>0</v>
      </c>
      <c r="CL480" s="16">
        <f t="shared" si="585"/>
        <v>-142033.54999999999</v>
      </c>
      <c r="CM480" s="16">
        <f t="shared" si="586"/>
        <v>0</v>
      </c>
      <c r="CN480" s="16">
        <f t="shared" si="586"/>
        <v>-71706.05</v>
      </c>
      <c r="CO480" s="16">
        <f t="shared" si="586"/>
        <v>0</v>
      </c>
      <c r="CP480" s="16">
        <f t="shared" si="586"/>
        <v>-114267.92000000001</v>
      </c>
      <c r="CQ480" s="16">
        <f t="shared" si="586"/>
        <v>0</v>
      </c>
      <c r="CR480" s="16">
        <f t="shared" si="586"/>
        <v>-114830.91</v>
      </c>
      <c r="CS480" s="16">
        <f t="shared" si="586"/>
        <v>0</v>
      </c>
      <c r="CT480" s="16">
        <f t="shared" si="586"/>
        <v>-165772.32</v>
      </c>
      <c r="CU480" s="16">
        <f t="shared" si="586"/>
        <v>0</v>
      </c>
      <c r="CV480" s="16">
        <f t="shared" si="586"/>
        <v>-949284.53</v>
      </c>
      <c r="CW480" s="16">
        <f t="shared" si="587"/>
        <v>0</v>
      </c>
      <c r="CX480" s="16">
        <f t="shared" si="587"/>
        <v>-57181.53</v>
      </c>
      <c r="CY480" s="16">
        <f t="shared" si="587"/>
        <v>0</v>
      </c>
      <c r="CZ480" s="16">
        <f t="shared" si="587"/>
        <v>-199399.75999999998</v>
      </c>
      <c r="DA480" s="16">
        <f t="shared" si="587"/>
        <v>0</v>
      </c>
      <c r="DB480" s="16">
        <f t="shared" si="587"/>
        <v>-51042.28</v>
      </c>
      <c r="DC480" s="16">
        <f t="shared" si="587"/>
        <v>-2196010.91</v>
      </c>
      <c r="DD480" s="16">
        <f t="shared" si="587"/>
        <v>0</v>
      </c>
      <c r="DE480" s="21">
        <f t="shared" si="587"/>
        <v>4498593.3770000013</v>
      </c>
      <c r="DF480" s="168"/>
      <c r="DG480" s="16">
        <f t="shared" si="573"/>
        <v>3683834.6347000003</v>
      </c>
      <c r="DH480" s="16">
        <f t="shared" si="573"/>
        <v>821191.98060000001</v>
      </c>
      <c r="DI480" s="168"/>
      <c r="DJ480" s="16">
        <f t="shared" si="588"/>
        <v>0</v>
      </c>
      <c r="DK480" s="16">
        <f t="shared" si="588"/>
        <v>-90724.93</v>
      </c>
      <c r="DL480" s="16">
        <f t="shared" si="588"/>
        <v>0</v>
      </c>
      <c r="DM480" s="16">
        <f t="shared" si="588"/>
        <v>-85010.559999999998</v>
      </c>
      <c r="DN480" s="16">
        <f t="shared" si="588"/>
        <v>0</v>
      </c>
      <c r="DO480" s="16">
        <f t="shared" si="588"/>
        <v>0</v>
      </c>
      <c r="DP480" s="137">
        <f t="shared" si="588"/>
        <v>-364270.19</v>
      </c>
      <c r="DQ480" s="16">
        <f t="shared" si="588"/>
        <v>-230427.53999999998</v>
      </c>
      <c r="DR480" s="16">
        <f t="shared" si="588"/>
        <v>-545565.16</v>
      </c>
      <c r="DS480" s="16">
        <f t="shared" si="588"/>
        <v>-570772.27</v>
      </c>
      <c r="DT480" s="16">
        <f t="shared" si="589"/>
        <v>0</v>
      </c>
      <c r="DU480" s="16">
        <f t="shared" si="589"/>
        <v>-342610.26999999996</v>
      </c>
      <c r="DV480" s="16">
        <f t="shared" si="589"/>
        <v>0</v>
      </c>
      <c r="DW480" s="16">
        <f t="shared" si="589"/>
        <v>-106797.49000000002</v>
      </c>
      <c r="DX480" s="16">
        <f t="shared" si="589"/>
        <v>0</v>
      </c>
      <c r="DY480" s="16">
        <f t="shared" si="589"/>
        <v>-359194.35</v>
      </c>
      <c r="DZ480" s="16">
        <f t="shared" si="589"/>
        <v>0</v>
      </c>
      <c r="EA480" s="16">
        <f t="shared" si="589"/>
        <v>-242615.55999999997</v>
      </c>
      <c r="EB480" s="16">
        <f t="shared" si="589"/>
        <v>0</v>
      </c>
      <c r="EC480" s="16">
        <f t="shared" si="589"/>
        <v>-184651.1</v>
      </c>
      <c r="ED480" s="16">
        <f t="shared" si="590"/>
        <v>0</v>
      </c>
      <c r="EE480" s="16">
        <f t="shared" si="590"/>
        <v>-236514.5</v>
      </c>
      <c r="EF480" s="16">
        <f t="shared" si="590"/>
        <v>545565.16</v>
      </c>
      <c r="EG480" s="137">
        <f t="shared" si="590"/>
        <v>-545565.16</v>
      </c>
      <c r="EH480" s="16">
        <f t="shared" si="590"/>
        <v>-255332.94</v>
      </c>
      <c r="EI480" s="16">
        <f t="shared" si="590"/>
        <v>-318264.57999999973</v>
      </c>
      <c r="EJ480" s="16">
        <f t="shared" si="590"/>
        <v>-909835.35</v>
      </c>
      <c r="EK480" s="16">
        <f t="shared" si="590"/>
        <v>-2704651.5100000002</v>
      </c>
      <c r="EL480" s="16">
        <f t="shared" si="590"/>
        <v>-318264.57999999973</v>
      </c>
      <c r="EM480" s="21">
        <f t="shared" si="590"/>
        <v>5070868.5523000006</v>
      </c>
      <c r="EN480" s="21"/>
      <c r="EO480" s="21"/>
      <c r="EP480" s="21"/>
      <c r="EQ480" s="21"/>
      <c r="ER480" s="21"/>
      <c r="ES480" s="152">
        <f t="shared" si="591"/>
        <v>-1303852.99</v>
      </c>
      <c r="ET480" s="152">
        <f t="shared" si="591"/>
        <v>-23678.19</v>
      </c>
      <c r="EU480" s="152">
        <f t="shared" si="591"/>
        <v>-138587.88</v>
      </c>
      <c r="EV480" s="152">
        <f t="shared" si="591"/>
        <v>0</v>
      </c>
      <c r="EW480" s="152">
        <f t="shared" si="591"/>
        <v>-57178.97</v>
      </c>
      <c r="EX480" s="152">
        <f t="shared" si="591"/>
        <v>-1036679.3599999999</v>
      </c>
      <c r="EY480" s="152">
        <f t="shared" si="591"/>
        <v>-85715.349999999991</v>
      </c>
      <c r="EZ480" s="152">
        <f t="shared" si="591"/>
        <v>0</v>
      </c>
      <c r="FA480" s="152">
        <f t="shared" si="591"/>
        <v>0</v>
      </c>
      <c r="FB480" s="152">
        <f t="shared" si="591"/>
        <v>0</v>
      </c>
      <c r="FC480" s="152">
        <f t="shared" si="592"/>
        <v>-48308.979999999996</v>
      </c>
      <c r="FD480" s="152">
        <f t="shared" si="592"/>
        <v>-63063.71</v>
      </c>
      <c r="FE480" s="152">
        <f t="shared" si="592"/>
        <v>-53552.74</v>
      </c>
      <c r="FF480" s="152">
        <f t="shared" si="592"/>
        <v>0</v>
      </c>
      <c r="FG480" s="152">
        <f t="shared" si="592"/>
        <v>0</v>
      </c>
      <c r="FH480" s="152">
        <f t="shared" si="592"/>
        <v>0</v>
      </c>
      <c r="FI480" s="152">
        <f t="shared" si="592"/>
        <v>0</v>
      </c>
      <c r="FJ480" s="152">
        <f t="shared" si="592"/>
        <v>0</v>
      </c>
      <c r="FK480" s="152">
        <f t="shared" si="592"/>
        <v>-2810618.17</v>
      </c>
      <c r="FL480" s="29"/>
    </row>
    <row r="481" spans="1:168" x14ac:dyDescent="0.2">
      <c r="D481" s="93">
        <f>D480+D479</f>
        <v>203421.54999999987</v>
      </c>
      <c r="N481" s="316" t="s">
        <v>214</v>
      </c>
      <c r="O481" s="317"/>
      <c r="P481" s="318"/>
      <c r="Q481" s="53"/>
      <c r="R481" s="20"/>
      <c r="S481" s="16">
        <f t="shared" si="579"/>
        <v>0</v>
      </c>
      <c r="T481" s="16">
        <f t="shared" si="579"/>
        <v>0</v>
      </c>
      <c r="U481" s="16">
        <f t="shared" si="579"/>
        <v>0</v>
      </c>
      <c r="V481" s="16">
        <f t="shared" si="579"/>
        <v>0</v>
      </c>
      <c r="W481" s="16">
        <f t="shared" si="579"/>
        <v>0</v>
      </c>
      <c r="X481" s="16">
        <f t="shared" si="579"/>
        <v>0</v>
      </c>
      <c r="Y481" s="16">
        <f t="shared" si="579"/>
        <v>0</v>
      </c>
      <c r="Z481" s="16">
        <f t="shared" si="579"/>
        <v>0</v>
      </c>
      <c r="AA481" s="16">
        <f t="shared" si="579"/>
        <v>0</v>
      </c>
      <c r="AB481" s="16">
        <f t="shared" si="579"/>
        <v>0</v>
      </c>
      <c r="AC481" s="16">
        <f t="shared" si="580"/>
        <v>0</v>
      </c>
      <c r="AD481" s="16">
        <f t="shared" si="580"/>
        <v>0</v>
      </c>
      <c r="AE481" s="16">
        <f t="shared" si="580"/>
        <v>0</v>
      </c>
      <c r="AF481" s="16">
        <f t="shared" si="580"/>
        <v>0</v>
      </c>
      <c r="AG481" s="16">
        <f t="shared" si="580"/>
        <v>0</v>
      </c>
      <c r="AH481" s="16">
        <f t="shared" si="580"/>
        <v>0</v>
      </c>
      <c r="AI481" s="16">
        <f t="shared" si="580"/>
        <v>0</v>
      </c>
      <c r="AJ481" s="16">
        <f t="shared" si="580"/>
        <v>0</v>
      </c>
      <c r="AK481" s="16">
        <f t="shared" si="580"/>
        <v>0</v>
      </c>
      <c r="AL481" s="16">
        <f t="shared" si="580"/>
        <v>0</v>
      </c>
      <c r="AM481" s="16">
        <f t="shared" si="581"/>
        <v>0</v>
      </c>
      <c r="AN481" s="16">
        <f t="shared" si="581"/>
        <v>0</v>
      </c>
      <c r="AO481" s="16">
        <f t="shared" si="581"/>
        <v>0</v>
      </c>
      <c r="AP481" s="16">
        <f t="shared" si="581"/>
        <v>0</v>
      </c>
      <c r="AQ481" s="16">
        <f t="shared" si="581"/>
        <v>0</v>
      </c>
      <c r="AR481" s="16">
        <f t="shared" si="581"/>
        <v>0</v>
      </c>
      <c r="AS481" s="16">
        <f t="shared" si="581"/>
        <v>0</v>
      </c>
      <c r="AT481" s="16">
        <f t="shared" si="581"/>
        <v>0</v>
      </c>
      <c r="AU481" s="168"/>
      <c r="AV481" s="16">
        <f t="shared" si="582"/>
        <v>0</v>
      </c>
      <c r="AW481" s="16">
        <f t="shared" si="582"/>
        <v>0</v>
      </c>
      <c r="AX481" s="16">
        <f t="shared" si="582"/>
        <v>0</v>
      </c>
      <c r="AY481" s="16">
        <f t="shared" si="582"/>
        <v>0</v>
      </c>
      <c r="AZ481" s="16">
        <f t="shared" si="582"/>
        <v>0</v>
      </c>
      <c r="BA481" s="16">
        <f t="shared" si="582"/>
        <v>0</v>
      </c>
      <c r="BB481" s="16">
        <f t="shared" si="582"/>
        <v>0</v>
      </c>
      <c r="BC481" s="16">
        <f t="shared" si="582"/>
        <v>0</v>
      </c>
      <c r="BD481" s="16">
        <f t="shared" si="582"/>
        <v>0</v>
      </c>
      <c r="BE481" s="16">
        <f t="shared" si="582"/>
        <v>0</v>
      </c>
      <c r="BF481" s="16">
        <f t="shared" si="583"/>
        <v>0</v>
      </c>
      <c r="BG481" s="16">
        <f t="shared" si="583"/>
        <v>0</v>
      </c>
      <c r="BH481" s="16">
        <f t="shared" si="583"/>
        <v>0</v>
      </c>
      <c r="BI481" s="16">
        <f t="shared" si="583"/>
        <v>0</v>
      </c>
      <c r="BJ481" s="16">
        <f t="shared" si="583"/>
        <v>0</v>
      </c>
      <c r="BK481" s="16">
        <f t="shared" si="583"/>
        <v>0</v>
      </c>
      <c r="BL481" s="16">
        <f t="shared" si="583"/>
        <v>0</v>
      </c>
      <c r="BM481" s="16">
        <f t="shared" si="583"/>
        <v>0</v>
      </c>
      <c r="BN481" s="16">
        <f t="shared" si="583"/>
        <v>0</v>
      </c>
      <c r="BO481" s="16">
        <f t="shared" si="583"/>
        <v>0</v>
      </c>
      <c r="BP481" s="16">
        <f t="shared" si="584"/>
        <v>0</v>
      </c>
      <c r="BQ481" s="16">
        <f t="shared" si="584"/>
        <v>0</v>
      </c>
      <c r="BR481" s="16">
        <f t="shared" si="584"/>
        <v>0</v>
      </c>
      <c r="BS481" s="16">
        <f t="shared" si="584"/>
        <v>0</v>
      </c>
      <c r="BT481" s="16">
        <f t="shared" si="584"/>
        <v>0</v>
      </c>
      <c r="BU481" s="16">
        <f t="shared" si="584"/>
        <v>0</v>
      </c>
      <c r="BV481" s="16">
        <f t="shared" si="584"/>
        <v>0</v>
      </c>
      <c r="BW481" s="16">
        <f t="shared" si="584"/>
        <v>0</v>
      </c>
      <c r="BX481" s="21">
        <f t="shared" si="584"/>
        <v>0</v>
      </c>
      <c r="BY481" s="168"/>
      <c r="BZ481" s="16">
        <f t="shared" si="569"/>
        <v>0</v>
      </c>
      <c r="CA481" s="16">
        <f t="shared" si="569"/>
        <v>0</v>
      </c>
      <c r="CB481" s="168"/>
      <c r="CC481" s="16">
        <f t="shared" si="585"/>
        <v>410788.7988324301</v>
      </c>
      <c r="CD481" s="16">
        <f t="shared" si="585"/>
        <v>0</v>
      </c>
      <c r="CE481" s="16">
        <f t="shared" si="585"/>
        <v>0</v>
      </c>
      <c r="CF481" s="16">
        <f t="shared" si="585"/>
        <v>0</v>
      </c>
      <c r="CG481" s="16">
        <f t="shared" si="585"/>
        <v>0</v>
      </c>
      <c r="CH481" s="16">
        <f t="shared" si="585"/>
        <v>0</v>
      </c>
      <c r="CI481" s="16">
        <f t="shared" si="585"/>
        <v>0</v>
      </c>
      <c r="CJ481" s="16">
        <f t="shared" si="585"/>
        <v>0</v>
      </c>
      <c r="CK481" s="16">
        <f t="shared" si="585"/>
        <v>0</v>
      </c>
      <c r="CL481" s="16">
        <f t="shared" si="585"/>
        <v>0</v>
      </c>
      <c r="CM481" s="16">
        <f t="shared" si="586"/>
        <v>0</v>
      </c>
      <c r="CN481" s="16">
        <f t="shared" si="586"/>
        <v>0</v>
      </c>
      <c r="CO481" s="16">
        <f t="shared" si="586"/>
        <v>0</v>
      </c>
      <c r="CP481" s="16">
        <f t="shared" si="586"/>
        <v>0</v>
      </c>
      <c r="CQ481" s="16">
        <f t="shared" si="586"/>
        <v>0</v>
      </c>
      <c r="CR481" s="16">
        <f t="shared" si="586"/>
        <v>0</v>
      </c>
      <c r="CS481" s="16">
        <f t="shared" si="586"/>
        <v>0</v>
      </c>
      <c r="CT481" s="16">
        <f t="shared" si="586"/>
        <v>-4800.53</v>
      </c>
      <c r="CU481" s="16">
        <f t="shared" si="586"/>
        <v>0</v>
      </c>
      <c r="CV481" s="16">
        <f t="shared" si="586"/>
        <v>-10000</v>
      </c>
      <c r="CW481" s="16">
        <f t="shared" si="587"/>
        <v>0</v>
      </c>
      <c r="CX481" s="16">
        <f t="shared" si="587"/>
        <v>-10651.03</v>
      </c>
      <c r="CY481" s="16">
        <f t="shared" si="587"/>
        <v>0</v>
      </c>
      <c r="CZ481" s="16">
        <f t="shared" si="587"/>
        <v>-12928.95</v>
      </c>
      <c r="DA481" s="16">
        <f t="shared" si="587"/>
        <v>0</v>
      </c>
      <c r="DB481" s="16">
        <f t="shared" si="587"/>
        <v>0</v>
      </c>
      <c r="DC481" s="16">
        <f t="shared" si="587"/>
        <v>-38380.509999999995</v>
      </c>
      <c r="DD481" s="16">
        <f t="shared" si="587"/>
        <v>0</v>
      </c>
      <c r="DE481" s="21">
        <f t="shared" si="587"/>
        <v>372408.28883243009</v>
      </c>
      <c r="DF481" s="168"/>
      <c r="DG481" s="16">
        <f t="shared" si="573"/>
        <v>50574.932800000002</v>
      </c>
      <c r="DH481" s="16">
        <f t="shared" si="573"/>
        <v>1103798.375</v>
      </c>
      <c r="DI481" s="168"/>
      <c r="DJ481" s="16">
        <f t="shared" si="588"/>
        <v>0</v>
      </c>
      <c r="DK481" s="16">
        <f t="shared" si="588"/>
        <v>-4792.95</v>
      </c>
      <c r="DL481" s="16">
        <f t="shared" si="588"/>
        <v>0</v>
      </c>
      <c r="DM481" s="16">
        <f t="shared" si="588"/>
        <v>-3500</v>
      </c>
      <c r="DN481" s="16">
        <f t="shared" si="588"/>
        <v>0</v>
      </c>
      <c r="DO481" s="16">
        <f t="shared" si="588"/>
        <v>0</v>
      </c>
      <c r="DP481" s="137">
        <f t="shared" si="588"/>
        <v>-21371.32</v>
      </c>
      <c r="DQ481" s="16">
        <f t="shared" si="588"/>
        <v>0</v>
      </c>
      <c r="DR481" s="16">
        <f t="shared" si="588"/>
        <v>0</v>
      </c>
      <c r="DS481" s="16">
        <f t="shared" si="588"/>
        <v>-67150.14</v>
      </c>
      <c r="DT481" s="16">
        <f t="shared" si="589"/>
        <v>0</v>
      </c>
      <c r="DU481" s="16">
        <f t="shared" si="589"/>
        <v>-57631.64</v>
      </c>
      <c r="DV481" s="16">
        <f t="shared" si="589"/>
        <v>0</v>
      </c>
      <c r="DW481" s="16">
        <f t="shared" si="589"/>
        <v>-69229</v>
      </c>
      <c r="DX481" s="16">
        <f t="shared" si="589"/>
        <v>0</v>
      </c>
      <c r="DY481" s="16">
        <f t="shared" si="589"/>
        <v>-134625.91</v>
      </c>
      <c r="DZ481" s="16">
        <f t="shared" si="589"/>
        <v>0</v>
      </c>
      <c r="EA481" s="16">
        <f t="shared" si="589"/>
        <v>-24071.230000000003</v>
      </c>
      <c r="EB481" s="16">
        <f t="shared" si="589"/>
        <v>0</v>
      </c>
      <c r="EC481" s="16">
        <f t="shared" si="589"/>
        <v>-74769.070000000007</v>
      </c>
      <c r="ED481" s="16">
        <f t="shared" si="590"/>
        <v>0</v>
      </c>
      <c r="EE481" s="16">
        <f t="shared" si="590"/>
        <v>-51869.429999999986</v>
      </c>
      <c r="EF481" s="16">
        <f t="shared" si="590"/>
        <v>0</v>
      </c>
      <c r="EG481" s="137">
        <f t="shared" si="590"/>
        <v>0</v>
      </c>
      <c r="EH481" s="16">
        <f t="shared" si="590"/>
        <v>-11914.369999999999</v>
      </c>
      <c r="EI481" s="16">
        <f t="shared" si="590"/>
        <v>-58928.24</v>
      </c>
      <c r="EJ481" s="16">
        <f t="shared" si="590"/>
        <v>-21371.32</v>
      </c>
      <c r="EK481" s="16">
        <f t="shared" si="590"/>
        <v>-499553.74</v>
      </c>
      <c r="EL481" s="16">
        <f t="shared" si="590"/>
        <v>-58928.24</v>
      </c>
      <c r="EM481" s="21">
        <f t="shared" si="590"/>
        <v>946928.29663242993</v>
      </c>
      <c r="EN481" s="21"/>
      <c r="EO481" s="21"/>
      <c r="EP481" s="21"/>
      <c r="EQ481" s="21"/>
      <c r="ER481" s="21"/>
      <c r="ES481" s="152">
        <f t="shared" si="591"/>
        <v>-106458.72000000002</v>
      </c>
      <c r="ET481" s="152">
        <f t="shared" si="591"/>
        <v>0</v>
      </c>
      <c r="EU481" s="152">
        <f t="shared" si="591"/>
        <v>-20044.87</v>
      </c>
      <c r="EV481" s="152">
        <f t="shared" si="591"/>
        <v>0</v>
      </c>
      <c r="EW481" s="152">
        <f t="shared" si="591"/>
        <v>-62660.54</v>
      </c>
      <c r="EX481" s="152">
        <f t="shared" si="591"/>
        <v>-64801.440000000002</v>
      </c>
      <c r="EY481" s="152">
        <f t="shared" si="591"/>
        <v>-32441.32</v>
      </c>
      <c r="EZ481" s="152">
        <f t="shared" si="591"/>
        <v>0</v>
      </c>
      <c r="FA481" s="152">
        <f t="shared" si="591"/>
        <v>0</v>
      </c>
      <c r="FB481" s="152">
        <f t="shared" si="591"/>
        <v>0</v>
      </c>
      <c r="FC481" s="152">
        <f t="shared" si="592"/>
        <v>-36665.300000000003</v>
      </c>
      <c r="FD481" s="152">
        <f t="shared" si="592"/>
        <v>-18595.919999999998</v>
      </c>
      <c r="FE481" s="152">
        <f t="shared" si="592"/>
        <v>-101133.13</v>
      </c>
      <c r="FF481" s="152">
        <f t="shared" si="592"/>
        <v>0</v>
      </c>
      <c r="FG481" s="152">
        <f t="shared" si="592"/>
        <v>0</v>
      </c>
      <c r="FH481" s="152">
        <f t="shared" si="592"/>
        <v>0</v>
      </c>
      <c r="FI481" s="152">
        <f t="shared" si="592"/>
        <v>0</v>
      </c>
      <c r="FJ481" s="152">
        <f t="shared" si="592"/>
        <v>0</v>
      </c>
      <c r="FK481" s="152">
        <f t="shared" si="592"/>
        <v>-442801.24</v>
      </c>
      <c r="FL481" s="29"/>
    </row>
    <row r="482" spans="1:168" x14ac:dyDescent="0.2">
      <c r="D482" s="93">
        <f>D481+D480</f>
        <v>882427.71999999974</v>
      </c>
      <c r="N482" s="316" t="s">
        <v>456</v>
      </c>
      <c r="O482" s="317"/>
      <c r="P482" s="318"/>
      <c r="Q482" s="53"/>
      <c r="R482" s="20"/>
      <c r="S482" s="16">
        <f t="shared" si="579"/>
        <v>0</v>
      </c>
      <c r="T482" s="16">
        <f t="shared" si="579"/>
        <v>0</v>
      </c>
      <c r="U482" s="16">
        <f t="shared" si="579"/>
        <v>0</v>
      </c>
      <c r="V482" s="16">
        <f t="shared" si="579"/>
        <v>0</v>
      </c>
      <c r="W482" s="16">
        <f t="shared" si="579"/>
        <v>0</v>
      </c>
      <c r="X482" s="16">
        <f t="shared" si="579"/>
        <v>0</v>
      </c>
      <c r="Y482" s="16">
        <f t="shared" si="579"/>
        <v>0</v>
      </c>
      <c r="Z482" s="16">
        <f t="shared" si="579"/>
        <v>0</v>
      </c>
      <c r="AA482" s="16">
        <f t="shared" si="579"/>
        <v>0</v>
      </c>
      <c r="AB482" s="16">
        <f t="shared" si="579"/>
        <v>0</v>
      </c>
      <c r="AC482" s="16">
        <f t="shared" si="580"/>
        <v>0</v>
      </c>
      <c r="AD482" s="16">
        <f t="shared" si="580"/>
        <v>0</v>
      </c>
      <c r="AE482" s="16">
        <f t="shared" si="580"/>
        <v>0</v>
      </c>
      <c r="AF482" s="16">
        <f t="shared" si="580"/>
        <v>0</v>
      </c>
      <c r="AG482" s="16">
        <f t="shared" si="580"/>
        <v>0</v>
      </c>
      <c r="AH482" s="16">
        <f t="shared" si="580"/>
        <v>0</v>
      </c>
      <c r="AI482" s="16">
        <f t="shared" si="580"/>
        <v>0</v>
      </c>
      <c r="AJ482" s="16">
        <f t="shared" si="580"/>
        <v>0</v>
      </c>
      <c r="AK482" s="16">
        <f t="shared" si="580"/>
        <v>0</v>
      </c>
      <c r="AL482" s="16">
        <f t="shared" si="580"/>
        <v>0</v>
      </c>
      <c r="AM482" s="16">
        <f t="shared" si="581"/>
        <v>0</v>
      </c>
      <c r="AN482" s="16">
        <f t="shared" si="581"/>
        <v>0</v>
      </c>
      <c r="AO482" s="16">
        <f t="shared" si="581"/>
        <v>0</v>
      </c>
      <c r="AP482" s="16">
        <f t="shared" si="581"/>
        <v>0</v>
      </c>
      <c r="AQ482" s="16">
        <f t="shared" si="581"/>
        <v>0</v>
      </c>
      <c r="AR482" s="16">
        <f t="shared" si="581"/>
        <v>0</v>
      </c>
      <c r="AS482" s="16">
        <f t="shared" si="581"/>
        <v>0</v>
      </c>
      <c r="AT482" s="16">
        <f t="shared" si="581"/>
        <v>0</v>
      </c>
      <c r="AU482" s="168"/>
      <c r="AV482" s="16">
        <f t="shared" si="582"/>
        <v>0</v>
      </c>
      <c r="AW482" s="16">
        <f t="shared" si="582"/>
        <v>0</v>
      </c>
      <c r="AX482" s="16">
        <f t="shared" si="582"/>
        <v>0</v>
      </c>
      <c r="AY482" s="16">
        <f t="shared" si="582"/>
        <v>0</v>
      </c>
      <c r="AZ482" s="16">
        <f t="shared" si="582"/>
        <v>0</v>
      </c>
      <c r="BA482" s="16">
        <f t="shared" si="582"/>
        <v>0</v>
      </c>
      <c r="BB482" s="16">
        <f t="shared" si="582"/>
        <v>0</v>
      </c>
      <c r="BC482" s="16">
        <f t="shared" si="582"/>
        <v>0</v>
      </c>
      <c r="BD482" s="16">
        <f t="shared" si="582"/>
        <v>0</v>
      </c>
      <c r="BE482" s="16">
        <f t="shared" si="582"/>
        <v>0</v>
      </c>
      <c r="BF482" s="16">
        <f t="shared" si="583"/>
        <v>0</v>
      </c>
      <c r="BG482" s="16">
        <f t="shared" si="583"/>
        <v>0</v>
      </c>
      <c r="BH482" s="16">
        <f t="shared" si="583"/>
        <v>0</v>
      </c>
      <c r="BI482" s="16">
        <f t="shared" si="583"/>
        <v>0</v>
      </c>
      <c r="BJ482" s="16">
        <f t="shared" si="583"/>
        <v>0</v>
      </c>
      <c r="BK482" s="16">
        <f t="shared" si="583"/>
        <v>0</v>
      </c>
      <c r="BL482" s="16">
        <f t="shared" si="583"/>
        <v>0</v>
      </c>
      <c r="BM482" s="16">
        <f t="shared" si="583"/>
        <v>0</v>
      </c>
      <c r="BN482" s="16">
        <f t="shared" si="583"/>
        <v>0</v>
      </c>
      <c r="BO482" s="16">
        <f t="shared" si="583"/>
        <v>0</v>
      </c>
      <c r="BP482" s="16">
        <f t="shared" si="584"/>
        <v>0</v>
      </c>
      <c r="BQ482" s="16">
        <f t="shared" si="584"/>
        <v>0</v>
      </c>
      <c r="BR482" s="16">
        <f t="shared" si="584"/>
        <v>0</v>
      </c>
      <c r="BS482" s="16">
        <f t="shared" si="584"/>
        <v>0</v>
      </c>
      <c r="BT482" s="16">
        <f t="shared" si="584"/>
        <v>0</v>
      </c>
      <c r="BU482" s="16">
        <f t="shared" si="584"/>
        <v>0</v>
      </c>
      <c r="BV482" s="16">
        <f t="shared" si="584"/>
        <v>0</v>
      </c>
      <c r="BW482" s="16">
        <f t="shared" si="584"/>
        <v>0</v>
      </c>
      <c r="BX482" s="21">
        <f t="shared" si="584"/>
        <v>0</v>
      </c>
      <c r="BY482" s="168"/>
      <c r="BZ482" s="16">
        <f t="shared" si="569"/>
        <v>0</v>
      </c>
      <c r="CA482" s="16">
        <f t="shared" si="569"/>
        <v>0</v>
      </c>
      <c r="CB482" s="168"/>
      <c r="CC482" s="16">
        <f t="shared" si="585"/>
        <v>0</v>
      </c>
      <c r="CD482" s="16">
        <f t="shared" si="585"/>
        <v>0</v>
      </c>
      <c r="CE482" s="16">
        <f t="shared" si="585"/>
        <v>0</v>
      </c>
      <c r="CF482" s="16">
        <f t="shared" si="585"/>
        <v>0</v>
      </c>
      <c r="CG482" s="16">
        <f t="shared" si="585"/>
        <v>0</v>
      </c>
      <c r="CH482" s="16">
        <f t="shared" si="585"/>
        <v>0</v>
      </c>
      <c r="CI482" s="16">
        <f t="shared" si="585"/>
        <v>0</v>
      </c>
      <c r="CJ482" s="16">
        <f t="shared" si="585"/>
        <v>0</v>
      </c>
      <c r="CK482" s="16">
        <f t="shared" si="585"/>
        <v>0</v>
      </c>
      <c r="CL482" s="16">
        <f t="shared" si="585"/>
        <v>0</v>
      </c>
      <c r="CM482" s="16">
        <f t="shared" si="586"/>
        <v>0</v>
      </c>
      <c r="CN482" s="16">
        <f t="shared" si="586"/>
        <v>0</v>
      </c>
      <c r="CO482" s="16">
        <f t="shared" si="586"/>
        <v>0</v>
      </c>
      <c r="CP482" s="16">
        <f t="shared" si="586"/>
        <v>0</v>
      </c>
      <c r="CQ482" s="16">
        <f t="shared" si="586"/>
        <v>0</v>
      </c>
      <c r="CR482" s="16">
        <f t="shared" si="586"/>
        <v>0</v>
      </c>
      <c r="CS482" s="16">
        <f t="shared" si="586"/>
        <v>0</v>
      </c>
      <c r="CT482" s="16">
        <f t="shared" si="586"/>
        <v>0</v>
      </c>
      <c r="CU482" s="16">
        <f t="shared" si="586"/>
        <v>0</v>
      </c>
      <c r="CV482" s="16">
        <f t="shared" si="586"/>
        <v>0</v>
      </c>
      <c r="CW482" s="16">
        <f t="shared" si="587"/>
        <v>0</v>
      </c>
      <c r="CX482" s="16">
        <f t="shared" si="587"/>
        <v>0</v>
      </c>
      <c r="CY482" s="16">
        <f t="shared" si="587"/>
        <v>0</v>
      </c>
      <c r="CZ482" s="16">
        <f t="shared" si="587"/>
        <v>0</v>
      </c>
      <c r="DA482" s="16">
        <f t="shared" si="587"/>
        <v>0</v>
      </c>
      <c r="DB482" s="16">
        <f t="shared" si="587"/>
        <v>0</v>
      </c>
      <c r="DC482" s="16">
        <f t="shared" si="587"/>
        <v>0</v>
      </c>
      <c r="DD482" s="16">
        <f t="shared" si="587"/>
        <v>0</v>
      </c>
      <c r="DE482" s="21">
        <f t="shared" si="587"/>
        <v>0</v>
      </c>
      <c r="DF482" s="168"/>
      <c r="DG482" s="16">
        <f t="shared" si="573"/>
        <v>0</v>
      </c>
      <c r="DH482" s="16">
        <f t="shared" si="573"/>
        <v>0</v>
      </c>
      <c r="DI482" s="168"/>
      <c r="DJ482" s="16">
        <f t="shared" si="588"/>
        <v>582873</v>
      </c>
      <c r="DK482" s="16">
        <f t="shared" si="588"/>
        <v>0</v>
      </c>
      <c r="DL482" s="16">
        <f t="shared" si="588"/>
        <v>0</v>
      </c>
      <c r="DM482" s="16">
        <f t="shared" si="588"/>
        <v>0</v>
      </c>
      <c r="DN482" s="16">
        <f t="shared" si="588"/>
        <v>0</v>
      </c>
      <c r="DO482" s="16">
        <f t="shared" si="588"/>
        <v>0</v>
      </c>
      <c r="DP482" s="137">
        <f t="shared" si="588"/>
        <v>0</v>
      </c>
      <c r="DQ482" s="16">
        <f t="shared" si="588"/>
        <v>0</v>
      </c>
      <c r="DR482" s="16">
        <f t="shared" si="588"/>
        <v>0</v>
      </c>
      <c r="DS482" s="16">
        <f t="shared" si="588"/>
        <v>0</v>
      </c>
      <c r="DT482" s="16">
        <f t="shared" si="589"/>
        <v>0</v>
      </c>
      <c r="DU482" s="16">
        <f t="shared" si="589"/>
        <v>0</v>
      </c>
      <c r="DV482" s="16">
        <f t="shared" si="589"/>
        <v>0</v>
      </c>
      <c r="DW482" s="16">
        <f t="shared" si="589"/>
        <v>0</v>
      </c>
      <c r="DX482" s="16">
        <f t="shared" si="589"/>
        <v>0</v>
      </c>
      <c r="DY482" s="16">
        <f t="shared" si="589"/>
        <v>0</v>
      </c>
      <c r="DZ482" s="16">
        <f t="shared" si="589"/>
        <v>0</v>
      </c>
      <c r="EA482" s="16">
        <f t="shared" si="589"/>
        <v>0</v>
      </c>
      <c r="EB482" s="16">
        <f t="shared" si="589"/>
        <v>0</v>
      </c>
      <c r="EC482" s="16">
        <f t="shared" si="589"/>
        <v>0</v>
      </c>
      <c r="ED482" s="16">
        <f t="shared" si="590"/>
        <v>0</v>
      </c>
      <c r="EE482" s="16">
        <f t="shared" si="590"/>
        <v>0</v>
      </c>
      <c r="EF482" s="16">
        <f t="shared" si="590"/>
        <v>0</v>
      </c>
      <c r="EG482" s="137">
        <f t="shared" si="590"/>
        <v>0</v>
      </c>
      <c r="EH482" s="16">
        <f t="shared" si="590"/>
        <v>0</v>
      </c>
      <c r="EI482" s="16">
        <f t="shared" si="590"/>
        <v>0</v>
      </c>
      <c r="EJ482" s="16">
        <f t="shared" si="590"/>
        <v>0</v>
      </c>
      <c r="EK482" s="16">
        <f t="shared" si="590"/>
        <v>0</v>
      </c>
      <c r="EL482" s="16">
        <f t="shared" si="590"/>
        <v>0</v>
      </c>
      <c r="EM482" s="21">
        <f t="shared" si="590"/>
        <v>582873</v>
      </c>
      <c r="EN482" s="21"/>
      <c r="EO482" s="21"/>
      <c r="EP482" s="21"/>
      <c r="EQ482" s="21"/>
      <c r="ER482" s="21"/>
      <c r="ES482" s="152">
        <f t="shared" si="591"/>
        <v>-1038</v>
      </c>
      <c r="ET482" s="152">
        <f t="shared" si="591"/>
        <v>0</v>
      </c>
      <c r="EU482" s="152">
        <f t="shared" si="591"/>
        <v>-144560.91</v>
      </c>
      <c r="EV482" s="152">
        <f t="shared" si="591"/>
        <v>0</v>
      </c>
      <c r="EW482" s="152">
        <f t="shared" si="591"/>
        <v>-21875</v>
      </c>
      <c r="EX482" s="152">
        <f t="shared" si="591"/>
        <v>-20728.97</v>
      </c>
      <c r="EY482" s="152">
        <f t="shared" si="591"/>
        <v>-28535.16</v>
      </c>
      <c r="EZ482" s="152">
        <f t="shared" si="591"/>
        <v>0</v>
      </c>
      <c r="FA482" s="152">
        <f t="shared" si="591"/>
        <v>0</v>
      </c>
      <c r="FB482" s="152">
        <f t="shared" si="591"/>
        <v>0</v>
      </c>
      <c r="FC482" s="152">
        <f t="shared" si="592"/>
        <v>-29740.9</v>
      </c>
      <c r="FD482" s="152">
        <f t="shared" si="592"/>
        <v>-40553.81</v>
      </c>
      <c r="FE482" s="152">
        <f t="shared" si="592"/>
        <v>0</v>
      </c>
      <c r="FF482" s="152">
        <f t="shared" si="592"/>
        <v>0</v>
      </c>
      <c r="FG482" s="152">
        <f t="shared" si="592"/>
        <v>0</v>
      </c>
      <c r="FH482" s="152">
        <f t="shared" si="592"/>
        <v>0</v>
      </c>
      <c r="FI482" s="152">
        <f t="shared" si="592"/>
        <v>0</v>
      </c>
      <c r="FJ482" s="152">
        <f t="shared" si="592"/>
        <v>0</v>
      </c>
      <c r="FK482" s="152">
        <f t="shared" si="592"/>
        <v>-287032.75</v>
      </c>
      <c r="FL482" s="29"/>
    </row>
    <row r="483" spans="1:168" x14ac:dyDescent="0.2">
      <c r="N483" s="319" t="s">
        <v>167</v>
      </c>
      <c r="O483" s="317"/>
      <c r="P483" s="318"/>
      <c r="Q483" s="53"/>
      <c r="R483" s="20"/>
      <c r="S483" s="16">
        <f t="shared" si="579"/>
        <v>22384</v>
      </c>
      <c r="T483" s="16">
        <f t="shared" si="579"/>
        <v>0</v>
      </c>
      <c r="U483" s="16">
        <f t="shared" si="579"/>
        <v>0</v>
      </c>
      <c r="V483" s="16">
        <f t="shared" si="579"/>
        <v>0</v>
      </c>
      <c r="W483" s="16">
        <f t="shared" si="579"/>
        <v>0</v>
      </c>
      <c r="X483" s="16">
        <f t="shared" si="579"/>
        <v>0</v>
      </c>
      <c r="Y483" s="16">
        <f t="shared" si="579"/>
        <v>0</v>
      </c>
      <c r="Z483" s="16">
        <f t="shared" si="579"/>
        <v>0</v>
      </c>
      <c r="AA483" s="16">
        <f t="shared" si="579"/>
        <v>0</v>
      </c>
      <c r="AB483" s="16">
        <f t="shared" si="579"/>
        <v>0</v>
      </c>
      <c r="AC483" s="16">
        <f t="shared" si="580"/>
        <v>0</v>
      </c>
      <c r="AD483" s="16">
        <f t="shared" si="580"/>
        <v>0</v>
      </c>
      <c r="AE483" s="16">
        <f t="shared" si="580"/>
        <v>0</v>
      </c>
      <c r="AF483" s="16">
        <f t="shared" si="580"/>
        <v>0</v>
      </c>
      <c r="AG483" s="16">
        <f t="shared" si="580"/>
        <v>0</v>
      </c>
      <c r="AH483" s="16">
        <f t="shared" si="580"/>
        <v>0</v>
      </c>
      <c r="AI483" s="16">
        <f t="shared" si="580"/>
        <v>0</v>
      </c>
      <c r="AJ483" s="16">
        <f t="shared" si="580"/>
        <v>0</v>
      </c>
      <c r="AK483" s="16">
        <f t="shared" si="580"/>
        <v>0</v>
      </c>
      <c r="AL483" s="16">
        <f t="shared" si="580"/>
        <v>0</v>
      </c>
      <c r="AM483" s="16">
        <f t="shared" si="581"/>
        <v>0</v>
      </c>
      <c r="AN483" s="16">
        <f t="shared" si="581"/>
        <v>-1245</v>
      </c>
      <c r="AO483" s="16">
        <f t="shared" si="581"/>
        <v>0</v>
      </c>
      <c r="AP483" s="16">
        <f t="shared" si="581"/>
        <v>0</v>
      </c>
      <c r="AQ483" s="16">
        <f t="shared" si="581"/>
        <v>0</v>
      </c>
      <c r="AR483" s="16">
        <f t="shared" si="581"/>
        <v>-1245</v>
      </c>
      <c r="AS483" s="16">
        <f t="shared" si="581"/>
        <v>0</v>
      </c>
      <c r="AT483" s="16">
        <f t="shared" si="581"/>
        <v>21139</v>
      </c>
      <c r="AU483" s="168"/>
      <c r="AV483" s="16">
        <f t="shared" si="582"/>
        <v>0</v>
      </c>
      <c r="AW483" s="16">
        <f t="shared" si="582"/>
        <v>10000</v>
      </c>
      <c r="AX483" s="16">
        <f t="shared" si="582"/>
        <v>0</v>
      </c>
      <c r="AY483" s="16">
        <f t="shared" si="582"/>
        <v>0</v>
      </c>
      <c r="AZ483" s="16">
        <f t="shared" si="582"/>
        <v>0</v>
      </c>
      <c r="BA483" s="16">
        <f t="shared" si="582"/>
        <v>0</v>
      </c>
      <c r="BB483" s="16">
        <f t="shared" si="582"/>
        <v>-2363</v>
      </c>
      <c r="BC483" s="16">
        <f t="shared" si="582"/>
        <v>0</v>
      </c>
      <c r="BD483" s="16">
        <f t="shared" si="582"/>
        <v>-10478</v>
      </c>
      <c r="BE483" s="16">
        <f t="shared" si="582"/>
        <v>0</v>
      </c>
      <c r="BF483" s="16">
        <f t="shared" si="583"/>
        <v>-2414</v>
      </c>
      <c r="BG483" s="16">
        <f t="shared" si="583"/>
        <v>0</v>
      </c>
      <c r="BH483" s="16">
        <f t="shared" si="583"/>
        <v>-4751</v>
      </c>
      <c r="BI483" s="16">
        <f t="shared" si="583"/>
        <v>0</v>
      </c>
      <c r="BJ483" s="16">
        <f t="shared" si="583"/>
        <v>-1133</v>
      </c>
      <c r="BK483" s="16">
        <f t="shared" si="583"/>
        <v>0</v>
      </c>
      <c r="BL483" s="16">
        <f t="shared" si="583"/>
        <v>0</v>
      </c>
      <c r="BM483" s="16">
        <f t="shared" si="583"/>
        <v>0</v>
      </c>
      <c r="BN483" s="16">
        <f t="shared" si="583"/>
        <v>0</v>
      </c>
      <c r="BO483" s="16">
        <f t="shared" si="583"/>
        <v>0</v>
      </c>
      <c r="BP483" s="16">
        <f t="shared" si="584"/>
        <v>0</v>
      </c>
      <c r="BQ483" s="16">
        <f t="shared" si="584"/>
        <v>0</v>
      </c>
      <c r="BR483" s="16">
        <f t="shared" si="584"/>
        <v>0</v>
      </c>
      <c r="BS483" s="16">
        <f t="shared" si="584"/>
        <v>0</v>
      </c>
      <c r="BT483" s="16">
        <f t="shared" si="584"/>
        <v>-4879.8999999999996</v>
      </c>
      <c r="BU483" s="16">
        <f t="shared" si="584"/>
        <v>0</v>
      </c>
      <c r="BV483" s="16">
        <f t="shared" si="584"/>
        <v>-26018.9</v>
      </c>
      <c r="BW483" s="16">
        <f t="shared" si="584"/>
        <v>0</v>
      </c>
      <c r="BX483" s="21">
        <f t="shared" si="584"/>
        <v>5120.1000000000004</v>
      </c>
      <c r="BY483" s="168"/>
      <c r="BZ483" s="16">
        <f t="shared" si="569"/>
        <v>0</v>
      </c>
      <c r="CA483" s="16">
        <f t="shared" si="569"/>
        <v>0</v>
      </c>
      <c r="CB483" s="168"/>
      <c r="CC483" s="16">
        <f t="shared" si="585"/>
        <v>0</v>
      </c>
      <c r="CD483" s="16">
        <f t="shared" si="585"/>
        <v>0</v>
      </c>
      <c r="CE483" s="16">
        <f t="shared" si="585"/>
        <v>0</v>
      </c>
      <c r="CF483" s="16">
        <f t="shared" si="585"/>
        <v>0</v>
      </c>
      <c r="CG483" s="16">
        <f t="shared" si="585"/>
        <v>0</v>
      </c>
      <c r="CH483" s="16">
        <f t="shared" si="585"/>
        <v>-340.62</v>
      </c>
      <c r="CI483" s="16">
        <f t="shared" si="585"/>
        <v>0</v>
      </c>
      <c r="CJ483" s="16">
        <f t="shared" si="585"/>
        <v>0</v>
      </c>
      <c r="CK483" s="16">
        <f t="shared" si="585"/>
        <v>0</v>
      </c>
      <c r="CL483" s="16">
        <f t="shared" si="585"/>
        <v>0</v>
      </c>
      <c r="CM483" s="16">
        <f t="shared" si="586"/>
        <v>0</v>
      </c>
      <c r="CN483" s="16">
        <f t="shared" si="586"/>
        <v>0</v>
      </c>
      <c r="CO483" s="16">
        <f t="shared" si="586"/>
        <v>0</v>
      </c>
      <c r="CP483" s="16">
        <f t="shared" si="586"/>
        <v>0</v>
      </c>
      <c r="CQ483" s="16">
        <f t="shared" si="586"/>
        <v>0</v>
      </c>
      <c r="CR483" s="16">
        <f t="shared" si="586"/>
        <v>0</v>
      </c>
      <c r="CS483" s="16">
        <f t="shared" si="586"/>
        <v>0</v>
      </c>
      <c r="CT483" s="16">
        <f t="shared" si="586"/>
        <v>0</v>
      </c>
      <c r="CU483" s="16">
        <f t="shared" si="586"/>
        <v>0</v>
      </c>
      <c r="CV483" s="16">
        <f t="shared" si="586"/>
        <v>-4779.4799999999996</v>
      </c>
      <c r="CW483" s="16">
        <f t="shared" si="587"/>
        <v>0</v>
      </c>
      <c r="CX483" s="16">
        <f t="shared" si="587"/>
        <v>0</v>
      </c>
      <c r="CY483" s="16">
        <f t="shared" si="587"/>
        <v>0</v>
      </c>
      <c r="CZ483" s="16">
        <f t="shared" si="587"/>
        <v>0</v>
      </c>
      <c r="DA483" s="16">
        <f t="shared" si="587"/>
        <v>0</v>
      </c>
      <c r="DB483" s="16">
        <f t="shared" si="587"/>
        <v>0</v>
      </c>
      <c r="DC483" s="16">
        <f t="shared" si="587"/>
        <v>-5120.0999999999995</v>
      </c>
      <c r="DD483" s="16">
        <f t="shared" si="587"/>
        <v>0</v>
      </c>
      <c r="DE483" s="21">
        <f t="shared" si="587"/>
        <v>0</v>
      </c>
      <c r="DF483" s="168"/>
      <c r="DG483" s="16">
        <f t="shared" si="573"/>
        <v>0</v>
      </c>
      <c r="DH483" s="16">
        <f t="shared" si="573"/>
        <v>0</v>
      </c>
      <c r="DI483" s="168"/>
      <c r="DJ483" s="16">
        <f t="shared" si="588"/>
        <v>40000</v>
      </c>
      <c r="DK483" s="16">
        <f t="shared" si="588"/>
        <v>0</v>
      </c>
      <c r="DL483" s="16">
        <f t="shared" si="588"/>
        <v>0</v>
      </c>
      <c r="DM483" s="16">
        <f t="shared" si="588"/>
        <v>0</v>
      </c>
      <c r="DN483" s="16">
        <f t="shared" si="588"/>
        <v>0</v>
      </c>
      <c r="DO483" s="16">
        <f t="shared" si="588"/>
        <v>0</v>
      </c>
      <c r="DP483" s="137">
        <f t="shared" si="588"/>
        <v>0</v>
      </c>
      <c r="DQ483" s="16">
        <f t="shared" si="588"/>
        <v>0</v>
      </c>
      <c r="DR483" s="16">
        <f t="shared" si="588"/>
        <v>0</v>
      </c>
      <c r="DS483" s="16">
        <f t="shared" si="588"/>
        <v>0</v>
      </c>
      <c r="DT483" s="16">
        <f t="shared" si="589"/>
        <v>0</v>
      </c>
      <c r="DU483" s="16">
        <f t="shared" si="589"/>
        <v>0</v>
      </c>
      <c r="DV483" s="16">
        <f t="shared" si="589"/>
        <v>0</v>
      </c>
      <c r="DW483" s="16">
        <f t="shared" si="589"/>
        <v>0</v>
      </c>
      <c r="DX483" s="16">
        <f t="shared" si="589"/>
        <v>0</v>
      </c>
      <c r="DY483" s="16">
        <f t="shared" si="589"/>
        <v>0</v>
      </c>
      <c r="DZ483" s="16">
        <f t="shared" si="589"/>
        <v>0</v>
      </c>
      <c r="EA483" s="16">
        <f t="shared" si="589"/>
        <v>0</v>
      </c>
      <c r="EB483" s="16">
        <f t="shared" si="589"/>
        <v>0</v>
      </c>
      <c r="EC483" s="16">
        <f t="shared" si="589"/>
        <v>0</v>
      </c>
      <c r="ED483" s="16">
        <f t="shared" si="590"/>
        <v>0</v>
      </c>
      <c r="EE483" s="16">
        <f t="shared" si="590"/>
        <v>0</v>
      </c>
      <c r="EF483" s="16">
        <f t="shared" si="590"/>
        <v>0</v>
      </c>
      <c r="EG483" s="137">
        <f t="shared" si="590"/>
        <v>0</v>
      </c>
      <c r="EH483" s="16">
        <f t="shared" si="590"/>
        <v>0</v>
      </c>
      <c r="EI483" s="16">
        <f t="shared" si="590"/>
        <v>0</v>
      </c>
      <c r="EJ483" s="16">
        <f t="shared" si="590"/>
        <v>0</v>
      </c>
      <c r="EK483" s="16">
        <f t="shared" si="590"/>
        <v>0</v>
      </c>
      <c r="EL483" s="16">
        <f t="shared" si="590"/>
        <v>0</v>
      </c>
      <c r="EM483" s="21">
        <f t="shared" si="590"/>
        <v>40000</v>
      </c>
      <c r="EN483" s="21"/>
      <c r="EO483" s="21"/>
      <c r="EP483" s="21"/>
      <c r="EQ483" s="21"/>
      <c r="ER483" s="21"/>
      <c r="ES483" s="152">
        <f t="shared" si="591"/>
        <v>0</v>
      </c>
      <c r="ET483" s="152">
        <f t="shared" si="591"/>
        <v>0</v>
      </c>
      <c r="EU483" s="152">
        <f t="shared" si="591"/>
        <v>0</v>
      </c>
      <c r="EV483" s="152">
        <f t="shared" si="591"/>
        <v>0</v>
      </c>
      <c r="EW483" s="152">
        <f t="shared" si="591"/>
        <v>0</v>
      </c>
      <c r="EX483" s="152">
        <f t="shared" si="591"/>
        <v>0</v>
      </c>
      <c r="EY483" s="152">
        <f t="shared" si="591"/>
        <v>0</v>
      </c>
      <c r="EZ483" s="152">
        <f t="shared" si="591"/>
        <v>0</v>
      </c>
      <c r="FA483" s="152">
        <f t="shared" si="591"/>
        <v>0</v>
      </c>
      <c r="FB483" s="152">
        <f t="shared" si="591"/>
        <v>0</v>
      </c>
      <c r="FC483" s="152">
        <f t="shared" si="592"/>
        <v>0</v>
      </c>
      <c r="FD483" s="152">
        <f t="shared" si="592"/>
        <v>0</v>
      </c>
      <c r="FE483" s="152">
        <f t="shared" si="592"/>
        <v>0</v>
      </c>
      <c r="FF483" s="152">
        <f t="shared" si="592"/>
        <v>0</v>
      </c>
      <c r="FG483" s="152">
        <f t="shared" si="592"/>
        <v>0</v>
      </c>
      <c r="FH483" s="152">
        <f t="shared" si="592"/>
        <v>0</v>
      </c>
      <c r="FI483" s="152">
        <f t="shared" si="592"/>
        <v>0</v>
      </c>
      <c r="FJ483" s="152">
        <f t="shared" si="592"/>
        <v>0</v>
      </c>
      <c r="FK483" s="152">
        <f t="shared" si="592"/>
        <v>0</v>
      </c>
      <c r="FL483" s="29"/>
    </row>
    <row r="484" spans="1:168" x14ac:dyDescent="0.2">
      <c r="N484" s="316" t="s">
        <v>524</v>
      </c>
      <c r="O484" s="317"/>
      <c r="P484" s="318"/>
      <c r="Q484" s="53"/>
      <c r="R484" s="20"/>
      <c r="S484" s="16">
        <f t="shared" si="579"/>
        <v>0</v>
      </c>
      <c r="T484" s="16">
        <f t="shared" si="579"/>
        <v>0</v>
      </c>
      <c r="U484" s="16">
        <f t="shared" si="579"/>
        <v>0</v>
      </c>
      <c r="V484" s="16">
        <f t="shared" si="579"/>
        <v>0</v>
      </c>
      <c r="W484" s="16">
        <f t="shared" si="579"/>
        <v>0</v>
      </c>
      <c r="X484" s="16">
        <f t="shared" si="579"/>
        <v>0</v>
      </c>
      <c r="Y484" s="16">
        <f t="shared" si="579"/>
        <v>0</v>
      </c>
      <c r="Z484" s="16">
        <f t="shared" si="579"/>
        <v>0</v>
      </c>
      <c r="AA484" s="16">
        <f t="shared" si="579"/>
        <v>0</v>
      </c>
      <c r="AB484" s="16">
        <f t="shared" si="579"/>
        <v>0</v>
      </c>
      <c r="AC484" s="16">
        <f t="shared" si="580"/>
        <v>0</v>
      </c>
      <c r="AD484" s="16">
        <f t="shared" si="580"/>
        <v>0</v>
      </c>
      <c r="AE484" s="16">
        <f t="shared" si="580"/>
        <v>0</v>
      </c>
      <c r="AF484" s="16">
        <f t="shared" si="580"/>
        <v>0</v>
      </c>
      <c r="AG484" s="16">
        <f t="shared" si="580"/>
        <v>0</v>
      </c>
      <c r="AH484" s="16">
        <f t="shared" si="580"/>
        <v>0</v>
      </c>
      <c r="AI484" s="16">
        <f t="shared" si="580"/>
        <v>0</v>
      </c>
      <c r="AJ484" s="16">
        <f t="shared" si="580"/>
        <v>0</v>
      </c>
      <c r="AK484" s="16">
        <f t="shared" si="580"/>
        <v>0</v>
      </c>
      <c r="AL484" s="16">
        <f t="shared" si="580"/>
        <v>0</v>
      </c>
      <c r="AM484" s="16">
        <f t="shared" si="581"/>
        <v>0</v>
      </c>
      <c r="AN484" s="16">
        <f t="shared" si="581"/>
        <v>0</v>
      </c>
      <c r="AO484" s="16">
        <f t="shared" si="581"/>
        <v>0</v>
      </c>
      <c r="AP484" s="16">
        <f t="shared" si="581"/>
        <v>0</v>
      </c>
      <c r="AQ484" s="16">
        <f t="shared" si="581"/>
        <v>0</v>
      </c>
      <c r="AR484" s="16">
        <f t="shared" si="581"/>
        <v>0</v>
      </c>
      <c r="AS484" s="16">
        <f t="shared" si="581"/>
        <v>0</v>
      </c>
      <c r="AT484" s="16">
        <f t="shared" si="581"/>
        <v>0</v>
      </c>
      <c r="AU484" s="168"/>
      <c r="AV484" s="16">
        <f t="shared" si="582"/>
        <v>0</v>
      </c>
      <c r="AW484" s="16">
        <f t="shared" si="582"/>
        <v>151549</v>
      </c>
      <c r="AX484" s="16">
        <f t="shared" si="582"/>
        <v>0</v>
      </c>
      <c r="AY484" s="16">
        <f t="shared" si="582"/>
        <v>0</v>
      </c>
      <c r="AZ484" s="16">
        <f t="shared" si="582"/>
        <v>0</v>
      </c>
      <c r="BA484" s="16">
        <f t="shared" si="582"/>
        <v>0</v>
      </c>
      <c r="BB484" s="16">
        <f t="shared" si="582"/>
        <v>0</v>
      </c>
      <c r="BC484" s="16">
        <f t="shared" si="582"/>
        <v>0</v>
      </c>
      <c r="BD484" s="16">
        <f t="shared" si="582"/>
        <v>0</v>
      </c>
      <c r="BE484" s="16">
        <f t="shared" si="582"/>
        <v>0</v>
      </c>
      <c r="BF484" s="16">
        <f t="shared" si="583"/>
        <v>0</v>
      </c>
      <c r="BG484" s="16">
        <f t="shared" si="583"/>
        <v>0</v>
      </c>
      <c r="BH484" s="16">
        <f t="shared" si="583"/>
        <v>0</v>
      </c>
      <c r="BI484" s="16">
        <f t="shared" si="583"/>
        <v>0</v>
      </c>
      <c r="BJ484" s="16">
        <f t="shared" si="583"/>
        <v>0</v>
      </c>
      <c r="BK484" s="16">
        <f t="shared" si="583"/>
        <v>0</v>
      </c>
      <c r="BL484" s="16">
        <f t="shared" si="583"/>
        <v>0</v>
      </c>
      <c r="BM484" s="16">
        <f t="shared" si="583"/>
        <v>0</v>
      </c>
      <c r="BN484" s="16">
        <f t="shared" si="583"/>
        <v>0</v>
      </c>
      <c r="BO484" s="16">
        <f t="shared" si="583"/>
        <v>0</v>
      </c>
      <c r="BP484" s="16">
        <f t="shared" si="584"/>
        <v>-4490</v>
      </c>
      <c r="BQ484" s="16">
        <f t="shared" si="584"/>
        <v>0</v>
      </c>
      <c r="BR484" s="16">
        <f t="shared" si="584"/>
        <v>0</v>
      </c>
      <c r="BS484" s="16">
        <f t="shared" si="584"/>
        <v>0</v>
      </c>
      <c r="BT484" s="16">
        <f t="shared" si="584"/>
        <v>0</v>
      </c>
      <c r="BU484" s="16">
        <f t="shared" si="584"/>
        <v>0</v>
      </c>
      <c r="BV484" s="16">
        <f t="shared" si="584"/>
        <v>-4490</v>
      </c>
      <c r="BW484" s="16">
        <f t="shared" si="584"/>
        <v>0</v>
      </c>
      <c r="BX484" s="21">
        <f t="shared" si="584"/>
        <v>147059</v>
      </c>
      <c r="BY484" s="168"/>
      <c r="BZ484" s="16">
        <f t="shared" si="569"/>
        <v>0</v>
      </c>
      <c r="CA484" s="16">
        <f t="shared" si="569"/>
        <v>361719</v>
      </c>
      <c r="CB484" s="168"/>
      <c r="CC484" s="16">
        <f t="shared" si="585"/>
        <v>0</v>
      </c>
      <c r="CD484" s="16">
        <f t="shared" si="585"/>
        <v>0</v>
      </c>
      <c r="CE484" s="16">
        <f t="shared" si="585"/>
        <v>0</v>
      </c>
      <c r="CF484" s="16">
        <f t="shared" si="585"/>
        <v>-9413</v>
      </c>
      <c r="CG484" s="16">
        <f t="shared" si="585"/>
        <v>0</v>
      </c>
      <c r="CH484" s="16">
        <f t="shared" si="585"/>
        <v>0</v>
      </c>
      <c r="CI484" s="16">
        <f t="shared" si="585"/>
        <v>0</v>
      </c>
      <c r="CJ484" s="16">
        <f t="shared" si="585"/>
        <v>-145.08000000000001</v>
      </c>
      <c r="CK484" s="16">
        <f t="shared" si="585"/>
        <v>0</v>
      </c>
      <c r="CL484" s="16">
        <f t="shared" si="585"/>
        <v>-2107.34</v>
      </c>
      <c r="CM484" s="16">
        <f t="shared" si="586"/>
        <v>0</v>
      </c>
      <c r="CN484" s="16">
        <f t="shared" si="586"/>
        <v>-616.13</v>
      </c>
      <c r="CO484" s="16">
        <f t="shared" si="586"/>
        <v>0</v>
      </c>
      <c r="CP484" s="16">
        <f t="shared" si="586"/>
        <v>-5217.2700000000004</v>
      </c>
      <c r="CQ484" s="16">
        <f t="shared" si="586"/>
        <v>0</v>
      </c>
      <c r="CR484" s="16">
        <f t="shared" si="586"/>
        <v>0</v>
      </c>
      <c r="CS484" s="16">
        <f t="shared" si="586"/>
        <v>0</v>
      </c>
      <c r="CT484" s="16">
        <f t="shared" si="586"/>
        <v>-38768.230000000003</v>
      </c>
      <c r="CU484" s="16">
        <f t="shared" si="586"/>
        <v>0</v>
      </c>
      <c r="CV484" s="16">
        <f t="shared" si="586"/>
        <v>-12619.43</v>
      </c>
      <c r="CW484" s="16">
        <f t="shared" si="587"/>
        <v>0</v>
      </c>
      <c r="CX484" s="16">
        <f t="shared" si="587"/>
        <v>-23639.260000000002</v>
      </c>
      <c r="CY484" s="16">
        <f t="shared" si="587"/>
        <v>0</v>
      </c>
      <c r="CZ484" s="16">
        <f t="shared" si="587"/>
        <v>-90770.62</v>
      </c>
      <c r="DA484" s="16">
        <f t="shared" si="587"/>
        <v>0</v>
      </c>
      <c r="DB484" s="16">
        <f t="shared" si="587"/>
        <v>-9413</v>
      </c>
      <c r="DC484" s="16">
        <f t="shared" si="587"/>
        <v>-173883.36</v>
      </c>
      <c r="DD484" s="16">
        <f t="shared" si="587"/>
        <v>0</v>
      </c>
      <c r="DE484" s="21">
        <f t="shared" si="587"/>
        <v>325481.64</v>
      </c>
      <c r="DF484" s="168"/>
      <c r="DG484" s="16">
        <f t="shared" si="573"/>
        <v>355697</v>
      </c>
      <c r="DH484" s="16">
        <f t="shared" si="573"/>
        <v>0</v>
      </c>
      <c r="DI484" s="168"/>
      <c r="DJ484" s="16">
        <f t="shared" si="588"/>
        <v>10000</v>
      </c>
      <c r="DK484" s="16">
        <f t="shared" si="588"/>
        <v>-25978.649999999998</v>
      </c>
      <c r="DL484" s="16">
        <f t="shared" si="588"/>
        <v>0</v>
      </c>
      <c r="DM484" s="16">
        <f t="shared" si="588"/>
        <v>-99737</v>
      </c>
      <c r="DN484" s="16">
        <f t="shared" si="588"/>
        <v>0</v>
      </c>
      <c r="DO484" s="16">
        <f t="shared" si="588"/>
        <v>-15867</v>
      </c>
      <c r="DP484" s="137">
        <f t="shared" si="588"/>
        <v>-43291.22</v>
      </c>
      <c r="DQ484" s="16">
        <f t="shared" si="588"/>
        <v>-6520.35</v>
      </c>
      <c r="DR484" s="16">
        <f t="shared" si="588"/>
        <v>0</v>
      </c>
      <c r="DS484" s="16">
        <f t="shared" si="588"/>
        <v>-1654.37</v>
      </c>
      <c r="DT484" s="16">
        <f t="shared" si="589"/>
        <v>0</v>
      </c>
      <c r="DU484" s="16">
        <f t="shared" si="589"/>
        <v>-11862.42</v>
      </c>
      <c r="DV484" s="16">
        <f t="shared" si="589"/>
        <v>0</v>
      </c>
      <c r="DW484" s="16">
        <f t="shared" si="589"/>
        <v>-22399.39</v>
      </c>
      <c r="DX484" s="16">
        <f t="shared" si="589"/>
        <v>0</v>
      </c>
      <c r="DY484" s="16">
        <f t="shared" si="589"/>
        <v>-5849.88</v>
      </c>
      <c r="DZ484" s="16">
        <f t="shared" si="589"/>
        <v>0</v>
      </c>
      <c r="EA484" s="16">
        <f t="shared" si="589"/>
        <v>-15390.19</v>
      </c>
      <c r="EB484" s="16">
        <f t="shared" si="589"/>
        <v>0</v>
      </c>
      <c r="EC484" s="16">
        <f t="shared" si="589"/>
        <v>-6585.94</v>
      </c>
      <c r="ED484" s="16">
        <f t="shared" si="590"/>
        <v>0</v>
      </c>
      <c r="EE484" s="16">
        <f t="shared" si="590"/>
        <v>-70039.94</v>
      </c>
      <c r="EF484" s="16">
        <f t="shared" si="590"/>
        <v>0</v>
      </c>
      <c r="EG484" s="137">
        <f t="shared" si="590"/>
        <v>0</v>
      </c>
      <c r="EH484" s="16">
        <f t="shared" si="590"/>
        <v>-124856.02</v>
      </c>
      <c r="EI484" s="16">
        <f t="shared" si="590"/>
        <v>-35855.65</v>
      </c>
      <c r="EJ484" s="16">
        <f t="shared" si="590"/>
        <v>-43291.22</v>
      </c>
      <c r="EK484" s="16">
        <f t="shared" si="590"/>
        <v>-406741.14999999997</v>
      </c>
      <c r="EL484" s="16">
        <f t="shared" si="590"/>
        <v>-35855.65</v>
      </c>
      <c r="EM484" s="21">
        <f t="shared" si="590"/>
        <v>205290.62000000005</v>
      </c>
      <c r="EN484" s="21"/>
      <c r="EO484" s="21"/>
      <c r="EP484" s="21"/>
      <c r="EQ484" s="21"/>
      <c r="ER484" s="21"/>
      <c r="ES484" s="152">
        <f t="shared" si="591"/>
        <v>-5375.36</v>
      </c>
      <c r="ET484" s="152">
        <f t="shared" si="591"/>
        <v>-14184.43</v>
      </c>
      <c r="EU484" s="152">
        <f t="shared" si="591"/>
        <v>0</v>
      </c>
      <c r="EV484" s="152">
        <f t="shared" si="591"/>
        <v>0</v>
      </c>
      <c r="EW484" s="152">
        <f t="shared" si="591"/>
        <v>0</v>
      </c>
      <c r="EX484" s="152">
        <f t="shared" si="591"/>
        <v>-20007.830000000002</v>
      </c>
      <c r="EY484" s="152">
        <f t="shared" si="591"/>
        <v>-5381.77</v>
      </c>
      <c r="EZ484" s="152">
        <f t="shared" si="591"/>
        <v>0</v>
      </c>
      <c r="FA484" s="152">
        <f t="shared" si="591"/>
        <v>0</v>
      </c>
      <c r="FB484" s="152">
        <f t="shared" si="591"/>
        <v>0</v>
      </c>
      <c r="FC484" s="152">
        <f t="shared" si="592"/>
        <v>0</v>
      </c>
      <c r="FD484" s="152">
        <f t="shared" si="592"/>
        <v>-10763.54</v>
      </c>
      <c r="FE484" s="152">
        <f t="shared" si="592"/>
        <v>0</v>
      </c>
      <c r="FF484" s="152">
        <f t="shared" si="592"/>
        <v>0</v>
      </c>
      <c r="FG484" s="152">
        <f t="shared" si="592"/>
        <v>0</v>
      </c>
      <c r="FH484" s="152">
        <f t="shared" si="592"/>
        <v>0</v>
      </c>
      <c r="FI484" s="152">
        <f t="shared" si="592"/>
        <v>0</v>
      </c>
      <c r="FJ484" s="152">
        <f t="shared" si="592"/>
        <v>0</v>
      </c>
      <c r="FK484" s="152">
        <f t="shared" si="592"/>
        <v>-55712.929999999993</v>
      </c>
      <c r="FL484" s="29"/>
    </row>
    <row r="485" spans="1:168" x14ac:dyDescent="0.2">
      <c r="N485" s="316" t="s">
        <v>698</v>
      </c>
      <c r="O485" s="317"/>
      <c r="P485" s="318"/>
      <c r="Q485" s="53"/>
      <c r="R485" s="20"/>
      <c r="S485" s="16">
        <f t="shared" si="579"/>
        <v>0</v>
      </c>
      <c r="T485" s="16">
        <f t="shared" si="579"/>
        <v>0</v>
      </c>
      <c r="U485" s="16">
        <f t="shared" si="579"/>
        <v>0</v>
      </c>
      <c r="V485" s="16">
        <f t="shared" si="579"/>
        <v>0</v>
      </c>
      <c r="W485" s="16">
        <f t="shared" si="579"/>
        <v>0</v>
      </c>
      <c r="X485" s="16">
        <f t="shared" si="579"/>
        <v>0</v>
      </c>
      <c r="Y485" s="16">
        <f t="shared" si="579"/>
        <v>0</v>
      </c>
      <c r="Z485" s="16">
        <f t="shared" si="579"/>
        <v>0</v>
      </c>
      <c r="AA485" s="16">
        <f t="shared" si="579"/>
        <v>0</v>
      </c>
      <c r="AB485" s="16">
        <f t="shared" si="579"/>
        <v>0</v>
      </c>
      <c r="AC485" s="16">
        <f t="shared" si="580"/>
        <v>0</v>
      </c>
      <c r="AD485" s="16">
        <f t="shared" si="580"/>
        <v>0</v>
      </c>
      <c r="AE485" s="16">
        <f t="shared" si="580"/>
        <v>0</v>
      </c>
      <c r="AF485" s="16">
        <f t="shared" si="580"/>
        <v>0</v>
      </c>
      <c r="AG485" s="16">
        <f t="shared" si="580"/>
        <v>0</v>
      </c>
      <c r="AH485" s="16">
        <f t="shared" si="580"/>
        <v>0</v>
      </c>
      <c r="AI485" s="16">
        <f t="shared" si="580"/>
        <v>0</v>
      </c>
      <c r="AJ485" s="16">
        <f t="shared" si="580"/>
        <v>0</v>
      </c>
      <c r="AK485" s="16">
        <f t="shared" si="580"/>
        <v>0</v>
      </c>
      <c r="AL485" s="16">
        <f t="shared" si="580"/>
        <v>0</v>
      </c>
      <c r="AM485" s="16">
        <f t="shared" si="581"/>
        <v>0</v>
      </c>
      <c r="AN485" s="16">
        <f t="shared" si="581"/>
        <v>0</v>
      </c>
      <c r="AO485" s="16">
        <f t="shared" si="581"/>
        <v>0</v>
      </c>
      <c r="AP485" s="16">
        <f t="shared" si="581"/>
        <v>0</v>
      </c>
      <c r="AQ485" s="16">
        <f t="shared" si="581"/>
        <v>0</v>
      </c>
      <c r="AR485" s="16">
        <f t="shared" si="581"/>
        <v>0</v>
      </c>
      <c r="AS485" s="16">
        <f t="shared" si="581"/>
        <v>0</v>
      </c>
      <c r="AT485" s="16">
        <f t="shared" si="581"/>
        <v>0</v>
      </c>
      <c r="AU485" s="168"/>
      <c r="AV485" s="16">
        <f t="shared" si="582"/>
        <v>0</v>
      </c>
      <c r="AW485" s="16">
        <f t="shared" si="582"/>
        <v>0</v>
      </c>
      <c r="AX485" s="16">
        <f t="shared" si="582"/>
        <v>0</v>
      </c>
      <c r="AY485" s="16">
        <f t="shared" si="582"/>
        <v>0</v>
      </c>
      <c r="AZ485" s="16">
        <f t="shared" si="582"/>
        <v>0</v>
      </c>
      <c r="BA485" s="16">
        <f t="shared" si="582"/>
        <v>0</v>
      </c>
      <c r="BB485" s="16">
        <f t="shared" si="582"/>
        <v>0</v>
      </c>
      <c r="BC485" s="16">
        <f t="shared" si="582"/>
        <v>0</v>
      </c>
      <c r="BD485" s="16">
        <f t="shared" si="582"/>
        <v>0</v>
      </c>
      <c r="BE485" s="16">
        <f t="shared" si="582"/>
        <v>0</v>
      </c>
      <c r="BF485" s="16">
        <f t="shared" si="583"/>
        <v>0</v>
      </c>
      <c r="BG485" s="16">
        <f t="shared" si="583"/>
        <v>0</v>
      </c>
      <c r="BH485" s="16">
        <f t="shared" si="583"/>
        <v>0</v>
      </c>
      <c r="BI485" s="16">
        <f t="shared" si="583"/>
        <v>0</v>
      </c>
      <c r="BJ485" s="16">
        <f t="shared" si="583"/>
        <v>0</v>
      </c>
      <c r="BK485" s="16">
        <f t="shared" si="583"/>
        <v>0</v>
      </c>
      <c r="BL485" s="16">
        <f t="shared" si="583"/>
        <v>0</v>
      </c>
      <c r="BM485" s="16">
        <f t="shared" si="583"/>
        <v>0</v>
      </c>
      <c r="BN485" s="16">
        <f t="shared" si="583"/>
        <v>0</v>
      </c>
      <c r="BO485" s="16">
        <f t="shared" si="583"/>
        <v>0</v>
      </c>
      <c r="BP485" s="16">
        <f t="shared" si="584"/>
        <v>0</v>
      </c>
      <c r="BQ485" s="16">
        <f t="shared" si="584"/>
        <v>0</v>
      </c>
      <c r="BR485" s="16">
        <f t="shared" si="584"/>
        <v>0</v>
      </c>
      <c r="BS485" s="16">
        <f t="shared" si="584"/>
        <v>0</v>
      </c>
      <c r="BT485" s="16">
        <f t="shared" si="584"/>
        <v>0</v>
      </c>
      <c r="BU485" s="16">
        <f t="shared" si="584"/>
        <v>0</v>
      </c>
      <c r="BV485" s="16">
        <f t="shared" si="584"/>
        <v>0</v>
      </c>
      <c r="BW485" s="16">
        <f t="shared" si="584"/>
        <v>0</v>
      </c>
      <c r="BX485" s="21">
        <f t="shared" si="584"/>
        <v>0</v>
      </c>
      <c r="BY485" s="168"/>
      <c r="BZ485" s="16">
        <f t="shared" si="569"/>
        <v>0</v>
      </c>
      <c r="CA485" s="16">
        <f t="shared" si="569"/>
        <v>0</v>
      </c>
      <c r="CB485" s="168"/>
      <c r="CC485" s="16">
        <f t="shared" si="585"/>
        <v>0</v>
      </c>
      <c r="CD485" s="16">
        <f t="shared" si="585"/>
        <v>0</v>
      </c>
      <c r="CE485" s="16">
        <f t="shared" si="585"/>
        <v>0</v>
      </c>
      <c r="CF485" s="16">
        <f t="shared" si="585"/>
        <v>0</v>
      </c>
      <c r="CG485" s="16">
        <f t="shared" si="585"/>
        <v>0</v>
      </c>
      <c r="CH485" s="16">
        <f t="shared" si="585"/>
        <v>0</v>
      </c>
      <c r="CI485" s="16">
        <f t="shared" si="585"/>
        <v>0</v>
      </c>
      <c r="CJ485" s="16">
        <f t="shared" si="585"/>
        <v>0</v>
      </c>
      <c r="CK485" s="16">
        <f t="shared" si="585"/>
        <v>0</v>
      </c>
      <c r="CL485" s="16">
        <f t="shared" si="585"/>
        <v>0</v>
      </c>
      <c r="CM485" s="16">
        <f t="shared" si="586"/>
        <v>0</v>
      </c>
      <c r="CN485" s="16">
        <f t="shared" si="586"/>
        <v>0</v>
      </c>
      <c r="CO485" s="16">
        <f t="shared" si="586"/>
        <v>0</v>
      </c>
      <c r="CP485" s="16">
        <f t="shared" si="586"/>
        <v>0</v>
      </c>
      <c r="CQ485" s="16">
        <f t="shared" si="586"/>
        <v>0</v>
      </c>
      <c r="CR485" s="16">
        <f t="shared" si="586"/>
        <v>0</v>
      </c>
      <c r="CS485" s="16">
        <f t="shared" si="586"/>
        <v>0</v>
      </c>
      <c r="CT485" s="16">
        <f t="shared" si="586"/>
        <v>0</v>
      </c>
      <c r="CU485" s="16">
        <f t="shared" si="586"/>
        <v>0</v>
      </c>
      <c r="CV485" s="16">
        <f t="shared" si="586"/>
        <v>0</v>
      </c>
      <c r="CW485" s="16">
        <f t="shared" si="587"/>
        <v>0</v>
      </c>
      <c r="CX485" s="16">
        <f t="shared" si="587"/>
        <v>0</v>
      </c>
      <c r="CY485" s="16">
        <f t="shared" si="587"/>
        <v>0</v>
      </c>
      <c r="CZ485" s="16">
        <f t="shared" si="587"/>
        <v>0</v>
      </c>
      <c r="DA485" s="16">
        <f t="shared" si="587"/>
        <v>0</v>
      </c>
      <c r="DB485" s="16">
        <f t="shared" si="587"/>
        <v>0</v>
      </c>
      <c r="DC485" s="16">
        <f t="shared" si="587"/>
        <v>0</v>
      </c>
      <c r="DD485" s="16">
        <f t="shared" si="587"/>
        <v>0</v>
      </c>
      <c r="DE485" s="21">
        <f t="shared" si="587"/>
        <v>0</v>
      </c>
      <c r="DF485" s="168"/>
      <c r="DG485" s="16">
        <f t="shared" si="573"/>
        <v>0</v>
      </c>
      <c r="DH485" s="16">
        <f t="shared" si="573"/>
        <v>0</v>
      </c>
      <c r="DI485" s="168"/>
      <c r="DJ485" s="16">
        <f t="shared" si="588"/>
        <v>54743</v>
      </c>
      <c r="DK485" s="16">
        <f t="shared" si="588"/>
        <v>0</v>
      </c>
      <c r="DL485" s="16">
        <f t="shared" si="588"/>
        <v>0</v>
      </c>
      <c r="DM485" s="16">
        <f t="shared" si="588"/>
        <v>0</v>
      </c>
      <c r="DN485" s="16">
        <f t="shared" si="588"/>
        <v>0</v>
      </c>
      <c r="DO485" s="16">
        <f t="shared" si="588"/>
        <v>0</v>
      </c>
      <c r="DP485" s="137">
        <f t="shared" si="588"/>
        <v>0</v>
      </c>
      <c r="DQ485" s="16">
        <f t="shared" si="588"/>
        <v>0</v>
      </c>
      <c r="DR485" s="16">
        <f t="shared" si="588"/>
        <v>0</v>
      </c>
      <c r="DS485" s="16">
        <f t="shared" si="588"/>
        <v>-7371.5</v>
      </c>
      <c r="DT485" s="16">
        <f t="shared" si="589"/>
        <v>0</v>
      </c>
      <c r="DU485" s="16">
        <f t="shared" si="589"/>
        <v>0</v>
      </c>
      <c r="DV485" s="16">
        <f t="shared" si="589"/>
        <v>0</v>
      </c>
      <c r="DW485" s="16">
        <f t="shared" si="589"/>
        <v>0</v>
      </c>
      <c r="DX485" s="16">
        <f t="shared" si="589"/>
        <v>0</v>
      </c>
      <c r="DY485" s="16">
        <f t="shared" si="589"/>
        <v>-7371.5</v>
      </c>
      <c r="DZ485" s="16">
        <f t="shared" si="589"/>
        <v>0</v>
      </c>
      <c r="EA485" s="16">
        <f t="shared" si="589"/>
        <v>0</v>
      </c>
      <c r="EB485" s="16">
        <f t="shared" si="589"/>
        <v>0</v>
      </c>
      <c r="EC485" s="16">
        <f t="shared" si="589"/>
        <v>0</v>
      </c>
      <c r="ED485" s="16">
        <f t="shared" si="590"/>
        <v>0</v>
      </c>
      <c r="EE485" s="16">
        <f t="shared" si="590"/>
        <v>-14743</v>
      </c>
      <c r="EF485" s="16">
        <f t="shared" si="590"/>
        <v>0</v>
      </c>
      <c r="EG485" s="137">
        <f t="shared" si="590"/>
        <v>0</v>
      </c>
      <c r="EH485" s="16">
        <f t="shared" si="590"/>
        <v>0</v>
      </c>
      <c r="EI485" s="16">
        <f t="shared" si="590"/>
        <v>0</v>
      </c>
      <c r="EJ485" s="16">
        <f t="shared" si="590"/>
        <v>0</v>
      </c>
      <c r="EK485" s="16">
        <f t="shared" si="590"/>
        <v>-29486</v>
      </c>
      <c r="EL485" s="16">
        <f t="shared" si="590"/>
        <v>0</v>
      </c>
      <c r="EM485" s="21">
        <f t="shared" si="590"/>
        <v>25257</v>
      </c>
      <c r="EN485" s="21"/>
      <c r="EO485" s="21"/>
      <c r="EP485" s="21"/>
      <c r="EQ485" s="21"/>
      <c r="ER485" s="21"/>
      <c r="ES485" s="152">
        <f t="shared" si="591"/>
        <v>0</v>
      </c>
      <c r="ET485" s="152">
        <f t="shared" si="591"/>
        <v>0</v>
      </c>
      <c r="EU485" s="152">
        <f t="shared" si="591"/>
        <v>0</v>
      </c>
      <c r="EV485" s="152">
        <f t="shared" si="591"/>
        <v>0</v>
      </c>
      <c r="EW485" s="152">
        <f t="shared" si="591"/>
        <v>0</v>
      </c>
      <c r="EX485" s="152">
        <f t="shared" si="591"/>
        <v>0</v>
      </c>
      <c r="EY485" s="152">
        <f t="shared" si="591"/>
        <v>0</v>
      </c>
      <c r="EZ485" s="152">
        <f t="shared" si="591"/>
        <v>0</v>
      </c>
      <c r="FA485" s="152">
        <f t="shared" si="591"/>
        <v>-54743</v>
      </c>
      <c r="FB485" s="152">
        <f t="shared" si="591"/>
        <v>54743</v>
      </c>
      <c r="FC485" s="152">
        <f t="shared" si="592"/>
        <v>0</v>
      </c>
      <c r="FD485" s="152">
        <f t="shared" si="592"/>
        <v>0</v>
      </c>
      <c r="FE485" s="152">
        <f t="shared" si="592"/>
        <v>0</v>
      </c>
      <c r="FF485" s="152">
        <f t="shared" si="592"/>
        <v>0</v>
      </c>
      <c r="FG485" s="152">
        <f t="shared" si="592"/>
        <v>0</v>
      </c>
      <c r="FH485" s="152">
        <f t="shared" si="592"/>
        <v>0</v>
      </c>
      <c r="FI485" s="152">
        <f t="shared" si="592"/>
        <v>0</v>
      </c>
      <c r="FJ485" s="152">
        <f t="shared" si="592"/>
        <v>-54743</v>
      </c>
      <c r="FK485" s="152">
        <f t="shared" si="592"/>
        <v>54743</v>
      </c>
      <c r="FL485" s="29"/>
    </row>
    <row r="486" spans="1:168" x14ac:dyDescent="0.2">
      <c r="N486" s="316" t="s">
        <v>509</v>
      </c>
      <c r="O486" s="317"/>
      <c r="P486" s="318"/>
      <c r="Q486" s="53"/>
      <c r="R486" s="20"/>
      <c r="S486" s="16">
        <f t="shared" si="579"/>
        <v>0</v>
      </c>
      <c r="T486" s="16">
        <f t="shared" si="579"/>
        <v>0</v>
      </c>
      <c r="U486" s="16">
        <f t="shared" si="579"/>
        <v>0</v>
      </c>
      <c r="V486" s="16">
        <f t="shared" si="579"/>
        <v>0</v>
      </c>
      <c r="W486" s="16">
        <f t="shared" si="579"/>
        <v>0</v>
      </c>
      <c r="X486" s="16">
        <f t="shared" si="579"/>
        <v>0</v>
      </c>
      <c r="Y486" s="16">
        <f t="shared" si="579"/>
        <v>0</v>
      </c>
      <c r="Z486" s="16">
        <f t="shared" si="579"/>
        <v>0</v>
      </c>
      <c r="AA486" s="16">
        <f t="shared" si="579"/>
        <v>0</v>
      </c>
      <c r="AB486" s="16">
        <f t="shared" si="579"/>
        <v>0</v>
      </c>
      <c r="AC486" s="16">
        <f t="shared" si="580"/>
        <v>0</v>
      </c>
      <c r="AD486" s="16">
        <f t="shared" si="580"/>
        <v>0</v>
      </c>
      <c r="AE486" s="16">
        <f t="shared" si="580"/>
        <v>0</v>
      </c>
      <c r="AF486" s="16">
        <f t="shared" si="580"/>
        <v>0</v>
      </c>
      <c r="AG486" s="16">
        <f t="shared" si="580"/>
        <v>0</v>
      </c>
      <c r="AH486" s="16">
        <f t="shared" si="580"/>
        <v>0</v>
      </c>
      <c r="AI486" s="16">
        <f t="shared" si="580"/>
        <v>0</v>
      </c>
      <c r="AJ486" s="16">
        <f t="shared" si="580"/>
        <v>0</v>
      </c>
      <c r="AK486" s="16">
        <f t="shared" si="580"/>
        <v>0</v>
      </c>
      <c r="AL486" s="16">
        <f t="shared" si="580"/>
        <v>0</v>
      </c>
      <c r="AM486" s="16">
        <f t="shared" si="581"/>
        <v>0</v>
      </c>
      <c r="AN486" s="16">
        <f t="shared" si="581"/>
        <v>0</v>
      </c>
      <c r="AO486" s="16">
        <f t="shared" si="581"/>
        <v>0</v>
      </c>
      <c r="AP486" s="16">
        <f t="shared" si="581"/>
        <v>0</v>
      </c>
      <c r="AQ486" s="16">
        <f t="shared" si="581"/>
        <v>0</v>
      </c>
      <c r="AR486" s="16">
        <f t="shared" si="581"/>
        <v>0</v>
      </c>
      <c r="AS486" s="16">
        <f t="shared" si="581"/>
        <v>0</v>
      </c>
      <c r="AT486" s="16">
        <f t="shared" si="581"/>
        <v>0</v>
      </c>
      <c r="AU486" s="168"/>
      <c r="AV486" s="16">
        <f t="shared" si="582"/>
        <v>0</v>
      </c>
      <c r="AW486" s="16">
        <f t="shared" si="582"/>
        <v>1531150</v>
      </c>
      <c r="AX486" s="16">
        <f t="shared" si="582"/>
        <v>0</v>
      </c>
      <c r="AY486" s="16">
        <f t="shared" si="582"/>
        <v>0</v>
      </c>
      <c r="AZ486" s="16">
        <f t="shared" si="582"/>
        <v>0</v>
      </c>
      <c r="BA486" s="16">
        <f t="shared" si="582"/>
        <v>0</v>
      </c>
      <c r="BB486" s="16">
        <f t="shared" si="582"/>
        <v>0</v>
      </c>
      <c r="BC486" s="16">
        <f t="shared" si="582"/>
        <v>0</v>
      </c>
      <c r="BD486" s="16">
        <f t="shared" si="582"/>
        <v>0</v>
      </c>
      <c r="BE486" s="16">
        <f t="shared" si="582"/>
        <v>0</v>
      </c>
      <c r="BF486" s="16">
        <f t="shared" si="583"/>
        <v>0</v>
      </c>
      <c r="BG486" s="16">
        <f t="shared" si="583"/>
        <v>0</v>
      </c>
      <c r="BH486" s="16">
        <f t="shared" si="583"/>
        <v>0</v>
      </c>
      <c r="BI486" s="16">
        <f t="shared" si="583"/>
        <v>0</v>
      </c>
      <c r="BJ486" s="16">
        <f t="shared" si="583"/>
        <v>0</v>
      </c>
      <c r="BK486" s="16">
        <f t="shared" si="583"/>
        <v>0</v>
      </c>
      <c r="BL486" s="16">
        <f t="shared" si="583"/>
        <v>0</v>
      </c>
      <c r="BM486" s="16">
        <f t="shared" si="583"/>
        <v>0</v>
      </c>
      <c r="BN486" s="16">
        <f t="shared" si="583"/>
        <v>0</v>
      </c>
      <c r="BO486" s="16">
        <f t="shared" si="583"/>
        <v>0</v>
      </c>
      <c r="BP486" s="16">
        <f t="shared" si="584"/>
        <v>0</v>
      </c>
      <c r="BQ486" s="16">
        <f t="shared" si="584"/>
        <v>0</v>
      </c>
      <c r="BR486" s="16">
        <f t="shared" si="584"/>
        <v>-38190</v>
      </c>
      <c r="BS486" s="16">
        <f t="shared" si="584"/>
        <v>0</v>
      </c>
      <c r="BT486" s="16">
        <f t="shared" si="584"/>
        <v>-118735</v>
      </c>
      <c r="BU486" s="16">
        <f t="shared" si="584"/>
        <v>0</v>
      </c>
      <c r="BV486" s="16">
        <f t="shared" si="584"/>
        <v>-156925</v>
      </c>
      <c r="BW486" s="16">
        <f t="shared" si="584"/>
        <v>0</v>
      </c>
      <c r="BX486" s="21">
        <f t="shared" si="584"/>
        <v>1374225</v>
      </c>
      <c r="BY486" s="168"/>
      <c r="BZ486" s="16">
        <f t="shared" si="569"/>
        <v>0</v>
      </c>
      <c r="CA486" s="16">
        <f t="shared" si="569"/>
        <v>662098</v>
      </c>
      <c r="CB486" s="168"/>
      <c r="CC486" s="16">
        <f t="shared" si="585"/>
        <v>309016.26799999998</v>
      </c>
      <c r="CD486" s="16">
        <f t="shared" si="585"/>
        <v>-20275</v>
      </c>
      <c r="CE486" s="16">
        <f t="shared" si="585"/>
        <v>0</v>
      </c>
      <c r="CF486" s="16">
        <f t="shared" si="585"/>
        <v>0</v>
      </c>
      <c r="CG486" s="16">
        <f t="shared" si="585"/>
        <v>0</v>
      </c>
      <c r="CH486" s="16">
        <f t="shared" si="585"/>
        <v>-8258.86</v>
      </c>
      <c r="CI486" s="16">
        <f t="shared" si="585"/>
        <v>0</v>
      </c>
      <c r="CJ486" s="16">
        <f t="shared" si="585"/>
        <v>-31025.14</v>
      </c>
      <c r="CK486" s="16">
        <f t="shared" si="585"/>
        <v>0</v>
      </c>
      <c r="CL486" s="16">
        <f t="shared" si="585"/>
        <v>-397529.06</v>
      </c>
      <c r="CM486" s="16">
        <f t="shared" si="586"/>
        <v>0</v>
      </c>
      <c r="CN486" s="16">
        <f t="shared" si="586"/>
        <v>0</v>
      </c>
      <c r="CO486" s="16">
        <f t="shared" si="586"/>
        <v>0</v>
      </c>
      <c r="CP486" s="16">
        <f t="shared" si="586"/>
        <v>-116443.94</v>
      </c>
      <c r="CQ486" s="16">
        <f t="shared" si="586"/>
        <v>0</v>
      </c>
      <c r="CR486" s="16">
        <f t="shared" si="586"/>
        <v>-14920</v>
      </c>
      <c r="CS486" s="16">
        <f t="shared" si="586"/>
        <v>0</v>
      </c>
      <c r="CT486" s="16">
        <f t="shared" si="586"/>
        <v>0</v>
      </c>
      <c r="CU486" s="16">
        <f t="shared" si="586"/>
        <v>0</v>
      </c>
      <c r="CV486" s="16">
        <f t="shared" si="586"/>
        <v>0</v>
      </c>
      <c r="CW486" s="16">
        <f t="shared" si="587"/>
        <v>0</v>
      </c>
      <c r="CX486" s="16">
        <f t="shared" si="587"/>
        <v>-38005.440000000002</v>
      </c>
      <c r="CY486" s="16">
        <f t="shared" si="587"/>
        <v>0</v>
      </c>
      <c r="CZ486" s="16">
        <f t="shared" si="587"/>
        <v>-91330</v>
      </c>
      <c r="DA486" s="16">
        <f t="shared" si="587"/>
        <v>0</v>
      </c>
      <c r="DB486" s="16">
        <f t="shared" si="587"/>
        <v>-20275</v>
      </c>
      <c r="DC486" s="16">
        <f t="shared" si="587"/>
        <v>-697512.44</v>
      </c>
      <c r="DD486" s="16">
        <f t="shared" si="587"/>
        <v>0</v>
      </c>
      <c r="DE486" s="21">
        <f t="shared" si="587"/>
        <v>1627551.828</v>
      </c>
      <c r="DF486" s="168"/>
      <c r="DG486" s="16">
        <f t="shared" si="573"/>
        <v>190986.2</v>
      </c>
      <c r="DH486" s="16">
        <f t="shared" si="573"/>
        <v>0</v>
      </c>
      <c r="DI486" s="168"/>
      <c r="DJ486" s="16">
        <f t="shared" si="588"/>
        <v>457280</v>
      </c>
      <c r="DK486" s="16">
        <f t="shared" si="588"/>
        <v>0</v>
      </c>
      <c r="DL486" s="16">
        <f t="shared" si="588"/>
        <v>0</v>
      </c>
      <c r="DM486" s="16">
        <f t="shared" si="588"/>
        <v>-200</v>
      </c>
      <c r="DN486" s="16">
        <f t="shared" si="588"/>
        <v>0</v>
      </c>
      <c r="DO486" s="16">
        <f t="shared" si="588"/>
        <v>0</v>
      </c>
      <c r="DP486" s="137">
        <f t="shared" si="588"/>
        <v>0</v>
      </c>
      <c r="DQ486" s="16">
        <f t="shared" si="588"/>
        <v>-18400</v>
      </c>
      <c r="DR486" s="16">
        <f t="shared" si="588"/>
        <v>0</v>
      </c>
      <c r="DS486" s="16">
        <f t="shared" si="588"/>
        <v>0</v>
      </c>
      <c r="DT486" s="16">
        <f t="shared" si="589"/>
        <v>0</v>
      </c>
      <c r="DU486" s="16">
        <f t="shared" si="589"/>
        <v>-5500</v>
      </c>
      <c r="DV486" s="16">
        <f t="shared" si="589"/>
        <v>0</v>
      </c>
      <c r="DW486" s="16">
        <f t="shared" si="589"/>
        <v>0</v>
      </c>
      <c r="DX486" s="16">
        <f t="shared" si="589"/>
        <v>0</v>
      </c>
      <c r="DY486" s="16">
        <f t="shared" si="589"/>
        <v>-91538.42</v>
      </c>
      <c r="DZ486" s="16">
        <f t="shared" si="589"/>
        <v>0</v>
      </c>
      <c r="EA486" s="16">
        <f t="shared" si="589"/>
        <v>-299442.61</v>
      </c>
      <c r="EB486" s="16">
        <f t="shared" si="589"/>
        <v>0</v>
      </c>
      <c r="EC486" s="16">
        <f t="shared" si="589"/>
        <v>-14724.32</v>
      </c>
      <c r="ED486" s="16">
        <f t="shared" si="590"/>
        <v>0</v>
      </c>
      <c r="EE486" s="16">
        <f t="shared" si="590"/>
        <v>-12430.33</v>
      </c>
      <c r="EF486" s="16">
        <f t="shared" si="590"/>
        <v>0</v>
      </c>
      <c r="EG486" s="137">
        <f t="shared" si="590"/>
        <v>0</v>
      </c>
      <c r="EH486" s="16">
        <f t="shared" si="590"/>
        <v>-3100</v>
      </c>
      <c r="EI486" s="16">
        <f t="shared" si="590"/>
        <v>0</v>
      </c>
      <c r="EJ486" s="16">
        <f t="shared" si="590"/>
        <v>0</v>
      </c>
      <c r="EK486" s="16">
        <f t="shared" si="590"/>
        <v>-440948.18</v>
      </c>
      <c r="EL486" s="16">
        <f t="shared" si="590"/>
        <v>0</v>
      </c>
      <c r="EM486" s="21">
        <f t="shared" si="590"/>
        <v>1834869.848</v>
      </c>
      <c r="EN486" s="21"/>
      <c r="EO486" s="21"/>
      <c r="EP486" s="21"/>
      <c r="EQ486" s="21"/>
      <c r="ER486" s="21"/>
      <c r="ES486" s="152">
        <f t="shared" si="591"/>
        <v>0</v>
      </c>
      <c r="ET486" s="152">
        <f t="shared" si="591"/>
        <v>-48500</v>
      </c>
      <c r="EU486" s="152">
        <f t="shared" si="591"/>
        <v>-30000</v>
      </c>
      <c r="EV486" s="152">
        <f t="shared" si="591"/>
        <v>0</v>
      </c>
      <c r="EW486" s="152">
        <f t="shared" si="591"/>
        <v>-165160.67000000001</v>
      </c>
      <c r="EX486" s="152">
        <f t="shared" si="591"/>
        <v>-161213.42000000004</v>
      </c>
      <c r="EY486" s="152">
        <f t="shared" si="591"/>
        <v>-22577.040000000001</v>
      </c>
      <c r="EZ486" s="152">
        <f t="shared" si="591"/>
        <v>0</v>
      </c>
      <c r="FA486" s="152">
        <f t="shared" si="591"/>
        <v>0</v>
      </c>
      <c r="FB486" s="152">
        <f t="shared" si="591"/>
        <v>0</v>
      </c>
      <c r="FC486" s="152">
        <f t="shared" si="592"/>
        <v>-39526.74</v>
      </c>
      <c r="FD486" s="152">
        <f t="shared" si="592"/>
        <v>-112988.08</v>
      </c>
      <c r="FE486" s="152">
        <f t="shared" si="592"/>
        <v>-78521.2</v>
      </c>
      <c r="FF486" s="152">
        <f t="shared" si="592"/>
        <v>0</v>
      </c>
      <c r="FG486" s="152">
        <f t="shared" si="592"/>
        <v>0</v>
      </c>
      <c r="FH486" s="152">
        <f t="shared" si="592"/>
        <v>0</v>
      </c>
      <c r="FI486" s="152">
        <f t="shared" si="592"/>
        <v>0</v>
      </c>
      <c r="FJ486" s="152">
        <f t="shared" si="592"/>
        <v>0</v>
      </c>
      <c r="FK486" s="152">
        <f t="shared" si="592"/>
        <v>-658487.15000000014</v>
      </c>
      <c r="FL486" s="29"/>
    </row>
    <row r="487" spans="1:168" x14ac:dyDescent="0.2">
      <c r="N487" s="316" t="s">
        <v>476</v>
      </c>
      <c r="O487" s="317"/>
      <c r="P487" s="318"/>
      <c r="Q487" s="53"/>
      <c r="R487" s="20"/>
      <c r="S487" s="16">
        <f t="shared" si="579"/>
        <v>0</v>
      </c>
      <c r="T487" s="16">
        <f t="shared" si="579"/>
        <v>0</v>
      </c>
      <c r="U487" s="16">
        <f t="shared" si="579"/>
        <v>0</v>
      </c>
      <c r="V487" s="16">
        <f t="shared" si="579"/>
        <v>0</v>
      </c>
      <c r="W487" s="16">
        <f t="shared" si="579"/>
        <v>0</v>
      </c>
      <c r="X487" s="16">
        <f t="shared" si="579"/>
        <v>0</v>
      </c>
      <c r="Y487" s="16">
        <f t="shared" si="579"/>
        <v>0</v>
      </c>
      <c r="Z487" s="16">
        <f t="shared" si="579"/>
        <v>0</v>
      </c>
      <c r="AA487" s="16">
        <f t="shared" si="579"/>
        <v>0</v>
      </c>
      <c r="AB487" s="16">
        <f t="shared" si="579"/>
        <v>0</v>
      </c>
      <c r="AC487" s="16">
        <f t="shared" si="580"/>
        <v>0</v>
      </c>
      <c r="AD487" s="16">
        <f t="shared" si="580"/>
        <v>0</v>
      </c>
      <c r="AE487" s="16">
        <f t="shared" si="580"/>
        <v>0</v>
      </c>
      <c r="AF487" s="16">
        <f t="shared" si="580"/>
        <v>0</v>
      </c>
      <c r="AG487" s="16">
        <f t="shared" si="580"/>
        <v>0</v>
      </c>
      <c r="AH487" s="16">
        <f t="shared" si="580"/>
        <v>0</v>
      </c>
      <c r="AI487" s="16">
        <f t="shared" si="580"/>
        <v>0</v>
      </c>
      <c r="AJ487" s="16">
        <f t="shared" si="580"/>
        <v>0</v>
      </c>
      <c r="AK487" s="16">
        <f t="shared" si="580"/>
        <v>0</v>
      </c>
      <c r="AL487" s="16">
        <f t="shared" si="580"/>
        <v>0</v>
      </c>
      <c r="AM487" s="16">
        <f t="shared" si="581"/>
        <v>0</v>
      </c>
      <c r="AN487" s="16">
        <f t="shared" si="581"/>
        <v>0</v>
      </c>
      <c r="AO487" s="16">
        <f t="shared" si="581"/>
        <v>0</v>
      </c>
      <c r="AP487" s="16">
        <f t="shared" si="581"/>
        <v>0</v>
      </c>
      <c r="AQ487" s="16">
        <f t="shared" si="581"/>
        <v>0</v>
      </c>
      <c r="AR487" s="16">
        <f t="shared" si="581"/>
        <v>0</v>
      </c>
      <c r="AS487" s="16">
        <f t="shared" si="581"/>
        <v>0</v>
      </c>
      <c r="AT487" s="16">
        <f t="shared" si="581"/>
        <v>0</v>
      </c>
      <c r="AU487" s="168"/>
      <c r="AV487" s="16">
        <f t="shared" si="582"/>
        <v>0</v>
      </c>
      <c r="AW487" s="16">
        <f t="shared" si="582"/>
        <v>70000</v>
      </c>
      <c r="AX487" s="16">
        <f t="shared" si="582"/>
        <v>0</v>
      </c>
      <c r="AY487" s="16">
        <f t="shared" si="582"/>
        <v>0</v>
      </c>
      <c r="AZ487" s="16">
        <f t="shared" si="582"/>
        <v>0</v>
      </c>
      <c r="BA487" s="16">
        <f t="shared" si="582"/>
        <v>0</v>
      </c>
      <c r="BB487" s="16">
        <f t="shared" si="582"/>
        <v>0</v>
      </c>
      <c r="BC487" s="16">
        <f t="shared" si="582"/>
        <v>0</v>
      </c>
      <c r="BD487" s="16">
        <f t="shared" si="582"/>
        <v>0</v>
      </c>
      <c r="BE487" s="16">
        <f t="shared" si="582"/>
        <v>0</v>
      </c>
      <c r="BF487" s="16">
        <f t="shared" si="583"/>
        <v>0</v>
      </c>
      <c r="BG487" s="16">
        <f t="shared" si="583"/>
        <v>0</v>
      </c>
      <c r="BH487" s="16">
        <f t="shared" si="583"/>
        <v>0</v>
      </c>
      <c r="BI487" s="16">
        <f t="shared" si="583"/>
        <v>0</v>
      </c>
      <c r="BJ487" s="16">
        <f t="shared" si="583"/>
        <v>0</v>
      </c>
      <c r="BK487" s="16">
        <f t="shared" si="583"/>
        <v>0</v>
      </c>
      <c r="BL487" s="16">
        <f t="shared" si="583"/>
        <v>0</v>
      </c>
      <c r="BM487" s="16">
        <f t="shared" si="583"/>
        <v>0</v>
      </c>
      <c r="BN487" s="16">
        <f t="shared" si="583"/>
        <v>0</v>
      </c>
      <c r="BO487" s="16">
        <f t="shared" si="583"/>
        <v>0</v>
      </c>
      <c r="BP487" s="16">
        <f t="shared" si="584"/>
        <v>0</v>
      </c>
      <c r="BQ487" s="16">
        <f t="shared" si="584"/>
        <v>0</v>
      </c>
      <c r="BR487" s="16">
        <f t="shared" si="584"/>
        <v>0</v>
      </c>
      <c r="BS487" s="16">
        <f t="shared" si="584"/>
        <v>0</v>
      </c>
      <c r="BT487" s="16">
        <f t="shared" si="584"/>
        <v>0</v>
      </c>
      <c r="BU487" s="16">
        <f t="shared" si="584"/>
        <v>0</v>
      </c>
      <c r="BV487" s="16">
        <f t="shared" si="584"/>
        <v>0</v>
      </c>
      <c r="BW487" s="16">
        <f t="shared" si="584"/>
        <v>0</v>
      </c>
      <c r="BX487" s="21">
        <f t="shared" si="584"/>
        <v>70000</v>
      </c>
      <c r="BY487" s="168"/>
      <c r="BZ487" s="16">
        <f t="shared" si="569"/>
        <v>0</v>
      </c>
      <c r="CA487" s="16">
        <f t="shared" si="569"/>
        <v>0</v>
      </c>
      <c r="CB487" s="168"/>
      <c r="CC487" s="16">
        <f t="shared" si="585"/>
        <v>0</v>
      </c>
      <c r="CD487" s="16">
        <f t="shared" si="585"/>
        <v>0</v>
      </c>
      <c r="CE487" s="16">
        <f t="shared" si="585"/>
        <v>0</v>
      </c>
      <c r="CF487" s="16">
        <f t="shared" si="585"/>
        <v>0</v>
      </c>
      <c r="CG487" s="16">
        <f t="shared" si="585"/>
        <v>0</v>
      </c>
      <c r="CH487" s="16">
        <f t="shared" si="585"/>
        <v>0</v>
      </c>
      <c r="CI487" s="16">
        <f t="shared" si="585"/>
        <v>0</v>
      </c>
      <c r="CJ487" s="16">
        <f t="shared" si="585"/>
        <v>0</v>
      </c>
      <c r="CK487" s="16">
        <f t="shared" si="585"/>
        <v>0</v>
      </c>
      <c r="CL487" s="16">
        <f t="shared" si="585"/>
        <v>0</v>
      </c>
      <c r="CM487" s="16">
        <f t="shared" si="586"/>
        <v>0</v>
      </c>
      <c r="CN487" s="16">
        <f t="shared" si="586"/>
        <v>0</v>
      </c>
      <c r="CO487" s="16">
        <f t="shared" si="586"/>
        <v>0</v>
      </c>
      <c r="CP487" s="16">
        <f t="shared" si="586"/>
        <v>-12467.16</v>
      </c>
      <c r="CQ487" s="16">
        <f t="shared" si="586"/>
        <v>0</v>
      </c>
      <c r="CR487" s="16">
        <f t="shared" si="586"/>
        <v>-6150</v>
      </c>
      <c r="CS487" s="16">
        <f t="shared" si="586"/>
        <v>0</v>
      </c>
      <c r="CT487" s="16">
        <f t="shared" si="586"/>
        <v>0</v>
      </c>
      <c r="CU487" s="16">
        <f t="shared" si="586"/>
        <v>0</v>
      </c>
      <c r="CV487" s="16">
        <f t="shared" si="586"/>
        <v>-1249.06</v>
      </c>
      <c r="CW487" s="16">
        <f t="shared" si="587"/>
        <v>0</v>
      </c>
      <c r="CX487" s="16">
        <f t="shared" si="587"/>
        <v>-8868.7999999999993</v>
      </c>
      <c r="CY487" s="16">
        <f t="shared" si="587"/>
        <v>0</v>
      </c>
      <c r="CZ487" s="16">
        <f t="shared" si="587"/>
        <v>0</v>
      </c>
      <c r="DA487" s="16">
        <f t="shared" si="587"/>
        <v>0</v>
      </c>
      <c r="DB487" s="16">
        <f t="shared" si="587"/>
        <v>0</v>
      </c>
      <c r="DC487" s="16">
        <f t="shared" si="587"/>
        <v>-28735.02</v>
      </c>
      <c r="DD487" s="16">
        <f t="shared" si="587"/>
        <v>0</v>
      </c>
      <c r="DE487" s="21">
        <f t="shared" si="587"/>
        <v>41264.979999999996</v>
      </c>
      <c r="DF487" s="168"/>
      <c r="DG487" s="16">
        <f t="shared" si="573"/>
        <v>0</v>
      </c>
      <c r="DH487" s="16">
        <f t="shared" si="573"/>
        <v>0</v>
      </c>
      <c r="DI487" s="168"/>
      <c r="DJ487" s="16">
        <f t="shared" si="588"/>
        <v>0</v>
      </c>
      <c r="DK487" s="16">
        <f t="shared" si="588"/>
        <v>0</v>
      </c>
      <c r="DL487" s="16">
        <f t="shared" si="588"/>
        <v>0</v>
      </c>
      <c r="DM487" s="16">
        <f t="shared" si="588"/>
        <v>0</v>
      </c>
      <c r="DN487" s="16">
        <f t="shared" si="588"/>
        <v>0</v>
      </c>
      <c r="DO487" s="16">
        <f t="shared" si="588"/>
        <v>0</v>
      </c>
      <c r="DP487" s="137">
        <f t="shared" si="588"/>
        <v>0</v>
      </c>
      <c r="DQ487" s="16">
        <f t="shared" si="588"/>
        <v>-885.11</v>
      </c>
      <c r="DR487" s="16">
        <f t="shared" si="588"/>
        <v>0</v>
      </c>
      <c r="DS487" s="16">
        <f t="shared" si="588"/>
        <v>-54.24</v>
      </c>
      <c r="DT487" s="16">
        <f t="shared" si="589"/>
        <v>0</v>
      </c>
      <c r="DU487" s="16">
        <f t="shared" si="589"/>
        <v>0</v>
      </c>
      <c r="DV487" s="16">
        <f t="shared" si="589"/>
        <v>0</v>
      </c>
      <c r="DW487" s="16">
        <f t="shared" si="589"/>
        <v>0</v>
      </c>
      <c r="DX487" s="16">
        <f t="shared" si="589"/>
        <v>0</v>
      </c>
      <c r="DY487" s="16">
        <f t="shared" si="589"/>
        <v>0</v>
      </c>
      <c r="DZ487" s="16">
        <f t="shared" si="589"/>
        <v>0</v>
      </c>
      <c r="EA487" s="16">
        <f t="shared" si="589"/>
        <v>0</v>
      </c>
      <c r="EB487" s="16">
        <f t="shared" si="589"/>
        <v>0</v>
      </c>
      <c r="EC487" s="16">
        <f t="shared" si="589"/>
        <v>-2527.3000000000002</v>
      </c>
      <c r="ED487" s="16">
        <f t="shared" si="590"/>
        <v>0</v>
      </c>
      <c r="EE487" s="16">
        <f t="shared" si="590"/>
        <v>0</v>
      </c>
      <c r="EF487" s="16">
        <f t="shared" si="590"/>
        <v>0</v>
      </c>
      <c r="EG487" s="137">
        <f t="shared" si="590"/>
        <v>0</v>
      </c>
      <c r="EH487" s="16">
        <f t="shared" si="590"/>
        <v>0</v>
      </c>
      <c r="EI487" s="16">
        <f t="shared" si="590"/>
        <v>-1614.15</v>
      </c>
      <c r="EJ487" s="16">
        <f t="shared" si="590"/>
        <v>0</v>
      </c>
      <c r="EK487" s="16">
        <f t="shared" si="590"/>
        <v>-3466.65</v>
      </c>
      <c r="EL487" s="16">
        <f t="shared" si="590"/>
        <v>-1614.15</v>
      </c>
      <c r="EM487" s="21">
        <f t="shared" si="590"/>
        <v>36184.179999999993</v>
      </c>
      <c r="EN487" s="21"/>
      <c r="EO487" s="21"/>
      <c r="EP487" s="21"/>
      <c r="EQ487" s="21"/>
      <c r="ER487" s="21"/>
      <c r="ES487" s="152">
        <f t="shared" si="591"/>
        <v>0</v>
      </c>
      <c r="ET487" s="152">
        <f t="shared" si="591"/>
        <v>0</v>
      </c>
      <c r="EU487" s="152">
        <f t="shared" si="591"/>
        <v>0</v>
      </c>
      <c r="EV487" s="152">
        <f t="shared" si="591"/>
        <v>0</v>
      </c>
      <c r="EW487" s="152">
        <f t="shared" si="591"/>
        <v>0</v>
      </c>
      <c r="EX487" s="152">
        <f t="shared" si="591"/>
        <v>-8785.07</v>
      </c>
      <c r="EY487" s="152">
        <f t="shared" si="591"/>
        <v>0</v>
      </c>
      <c r="EZ487" s="152">
        <f t="shared" si="591"/>
        <v>0</v>
      </c>
      <c r="FA487" s="152">
        <f t="shared" si="591"/>
        <v>0</v>
      </c>
      <c r="FB487" s="152">
        <f t="shared" si="591"/>
        <v>0</v>
      </c>
      <c r="FC487" s="152">
        <f t="shared" si="592"/>
        <v>0</v>
      </c>
      <c r="FD487" s="152">
        <f t="shared" si="592"/>
        <v>0</v>
      </c>
      <c r="FE487" s="152">
        <f t="shared" si="592"/>
        <v>0</v>
      </c>
      <c r="FF487" s="152">
        <f t="shared" si="592"/>
        <v>0</v>
      </c>
      <c r="FG487" s="152">
        <f t="shared" si="592"/>
        <v>0</v>
      </c>
      <c r="FH487" s="152">
        <f t="shared" si="592"/>
        <v>0</v>
      </c>
      <c r="FI487" s="152">
        <f t="shared" si="592"/>
        <v>0</v>
      </c>
      <c r="FJ487" s="152">
        <f t="shared" si="592"/>
        <v>0</v>
      </c>
      <c r="FK487" s="152">
        <f t="shared" si="592"/>
        <v>-8785.07</v>
      </c>
      <c r="FL487" s="29"/>
    </row>
    <row r="488" spans="1:168" ht="13.5" thickBot="1" x14ac:dyDescent="0.25">
      <c r="N488" s="313" t="s">
        <v>228</v>
      </c>
      <c r="O488" s="314"/>
      <c r="P488" s="315"/>
      <c r="Q488" s="54"/>
      <c r="R488" s="22"/>
      <c r="S488" s="17">
        <f t="shared" si="579"/>
        <v>2794501</v>
      </c>
      <c r="T488" s="17">
        <f t="shared" si="579"/>
        <v>0</v>
      </c>
      <c r="U488" s="17">
        <f t="shared" si="579"/>
        <v>0</v>
      </c>
      <c r="V488" s="17">
        <f t="shared" si="579"/>
        <v>0</v>
      </c>
      <c r="W488" s="17">
        <f t="shared" si="579"/>
        <v>0</v>
      </c>
      <c r="X488" s="17">
        <f t="shared" si="579"/>
        <v>0</v>
      </c>
      <c r="Y488" s="17">
        <f t="shared" si="579"/>
        <v>0</v>
      </c>
      <c r="Z488" s="17">
        <f t="shared" si="579"/>
        <v>0</v>
      </c>
      <c r="AA488" s="17">
        <f t="shared" si="579"/>
        <v>0</v>
      </c>
      <c r="AB488" s="17">
        <f t="shared" si="579"/>
        <v>0</v>
      </c>
      <c r="AC488" s="17">
        <f t="shared" si="580"/>
        <v>0</v>
      </c>
      <c r="AD488" s="17">
        <f t="shared" si="580"/>
        <v>0</v>
      </c>
      <c r="AE488" s="17">
        <f t="shared" si="580"/>
        <v>0</v>
      </c>
      <c r="AF488" s="17">
        <f t="shared" si="580"/>
        <v>0</v>
      </c>
      <c r="AG488" s="17">
        <f t="shared" si="580"/>
        <v>0</v>
      </c>
      <c r="AH488" s="17">
        <f t="shared" si="580"/>
        <v>0</v>
      </c>
      <c r="AI488" s="17">
        <f t="shared" si="580"/>
        <v>0</v>
      </c>
      <c r="AJ488" s="17">
        <f t="shared" si="580"/>
        <v>0</v>
      </c>
      <c r="AK488" s="17">
        <f t="shared" si="580"/>
        <v>0</v>
      </c>
      <c r="AL488" s="17">
        <f t="shared" si="580"/>
        <v>0</v>
      </c>
      <c r="AM488" s="17">
        <f t="shared" si="581"/>
        <v>0</v>
      </c>
      <c r="AN488" s="17">
        <f t="shared" si="581"/>
        <v>0</v>
      </c>
      <c r="AO488" s="17">
        <f t="shared" si="581"/>
        <v>0</v>
      </c>
      <c r="AP488" s="17">
        <f t="shared" si="581"/>
        <v>-39154</v>
      </c>
      <c r="AQ488" s="17">
        <f t="shared" si="581"/>
        <v>0</v>
      </c>
      <c r="AR488" s="17">
        <f t="shared" si="581"/>
        <v>-39154</v>
      </c>
      <c r="AS488" s="17">
        <f t="shared" si="581"/>
        <v>0</v>
      </c>
      <c r="AT488" s="17">
        <f t="shared" si="581"/>
        <v>2859535.41</v>
      </c>
      <c r="AU488" s="169"/>
      <c r="AV488" s="17">
        <f t="shared" si="582"/>
        <v>26485</v>
      </c>
      <c r="AW488" s="17">
        <f t="shared" si="582"/>
        <v>667888</v>
      </c>
      <c r="AX488" s="17">
        <f t="shared" si="582"/>
        <v>0</v>
      </c>
      <c r="AY488" s="17">
        <f t="shared" si="582"/>
        <v>0</v>
      </c>
      <c r="AZ488" s="17">
        <f t="shared" si="582"/>
        <v>-35822</v>
      </c>
      <c r="BA488" s="17">
        <f t="shared" si="582"/>
        <v>0</v>
      </c>
      <c r="BB488" s="17">
        <f t="shared" si="582"/>
        <v>-74434</v>
      </c>
      <c r="BC488" s="17">
        <f t="shared" si="582"/>
        <v>0</v>
      </c>
      <c r="BD488" s="17">
        <f t="shared" si="582"/>
        <v>-277309</v>
      </c>
      <c r="BE488" s="17">
        <f t="shared" si="582"/>
        <v>0</v>
      </c>
      <c r="BF488" s="17">
        <f t="shared" si="583"/>
        <v>-393858</v>
      </c>
      <c r="BG488" s="17">
        <f t="shared" si="583"/>
        <v>0</v>
      </c>
      <c r="BH488" s="17">
        <f t="shared" si="583"/>
        <v>-111658</v>
      </c>
      <c r="BI488" s="17">
        <f t="shared" si="583"/>
        <v>0</v>
      </c>
      <c r="BJ488" s="17">
        <f t="shared" si="583"/>
        <v>-59853</v>
      </c>
      <c r="BK488" s="17">
        <f t="shared" si="583"/>
        <v>0</v>
      </c>
      <c r="BL488" s="17">
        <f t="shared" si="583"/>
        <v>-253552</v>
      </c>
      <c r="BM488" s="17">
        <f t="shared" si="583"/>
        <v>0</v>
      </c>
      <c r="BN488" s="17">
        <f t="shared" si="583"/>
        <v>-90639</v>
      </c>
      <c r="BO488" s="17">
        <f t="shared" si="583"/>
        <v>0</v>
      </c>
      <c r="BP488" s="17">
        <f t="shared" si="584"/>
        <v>-155760</v>
      </c>
      <c r="BQ488" s="17">
        <f t="shared" si="584"/>
        <v>0</v>
      </c>
      <c r="BR488" s="17">
        <f t="shared" si="584"/>
        <v>-98298.030000000013</v>
      </c>
      <c r="BS488" s="17">
        <f t="shared" si="584"/>
        <v>0</v>
      </c>
      <c r="BT488" s="17">
        <f t="shared" si="584"/>
        <v>-142356</v>
      </c>
      <c r="BU488" s="17">
        <f t="shared" si="584"/>
        <v>0</v>
      </c>
      <c r="BV488" s="17">
        <f t="shared" si="584"/>
        <v>-1693539.03</v>
      </c>
      <c r="BW488" s="17">
        <f t="shared" si="584"/>
        <v>0</v>
      </c>
      <c r="BX488" s="23">
        <f t="shared" si="584"/>
        <v>1860369.3800000001</v>
      </c>
      <c r="BY488" s="169"/>
      <c r="BZ488" s="17">
        <f t="shared" si="569"/>
        <v>285000</v>
      </c>
      <c r="CA488" s="17">
        <f t="shared" si="569"/>
        <v>554685</v>
      </c>
      <c r="CB488" s="169"/>
      <c r="CC488" s="17">
        <f t="shared" si="585"/>
        <v>64352.455799999996</v>
      </c>
      <c r="CD488" s="17">
        <f t="shared" si="585"/>
        <v>-77199.58</v>
      </c>
      <c r="CE488" s="17">
        <f t="shared" si="585"/>
        <v>0</v>
      </c>
      <c r="CF488" s="17">
        <f t="shared" si="585"/>
        <v>0</v>
      </c>
      <c r="CG488" s="17">
        <f t="shared" si="585"/>
        <v>-141471.02999999997</v>
      </c>
      <c r="CH488" s="17">
        <f t="shared" si="585"/>
        <v>-300929.15000000002</v>
      </c>
      <c r="CI488" s="17">
        <f t="shared" si="585"/>
        <v>0</v>
      </c>
      <c r="CJ488" s="17">
        <f t="shared" si="585"/>
        <v>-343077.71</v>
      </c>
      <c r="CK488" s="17">
        <f t="shared" si="585"/>
        <v>0</v>
      </c>
      <c r="CL488" s="17">
        <f t="shared" si="585"/>
        <v>0</v>
      </c>
      <c r="CM488" s="17">
        <f t="shared" si="586"/>
        <v>0</v>
      </c>
      <c r="CN488" s="17">
        <f t="shared" si="586"/>
        <v>-335988.96000000008</v>
      </c>
      <c r="CO488" s="17">
        <f t="shared" si="586"/>
        <v>0</v>
      </c>
      <c r="CP488" s="17">
        <f t="shared" si="586"/>
        <v>-98505.59</v>
      </c>
      <c r="CQ488" s="17">
        <f t="shared" si="586"/>
        <v>0</v>
      </c>
      <c r="CR488" s="17">
        <f t="shared" si="586"/>
        <v>-51994.630000000005</v>
      </c>
      <c r="CS488" s="17">
        <f t="shared" si="586"/>
        <v>0</v>
      </c>
      <c r="CT488" s="17">
        <f t="shared" si="586"/>
        <v>-64324.15</v>
      </c>
      <c r="CU488" s="17">
        <f t="shared" si="586"/>
        <v>0</v>
      </c>
      <c r="CV488" s="17">
        <f t="shared" si="586"/>
        <v>-74796.03</v>
      </c>
      <c r="CW488" s="17">
        <f t="shared" si="587"/>
        <v>0</v>
      </c>
      <c r="CX488" s="17">
        <f t="shared" si="587"/>
        <v>-30628.239999999998</v>
      </c>
      <c r="CY488" s="17">
        <f t="shared" si="587"/>
        <v>0</v>
      </c>
      <c r="CZ488" s="17">
        <f t="shared" si="587"/>
        <v>-71187.820000000007</v>
      </c>
      <c r="DA488" s="17">
        <f t="shared" si="587"/>
        <v>0</v>
      </c>
      <c r="DB488" s="17">
        <f t="shared" si="587"/>
        <v>-77199.58</v>
      </c>
      <c r="DC488" s="17">
        <f t="shared" si="587"/>
        <v>-1512903.3099999996</v>
      </c>
      <c r="DD488" s="17">
        <f t="shared" si="587"/>
        <v>0</v>
      </c>
      <c r="DE488" s="23">
        <f t="shared" si="587"/>
        <v>1174303.9457999999</v>
      </c>
      <c r="DF488" s="169"/>
      <c r="DG488" s="17">
        <f t="shared" si="573"/>
        <v>858452.03009999997</v>
      </c>
      <c r="DH488" s="17">
        <f t="shared" si="573"/>
        <v>45226</v>
      </c>
      <c r="DI488" s="169"/>
      <c r="DJ488" s="17">
        <f t="shared" si="588"/>
        <v>30000</v>
      </c>
      <c r="DK488" s="17">
        <f t="shared" si="588"/>
        <v>-30465.91</v>
      </c>
      <c r="DL488" s="17">
        <f t="shared" si="588"/>
        <v>0</v>
      </c>
      <c r="DM488" s="17">
        <f t="shared" si="588"/>
        <v>-50685.39</v>
      </c>
      <c r="DN488" s="17">
        <f t="shared" si="588"/>
        <v>0</v>
      </c>
      <c r="DO488" s="17">
        <f t="shared" si="588"/>
        <v>0</v>
      </c>
      <c r="DP488" s="138">
        <f t="shared" si="588"/>
        <v>-78411.94</v>
      </c>
      <c r="DQ488" s="17">
        <f t="shared" si="588"/>
        <v>-26767.530000000002</v>
      </c>
      <c r="DR488" s="17">
        <f t="shared" si="588"/>
        <v>-77556.08</v>
      </c>
      <c r="DS488" s="17">
        <f t="shared" si="588"/>
        <v>-102169.97</v>
      </c>
      <c r="DT488" s="17">
        <f t="shared" si="589"/>
        <v>0</v>
      </c>
      <c r="DU488" s="17">
        <f t="shared" si="589"/>
        <v>-92954.749999999985</v>
      </c>
      <c r="DV488" s="17">
        <f t="shared" si="589"/>
        <v>0</v>
      </c>
      <c r="DW488" s="17">
        <f t="shared" si="589"/>
        <v>-44971.61</v>
      </c>
      <c r="DX488" s="17">
        <f t="shared" si="589"/>
        <v>0</v>
      </c>
      <c r="DY488" s="17">
        <f t="shared" si="589"/>
        <v>-52278.689999999995</v>
      </c>
      <c r="DZ488" s="17">
        <f t="shared" si="589"/>
        <v>0</v>
      </c>
      <c r="EA488" s="17">
        <f t="shared" si="589"/>
        <v>-33406.560000000005</v>
      </c>
      <c r="EB488" s="17">
        <f t="shared" si="589"/>
        <v>0</v>
      </c>
      <c r="EC488" s="17">
        <f t="shared" si="589"/>
        <v>-14605.54</v>
      </c>
      <c r="ED488" s="17">
        <f t="shared" si="590"/>
        <v>0</v>
      </c>
      <c r="EE488" s="17">
        <f t="shared" si="590"/>
        <v>-67497.23</v>
      </c>
      <c r="EF488" s="17">
        <f t="shared" si="590"/>
        <v>77556.08</v>
      </c>
      <c r="EG488" s="138">
        <f t="shared" si="590"/>
        <v>-77556.08</v>
      </c>
      <c r="EH488" s="17">
        <f t="shared" si="590"/>
        <v>-23491.599999999999</v>
      </c>
      <c r="EI488" s="17">
        <f t="shared" si="590"/>
        <v>-23302.79</v>
      </c>
      <c r="EJ488" s="17">
        <f t="shared" si="590"/>
        <v>-155968.02000000002</v>
      </c>
      <c r="EK488" s="17">
        <f t="shared" si="590"/>
        <v>-539294.77999999991</v>
      </c>
      <c r="EL488" s="17">
        <f t="shared" si="590"/>
        <v>-23302.79</v>
      </c>
      <c r="EM488" s="23">
        <f t="shared" si="590"/>
        <v>1389416.3858999999</v>
      </c>
      <c r="EN488" s="23"/>
      <c r="EO488" s="23"/>
      <c r="EP488" s="23"/>
      <c r="EQ488" s="23"/>
      <c r="ER488" s="23"/>
      <c r="ES488" s="153">
        <f t="shared" si="591"/>
        <v>-176680.64999999997</v>
      </c>
      <c r="ET488" s="153">
        <f t="shared" si="591"/>
        <v>-55170.68</v>
      </c>
      <c r="EU488" s="153">
        <f t="shared" si="591"/>
        <v>-40498.600000000006</v>
      </c>
      <c r="EV488" s="153">
        <f t="shared" si="591"/>
        <v>10645.6</v>
      </c>
      <c r="EW488" s="153">
        <f t="shared" si="591"/>
        <v>-32624.769999999997</v>
      </c>
      <c r="EX488" s="153">
        <f t="shared" si="591"/>
        <v>-174068.28000000003</v>
      </c>
      <c r="EY488" s="153">
        <f t="shared" si="591"/>
        <v>-10331.030000000001</v>
      </c>
      <c r="EZ488" s="153">
        <f t="shared" si="591"/>
        <v>-10645.6</v>
      </c>
      <c r="FA488" s="153">
        <f t="shared" si="591"/>
        <v>0</v>
      </c>
      <c r="FB488" s="153">
        <f t="shared" si="591"/>
        <v>10645.6</v>
      </c>
      <c r="FC488" s="153">
        <f t="shared" si="592"/>
        <v>-91027.58</v>
      </c>
      <c r="FD488" s="153">
        <f t="shared" si="592"/>
        <v>-23835.54</v>
      </c>
      <c r="FE488" s="153">
        <f t="shared" si="592"/>
        <v>-22440.460000000003</v>
      </c>
      <c r="FF488" s="153">
        <f t="shared" si="592"/>
        <v>0</v>
      </c>
      <c r="FG488" s="153">
        <f t="shared" si="592"/>
        <v>0</v>
      </c>
      <c r="FH488" s="153">
        <f t="shared" si="592"/>
        <v>0</v>
      </c>
      <c r="FI488" s="153">
        <f t="shared" si="592"/>
        <v>0</v>
      </c>
      <c r="FJ488" s="153">
        <f t="shared" si="592"/>
        <v>0</v>
      </c>
      <c r="FK488" s="153">
        <f t="shared" si="592"/>
        <v>-616031.99</v>
      </c>
      <c r="FL488" s="29"/>
    </row>
    <row r="489" spans="1:168" x14ac:dyDescent="0.2">
      <c r="AV489" s="79"/>
      <c r="DP489" s="131"/>
    </row>
    <row r="490" spans="1:168" ht="13.5" thickBot="1" x14ac:dyDescent="0.25">
      <c r="S490" s="15">
        <f t="shared" ref="S490:AT490" si="593">SUM(S465:S488)</f>
        <v>6288047</v>
      </c>
      <c r="T490" s="15">
        <f t="shared" si="593"/>
        <v>0</v>
      </c>
      <c r="U490" s="15">
        <f t="shared" si="593"/>
        <v>0</v>
      </c>
      <c r="V490" s="15">
        <f t="shared" si="593"/>
        <v>0</v>
      </c>
      <c r="W490" s="15">
        <f t="shared" si="593"/>
        <v>0</v>
      </c>
      <c r="X490" s="15">
        <f t="shared" si="593"/>
        <v>0</v>
      </c>
      <c r="Y490" s="15">
        <f t="shared" si="593"/>
        <v>0</v>
      </c>
      <c r="Z490" s="15">
        <f t="shared" si="593"/>
        <v>0</v>
      </c>
      <c r="AA490" s="15">
        <f t="shared" si="593"/>
        <v>0</v>
      </c>
      <c r="AB490" s="15">
        <f t="shared" si="593"/>
        <v>0</v>
      </c>
      <c r="AC490" s="15">
        <f t="shared" si="593"/>
        <v>0</v>
      </c>
      <c r="AD490" s="15">
        <f t="shared" si="593"/>
        <v>0</v>
      </c>
      <c r="AE490" s="15">
        <f t="shared" si="593"/>
        <v>0</v>
      </c>
      <c r="AF490" s="15">
        <f t="shared" si="593"/>
        <v>0</v>
      </c>
      <c r="AG490" s="15">
        <f t="shared" si="593"/>
        <v>0</v>
      </c>
      <c r="AH490" s="15">
        <f t="shared" si="593"/>
        <v>0</v>
      </c>
      <c r="AI490" s="15">
        <f t="shared" si="593"/>
        <v>0</v>
      </c>
      <c r="AJ490" s="15">
        <f t="shared" si="593"/>
        <v>0</v>
      </c>
      <c r="AK490" s="15">
        <f t="shared" si="593"/>
        <v>0</v>
      </c>
      <c r="AL490" s="15">
        <f t="shared" si="593"/>
        <v>-130038</v>
      </c>
      <c r="AM490" s="15">
        <f t="shared" si="593"/>
        <v>0</v>
      </c>
      <c r="AN490" s="15">
        <f t="shared" si="593"/>
        <v>-89800</v>
      </c>
      <c r="AO490" s="15">
        <f t="shared" si="593"/>
        <v>0</v>
      </c>
      <c r="AP490" s="15">
        <f t="shared" si="593"/>
        <v>-122380</v>
      </c>
      <c r="AQ490" s="15">
        <f t="shared" si="593"/>
        <v>0</v>
      </c>
      <c r="AR490" s="15">
        <f t="shared" si="593"/>
        <v>-342218</v>
      </c>
      <c r="AS490" s="15">
        <f t="shared" si="593"/>
        <v>0</v>
      </c>
      <c r="AT490" s="15">
        <f t="shared" si="593"/>
        <v>6050017.4100000001</v>
      </c>
      <c r="AU490" s="159"/>
      <c r="AV490" s="15">
        <f t="shared" ref="AV490:BX490" si="594">SUM(AV465:AV488)</f>
        <v>3730196</v>
      </c>
      <c r="AW490" s="15">
        <f t="shared" si="594"/>
        <v>7661323.6270000003</v>
      </c>
      <c r="AX490" s="15">
        <f t="shared" si="594"/>
        <v>-103416</v>
      </c>
      <c r="AY490" s="15">
        <f t="shared" si="594"/>
        <v>0</v>
      </c>
      <c r="AZ490" s="15">
        <f t="shared" si="594"/>
        <v>-196010</v>
      </c>
      <c r="BA490" s="15">
        <f t="shared" si="594"/>
        <v>0</v>
      </c>
      <c r="BB490" s="15">
        <f t="shared" si="594"/>
        <v>-228545</v>
      </c>
      <c r="BC490" s="15">
        <f t="shared" si="594"/>
        <v>0</v>
      </c>
      <c r="BD490" s="15">
        <f t="shared" si="594"/>
        <v>-633693</v>
      </c>
      <c r="BE490" s="15">
        <f t="shared" si="594"/>
        <v>0</v>
      </c>
      <c r="BF490" s="15">
        <f t="shared" si="594"/>
        <v>-638215</v>
      </c>
      <c r="BG490" s="15">
        <f t="shared" si="594"/>
        <v>0</v>
      </c>
      <c r="BH490" s="15">
        <f t="shared" si="594"/>
        <v>-348436</v>
      </c>
      <c r="BI490" s="15">
        <f t="shared" si="594"/>
        <v>0</v>
      </c>
      <c r="BJ490" s="15">
        <f t="shared" si="594"/>
        <v>-472948</v>
      </c>
      <c r="BK490" s="15">
        <f t="shared" si="594"/>
        <v>0</v>
      </c>
      <c r="BL490" s="15">
        <f t="shared" si="594"/>
        <v>-561805</v>
      </c>
      <c r="BM490" s="15">
        <f t="shared" si="594"/>
        <v>0</v>
      </c>
      <c r="BN490" s="15">
        <f t="shared" si="594"/>
        <v>-335935</v>
      </c>
      <c r="BO490" s="15">
        <f t="shared" si="594"/>
        <v>0</v>
      </c>
      <c r="BP490" s="15">
        <f t="shared" si="594"/>
        <v>-1028850</v>
      </c>
      <c r="BQ490" s="15">
        <f t="shared" si="594"/>
        <v>0</v>
      </c>
      <c r="BR490" s="15">
        <f t="shared" si="594"/>
        <v>-530100.67000000004</v>
      </c>
      <c r="BS490" s="15">
        <f t="shared" si="594"/>
        <v>0</v>
      </c>
      <c r="BT490" s="15">
        <f t="shared" si="594"/>
        <v>-822982.54</v>
      </c>
      <c r="BU490" s="15">
        <f t="shared" si="594"/>
        <v>0</v>
      </c>
      <c r="BV490" s="15">
        <f t="shared" si="594"/>
        <v>-5900936.21</v>
      </c>
      <c r="BW490" s="15">
        <f t="shared" si="594"/>
        <v>0</v>
      </c>
      <c r="BX490" s="15">
        <f t="shared" si="594"/>
        <v>11540600.827000001</v>
      </c>
      <c r="BY490" s="159"/>
      <c r="BZ490" s="15">
        <f t="shared" ref="BZ490:DE490" si="595">SUM(BZ465:BZ488)</f>
        <v>3057637</v>
      </c>
      <c r="CA490" s="15">
        <f t="shared" si="595"/>
        <v>7214614</v>
      </c>
      <c r="CB490" s="29"/>
      <c r="CC490" s="15">
        <f t="shared" si="595"/>
        <v>1342923.8993804301</v>
      </c>
      <c r="CD490" s="15">
        <f t="shared" si="595"/>
        <v>-740250.39</v>
      </c>
      <c r="CE490" s="15">
        <f t="shared" si="595"/>
        <v>0</v>
      </c>
      <c r="CF490" s="15">
        <f t="shared" si="595"/>
        <v>-203157.4</v>
      </c>
      <c r="CG490" s="15">
        <f t="shared" si="595"/>
        <v>-295930.07999999996</v>
      </c>
      <c r="CH490" s="15">
        <f t="shared" si="595"/>
        <v>-581187.32000000007</v>
      </c>
      <c r="CI490" s="15">
        <f t="shared" si="595"/>
        <v>0</v>
      </c>
      <c r="CJ490" s="15">
        <f t="shared" si="595"/>
        <v>-1012910.5700000001</v>
      </c>
      <c r="CK490" s="15">
        <f t="shared" si="595"/>
        <v>0</v>
      </c>
      <c r="CL490" s="15">
        <f t="shared" si="595"/>
        <v>-1093598.8699999999</v>
      </c>
      <c r="CM490" s="15">
        <f t="shared" si="595"/>
        <v>0</v>
      </c>
      <c r="CN490" s="15">
        <f t="shared" si="595"/>
        <v>-602427.9800000001</v>
      </c>
      <c r="CO490" s="15">
        <f t="shared" si="595"/>
        <v>0</v>
      </c>
      <c r="CP490" s="15">
        <f t="shared" si="595"/>
        <v>-951224.62000000011</v>
      </c>
      <c r="CQ490" s="15">
        <f t="shared" si="595"/>
        <v>0</v>
      </c>
      <c r="CR490" s="15">
        <f t="shared" si="595"/>
        <v>-440830.28</v>
      </c>
      <c r="CS490" s="15">
        <f t="shared" si="595"/>
        <v>0</v>
      </c>
      <c r="CT490" s="15">
        <f t="shared" si="595"/>
        <v>-949436.14</v>
      </c>
      <c r="CU490" s="15">
        <f t="shared" si="595"/>
        <v>0</v>
      </c>
      <c r="CV490" s="15">
        <f t="shared" si="595"/>
        <v>-1289829.4300000002</v>
      </c>
      <c r="CW490" s="15">
        <f t="shared" si="595"/>
        <v>0</v>
      </c>
      <c r="CX490" s="15">
        <f t="shared" si="595"/>
        <v>-428075.19000000006</v>
      </c>
      <c r="CY490" s="15">
        <f t="shared" si="595"/>
        <v>0</v>
      </c>
      <c r="CZ490" s="15">
        <f t="shared" si="595"/>
        <v>-734918.96</v>
      </c>
      <c r="DA490" s="15">
        <f t="shared" si="595"/>
        <v>0</v>
      </c>
      <c r="DB490" s="15">
        <f t="shared" si="595"/>
        <v>-943407.78999999992</v>
      </c>
      <c r="DC490" s="15">
        <f t="shared" si="595"/>
        <v>-8380369.4399999985</v>
      </c>
      <c r="DD490" s="15">
        <f t="shared" si="595"/>
        <v>0</v>
      </c>
      <c r="DE490" s="15">
        <f t="shared" si="595"/>
        <v>13831998.496380433</v>
      </c>
      <c r="DF490" s="159"/>
      <c r="DG490" s="15">
        <f t="shared" ref="DG490:DH490" si="596">SUM(DG465:DG488)</f>
        <v>5963180.9967999998</v>
      </c>
      <c r="DH490" s="15">
        <f t="shared" si="596"/>
        <v>2379432.3555999999</v>
      </c>
      <c r="DI490" s="29"/>
      <c r="DJ490" s="15">
        <f t="shared" ref="DJ490:EM490" si="597">SUM(DJ465:DJ488)</f>
        <v>1449502</v>
      </c>
      <c r="DK490" s="15">
        <f t="shared" si="597"/>
        <v>-475842.35930000001</v>
      </c>
      <c r="DL490" s="15">
        <f t="shared" si="597"/>
        <v>0</v>
      </c>
      <c r="DM490" s="15">
        <f t="shared" si="597"/>
        <v>-360289.76</v>
      </c>
      <c r="DN490" s="15">
        <f t="shared" si="597"/>
        <v>0</v>
      </c>
      <c r="DO490" s="15">
        <f t="shared" si="597"/>
        <v>-28254</v>
      </c>
      <c r="DP490" s="135">
        <f t="shared" si="597"/>
        <v>-1150752.73</v>
      </c>
      <c r="DQ490" s="15">
        <f t="shared" si="597"/>
        <v>-399446.32999999996</v>
      </c>
      <c r="DR490" s="15">
        <f t="shared" si="597"/>
        <v>-822604.75</v>
      </c>
      <c r="DS490" s="15">
        <f t="shared" si="597"/>
        <v>-1039336.39</v>
      </c>
      <c r="DT490" s="15">
        <f t="shared" si="597"/>
        <v>0</v>
      </c>
      <c r="DU490" s="15">
        <f t="shared" si="597"/>
        <v>-1103734.53</v>
      </c>
      <c r="DV490" s="15">
        <f t="shared" si="597"/>
        <v>0</v>
      </c>
      <c r="DW490" s="15">
        <f t="shared" si="597"/>
        <v>-292801.34980000003</v>
      </c>
      <c r="DX490" s="15">
        <f t="shared" si="597"/>
        <v>0</v>
      </c>
      <c r="DY490" s="15">
        <f t="shared" si="597"/>
        <v>-1348001.5299999996</v>
      </c>
      <c r="DZ490" s="15">
        <f t="shared" si="597"/>
        <v>0</v>
      </c>
      <c r="EA490" s="15">
        <f t="shared" si="597"/>
        <v>-673118.4</v>
      </c>
      <c r="EB490" s="15">
        <f t="shared" si="597"/>
        <v>0</v>
      </c>
      <c r="EC490" s="15">
        <f t="shared" si="597"/>
        <v>-413897.05</v>
      </c>
      <c r="ED490" s="15">
        <f t="shared" si="597"/>
        <v>0</v>
      </c>
      <c r="EE490" s="15">
        <f t="shared" si="597"/>
        <v>-475584.62</v>
      </c>
      <c r="EF490" s="15">
        <f t="shared" ref="EF490" si="598">SUM(EF465:EF488)</f>
        <v>822604.75</v>
      </c>
      <c r="EG490" s="135">
        <f t="shared" si="597"/>
        <v>-968269.45000000007</v>
      </c>
      <c r="EH490" s="15">
        <f t="shared" si="597"/>
        <v>-608415.1</v>
      </c>
      <c r="EI490" s="15">
        <f t="shared" si="597"/>
        <v>-552724.08999999973</v>
      </c>
      <c r="EJ490" s="15">
        <f t="shared" si="597"/>
        <v>-2119022.1800000002</v>
      </c>
      <c r="EK490" s="15">
        <f t="shared" ref="EK490" si="599">SUM(EK465:EK488)</f>
        <v>-7214333.9191000005</v>
      </c>
      <c r="EL490" s="15">
        <f t="shared" si="597"/>
        <v>-552724.08999999973</v>
      </c>
      <c r="EM490" s="15">
        <f t="shared" si="597"/>
        <v>13738033.659680428</v>
      </c>
      <c r="EN490" s="15"/>
      <c r="EO490" s="15"/>
      <c r="EP490" s="15"/>
      <c r="EQ490" s="15"/>
      <c r="ER490" s="15"/>
      <c r="ES490" s="171">
        <f t="shared" ref="ES490:FH490" si="600">SUM(ES465:ES488)</f>
        <v>-1775630.64</v>
      </c>
      <c r="ET490" s="171">
        <f t="shared" si="600"/>
        <v>-137489.74</v>
      </c>
      <c r="EU490" s="171">
        <f t="shared" si="600"/>
        <v>-566704.16999999993</v>
      </c>
      <c r="EV490" s="171">
        <f t="shared" ref="EV490" si="601">SUM(EV465:EV488)</f>
        <v>10715.6</v>
      </c>
      <c r="EW490" s="171">
        <f t="shared" si="600"/>
        <v>-402266.96</v>
      </c>
      <c r="EX490" s="171">
        <f t="shared" si="600"/>
        <v>-2174472.92</v>
      </c>
      <c r="EY490" s="171">
        <f t="shared" si="600"/>
        <v>-252375.66999999998</v>
      </c>
      <c r="EZ490" s="171">
        <f t="shared" ref="EZ490:FB490" si="602">SUM(EZ465:EZ488)</f>
        <v>-10715.6</v>
      </c>
      <c r="FA490" s="171">
        <f t="shared" si="602"/>
        <v>-54743</v>
      </c>
      <c r="FB490" s="150">
        <f t="shared" si="602"/>
        <v>65458.6</v>
      </c>
      <c r="FC490" s="150">
        <f t="shared" si="600"/>
        <v>-255233.07</v>
      </c>
      <c r="FD490" s="150">
        <f t="shared" si="600"/>
        <v>-289966.25</v>
      </c>
      <c r="FE490" s="150">
        <f t="shared" si="600"/>
        <v>-277267.03000000003</v>
      </c>
      <c r="FF490" s="150">
        <f t="shared" si="600"/>
        <v>0</v>
      </c>
      <c r="FG490" s="150">
        <f t="shared" si="600"/>
        <v>0</v>
      </c>
      <c r="FH490" s="150">
        <f t="shared" si="600"/>
        <v>0</v>
      </c>
      <c r="FI490" s="150">
        <f t="shared" ref="FI490:FK490" si="603">SUM(FI465:FI488)</f>
        <v>0</v>
      </c>
      <c r="FJ490" s="150">
        <f t="shared" ref="FJ490" si="604">SUM(FJ465:FJ488)</f>
        <v>-54743</v>
      </c>
      <c r="FK490" s="150">
        <f t="shared" si="603"/>
        <v>-6065947.8500000006</v>
      </c>
      <c r="FL490" s="29"/>
    </row>
    <row r="491" spans="1:168" ht="13.5" thickTop="1" x14ac:dyDescent="0.2"/>
    <row r="492" spans="1:168" x14ac:dyDescent="0.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S492" s="79">
        <f t="shared" ref="S492:AT492" si="605">S461-S490</f>
        <v>0</v>
      </c>
      <c r="T492" s="79">
        <f t="shared" si="605"/>
        <v>0</v>
      </c>
      <c r="U492" s="79">
        <f t="shared" si="605"/>
        <v>0</v>
      </c>
      <c r="V492" s="79">
        <f t="shared" si="605"/>
        <v>0</v>
      </c>
      <c r="W492" s="79">
        <f t="shared" si="605"/>
        <v>0</v>
      </c>
      <c r="X492" s="79">
        <f t="shared" si="605"/>
        <v>0</v>
      </c>
      <c r="Y492" s="79">
        <f t="shared" si="605"/>
        <v>0</v>
      </c>
      <c r="Z492" s="79">
        <f t="shared" si="605"/>
        <v>0</v>
      </c>
      <c r="AA492" s="79">
        <f t="shared" si="605"/>
        <v>0</v>
      </c>
      <c r="AB492" s="79">
        <f t="shared" si="605"/>
        <v>0</v>
      </c>
      <c r="AC492" s="79">
        <f t="shared" si="605"/>
        <v>0</v>
      </c>
      <c r="AD492" s="79">
        <f t="shared" si="605"/>
        <v>0</v>
      </c>
      <c r="AE492" s="79">
        <f t="shared" si="605"/>
        <v>0</v>
      </c>
      <c r="AF492" s="79">
        <f t="shared" si="605"/>
        <v>0</v>
      </c>
      <c r="AG492" s="79">
        <f t="shared" si="605"/>
        <v>0</v>
      </c>
      <c r="AH492" s="79">
        <f t="shared" si="605"/>
        <v>0</v>
      </c>
      <c r="AI492" s="79">
        <f t="shared" si="605"/>
        <v>0</v>
      </c>
      <c r="AJ492" s="79">
        <f t="shared" si="605"/>
        <v>0</v>
      </c>
      <c r="AK492" s="79">
        <f t="shared" si="605"/>
        <v>0</v>
      </c>
      <c r="AL492" s="79">
        <f t="shared" si="605"/>
        <v>0</v>
      </c>
      <c r="AM492" s="79">
        <f t="shared" si="605"/>
        <v>0</v>
      </c>
      <c r="AN492" s="79">
        <f t="shared" si="605"/>
        <v>0</v>
      </c>
      <c r="AO492" s="79">
        <f t="shared" si="605"/>
        <v>0</v>
      </c>
      <c r="AP492" s="79">
        <f t="shared" si="605"/>
        <v>0</v>
      </c>
      <c r="AQ492" s="79">
        <f t="shared" si="605"/>
        <v>0</v>
      </c>
      <c r="AR492" s="79">
        <f t="shared" si="605"/>
        <v>0</v>
      </c>
      <c r="AS492" s="79">
        <f t="shared" si="605"/>
        <v>0</v>
      </c>
      <c r="AT492" s="79">
        <f t="shared" si="605"/>
        <v>0</v>
      </c>
      <c r="AW492" s="79">
        <f t="shared" ref="AW492:BX492" si="606">AW461-AW490</f>
        <v>0</v>
      </c>
      <c r="AX492" s="79">
        <f t="shared" si="606"/>
        <v>0</v>
      </c>
      <c r="AY492" s="79">
        <f t="shared" si="606"/>
        <v>0</v>
      </c>
      <c r="AZ492" s="79">
        <f t="shared" si="606"/>
        <v>0</v>
      </c>
      <c r="BA492" s="79">
        <f t="shared" si="606"/>
        <v>0</v>
      </c>
      <c r="BB492" s="79">
        <f t="shared" si="606"/>
        <v>0</v>
      </c>
      <c r="BC492" s="79">
        <f t="shared" si="606"/>
        <v>0</v>
      </c>
      <c r="BD492" s="79">
        <f t="shared" si="606"/>
        <v>0</v>
      </c>
      <c r="BE492" s="79">
        <f t="shared" si="606"/>
        <v>0</v>
      </c>
      <c r="BF492" s="79">
        <f t="shared" si="606"/>
        <v>0</v>
      </c>
      <c r="BG492" s="79">
        <f t="shared" si="606"/>
        <v>0</v>
      </c>
      <c r="BH492" s="79">
        <f t="shared" si="606"/>
        <v>0</v>
      </c>
      <c r="BI492" s="79">
        <f t="shared" si="606"/>
        <v>0</v>
      </c>
      <c r="BJ492" s="79">
        <f t="shared" si="606"/>
        <v>0</v>
      </c>
      <c r="BK492" s="79">
        <f t="shared" si="606"/>
        <v>0</v>
      </c>
      <c r="BL492" s="79">
        <f t="shared" si="606"/>
        <v>0</v>
      </c>
      <c r="BM492" s="79">
        <f t="shared" si="606"/>
        <v>0</v>
      </c>
      <c r="BN492" s="79">
        <f t="shared" si="606"/>
        <v>0</v>
      </c>
      <c r="BO492" s="79">
        <f t="shared" si="606"/>
        <v>0</v>
      </c>
      <c r="BP492" s="79">
        <f t="shared" si="606"/>
        <v>0</v>
      </c>
      <c r="BQ492" s="79">
        <f t="shared" si="606"/>
        <v>0</v>
      </c>
      <c r="BR492" s="79">
        <f t="shared" si="606"/>
        <v>0</v>
      </c>
      <c r="BS492" s="79">
        <f t="shared" si="606"/>
        <v>0</v>
      </c>
      <c r="BT492" s="79">
        <f t="shared" si="606"/>
        <v>0</v>
      </c>
      <c r="BU492" s="79">
        <f t="shared" si="606"/>
        <v>0</v>
      </c>
      <c r="BV492" s="79">
        <f t="shared" si="606"/>
        <v>0</v>
      </c>
      <c r="BW492" s="79">
        <f t="shared" si="606"/>
        <v>0</v>
      </c>
      <c r="BX492" s="79">
        <f t="shared" si="606"/>
        <v>0</v>
      </c>
      <c r="CA492" s="79">
        <f>CA461-CA490</f>
        <v>0</v>
      </c>
      <c r="CD492" s="79">
        <f t="shared" ref="CD492:DD492" si="607">CD461-CD490</f>
        <v>0</v>
      </c>
      <c r="CE492" s="79">
        <f t="shared" si="607"/>
        <v>0</v>
      </c>
      <c r="CF492" s="79">
        <f t="shared" si="607"/>
        <v>0</v>
      </c>
      <c r="CG492" s="79">
        <f t="shared" si="607"/>
        <v>0</v>
      </c>
      <c r="CH492" s="79">
        <f t="shared" si="607"/>
        <v>0</v>
      </c>
      <c r="CI492" s="79">
        <f t="shared" si="607"/>
        <v>0</v>
      </c>
      <c r="CJ492" s="79">
        <f t="shared" si="607"/>
        <v>0</v>
      </c>
      <c r="CK492" s="79">
        <f t="shared" si="607"/>
        <v>0</v>
      </c>
      <c r="CL492" s="79">
        <f t="shared" si="607"/>
        <v>0</v>
      </c>
      <c r="CM492" s="79">
        <f t="shared" si="607"/>
        <v>0</v>
      </c>
      <c r="CN492" s="79">
        <f t="shared" si="607"/>
        <v>0</v>
      </c>
      <c r="CO492" s="79">
        <f t="shared" si="607"/>
        <v>0</v>
      </c>
      <c r="CP492" s="79">
        <f t="shared" si="607"/>
        <v>0</v>
      </c>
      <c r="CQ492" s="79">
        <f t="shared" si="607"/>
        <v>0</v>
      </c>
      <c r="CR492" s="79">
        <f t="shared" si="607"/>
        <v>0</v>
      </c>
      <c r="CS492" s="79">
        <f t="shared" si="607"/>
        <v>0</v>
      </c>
      <c r="CT492" s="79">
        <f t="shared" si="607"/>
        <v>0</v>
      </c>
      <c r="CU492" s="79">
        <f t="shared" si="607"/>
        <v>0</v>
      </c>
      <c r="CV492" s="79">
        <f t="shared" si="607"/>
        <v>0</v>
      </c>
      <c r="CW492" s="79">
        <f t="shared" si="607"/>
        <v>0</v>
      </c>
      <c r="CX492" s="79">
        <f t="shared" si="607"/>
        <v>0</v>
      </c>
      <c r="CY492" s="79">
        <f t="shared" si="607"/>
        <v>0</v>
      </c>
      <c r="CZ492" s="79">
        <f t="shared" si="607"/>
        <v>0</v>
      </c>
      <c r="DA492" s="79">
        <f t="shared" si="607"/>
        <v>0</v>
      </c>
      <c r="DB492" s="79">
        <f t="shared" si="607"/>
        <v>0</v>
      </c>
      <c r="DC492" s="79">
        <f t="shared" si="607"/>
        <v>0</v>
      </c>
      <c r="DD492" s="79">
        <f t="shared" si="607"/>
        <v>0</v>
      </c>
      <c r="DE492" s="79">
        <f>DE461-DE490</f>
        <v>0</v>
      </c>
      <c r="DH492" s="79">
        <f>DH461-DH490</f>
        <v>0</v>
      </c>
      <c r="DK492" s="79">
        <f t="shared" ref="DK492:EL492" si="608">DK461-DK490</f>
        <v>0</v>
      </c>
      <c r="DL492" s="79">
        <f t="shared" si="608"/>
        <v>0</v>
      </c>
      <c r="DM492" s="79">
        <f t="shared" si="608"/>
        <v>0</v>
      </c>
      <c r="DN492" s="79">
        <f t="shared" si="608"/>
        <v>0</v>
      </c>
      <c r="DO492" s="79">
        <f t="shared" si="608"/>
        <v>0</v>
      </c>
      <c r="DP492" s="79">
        <f t="shared" si="608"/>
        <v>0</v>
      </c>
      <c r="DQ492" s="79">
        <f t="shared" si="608"/>
        <v>0</v>
      </c>
      <c r="DR492" s="79">
        <f t="shared" si="608"/>
        <v>0</v>
      </c>
      <c r="DS492" s="79">
        <f t="shared" si="608"/>
        <v>0</v>
      </c>
      <c r="DT492" s="79">
        <f t="shared" si="608"/>
        <v>0</v>
      </c>
      <c r="DU492" s="79">
        <f t="shared" si="608"/>
        <v>0</v>
      </c>
      <c r="DV492" s="79">
        <f t="shared" si="608"/>
        <v>0</v>
      </c>
      <c r="DW492" s="79">
        <f t="shared" si="608"/>
        <v>0</v>
      </c>
      <c r="DX492" s="79">
        <f t="shared" si="608"/>
        <v>0</v>
      </c>
      <c r="DY492" s="79">
        <f t="shared" si="608"/>
        <v>0</v>
      </c>
      <c r="DZ492" s="79">
        <f t="shared" si="608"/>
        <v>0</v>
      </c>
      <c r="EA492" s="79">
        <f t="shared" si="608"/>
        <v>0</v>
      </c>
      <c r="EB492" s="79">
        <f t="shared" si="608"/>
        <v>0</v>
      </c>
      <c r="EC492" s="79">
        <f t="shared" si="608"/>
        <v>0</v>
      </c>
      <c r="ED492" s="79">
        <f t="shared" si="608"/>
        <v>0</v>
      </c>
      <c r="EE492" s="79">
        <f t="shared" si="608"/>
        <v>0</v>
      </c>
      <c r="EF492" s="79">
        <f t="shared" ref="EF492" si="609">EF461-EF490</f>
        <v>0</v>
      </c>
      <c r="EG492" s="131">
        <f t="shared" si="608"/>
        <v>0</v>
      </c>
      <c r="EH492" s="79">
        <f t="shared" si="608"/>
        <v>0</v>
      </c>
      <c r="EI492" s="79">
        <f t="shared" si="608"/>
        <v>0</v>
      </c>
      <c r="EJ492" s="79">
        <f t="shared" si="608"/>
        <v>0</v>
      </c>
      <c r="EK492" s="79">
        <f t="shared" ref="EK492" si="610">EK461-EK490</f>
        <v>0</v>
      </c>
      <c r="EL492" s="79">
        <f t="shared" si="608"/>
        <v>0</v>
      </c>
      <c r="EM492" s="79">
        <f>EM461-EM490</f>
        <v>0</v>
      </c>
    </row>
    <row r="493" spans="1:168" ht="13.5" thickBot="1" x14ac:dyDescent="0.25">
      <c r="A493" s="28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85"/>
    </row>
    <row r="494" spans="1:168" ht="26.25" thickBot="1" x14ac:dyDescent="0.25">
      <c r="A494" s="26" t="s">
        <v>165</v>
      </c>
      <c r="B494" s="26" t="s">
        <v>196</v>
      </c>
      <c r="C494" s="26" t="s">
        <v>197</v>
      </c>
      <c r="D494" s="26" t="s">
        <v>198</v>
      </c>
      <c r="E494" s="172"/>
      <c r="F494" s="104"/>
      <c r="G494" s="104"/>
      <c r="H494" s="104"/>
      <c r="I494" s="104"/>
      <c r="J494" s="104"/>
      <c r="K494" s="104"/>
      <c r="L494" s="104"/>
      <c r="M494" s="195"/>
      <c r="N494" s="192" t="s">
        <v>199</v>
      </c>
      <c r="P494" s="26" t="s">
        <v>209</v>
      </c>
    </row>
    <row r="495" spans="1:168" x14ac:dyDescent="0.2">
      <c r="A495" s="7" t="s">
        <v>697</v>
      </c>
      <c r="B495" s="106">
        <f>SUMIF($464:$464,$A495,465:465)</f>
        <v>0</v>
      </c>
      <c r="C495" s="12">
        <f>SUMIF($464:$464,$A495,466:466)</f>
        <v>0</v>
      </c>
      <c r="D495" s="106">
        <f>SUMIF($464:$464,$A495,467:467)</f>
        <v>0</v>
      </c>
      <c r="E495" s="172"/>
      <c r="F495" s="114"/>
      <c r="G495" s="114"/>
      <c r="H495" s="114"/>
      <c r="I495" s="114"/>
      <c r="J495" s="114"/>
      <c r="K495" s="114"/>
      <c r="L495" s="114"/>
      <c r="M495" s="195"/>
      <c r="N495" s="106"/>
      <c r="P495" s="12"/>
    </row>
    <row r="496" spans="1:168" x14ac:dyDescent="0.2">
      <c r="A496" s="8" t="s">
        <v>186</v>
      </c>
      <c r="B496" s="14">
        <f>SUMIF($464:$464,$A496,465:465)</f>
        <v>-39663.26</v>
      </c>
      <c r="C496" s="10">
        <f>SUMIF($464:$464,$A496,466:466)</f>
        <v>0</v>
      </c>
      <c r="D496" s="14">
        <f>SUMIF($464:$464,$A496,467:467)</f>
        <v>0</v>
      </c>
      <c r="E496" s="172"/>
      <c r="F496" s="115"/>
      <c r="G496" s="115"/>
      <c r="H496" s="115"/>
      <c r="I496" s="115"/>
      <c r="J496" s="115"/>
      <c r="K496" s="115"/>
      <c r="L496" s="115"/>
      <c r="M496" s="195"/>
      <c r="N496" s="14"/>
      <c r="P496" s="10"/>
    </row>
    <row r="497" spans="1:142" x14ac:dyDescent="0.2">
      <c r="A497" s="8" t="s">
        <v>187</v>
      </c>
      <c r="B497" s="14">
        <f>SUMIF($464:$464,$A497,465:465)</f>
        <v>-10643.74</v>
      </c>
      <c r="C497" s="10">
        <f>SUMIF($464:$464,$A497,466:466)</f>
        <v>-80000</v>
      </c>
      <c r="D497" s="14">
        <f>SUMIF($464:$464,$A497,467:467)</f>
        <v>0</v>
      </c>
      <c r="E497" s="172"/>
      <c r="F497" s="115"/>
      <c r="G497" s="115"/>
      <c r="H497" s="115"/>
      <c r="I497" s="115"/>
      <c r="J497" s="115"/>
      <c r="K497" s="115"/>
      <c r="L497" s="115"/>
      <c r="M497" s="195"/>
      <c r="N497" s="14"/>
      <c r="P497" s="10"/>
    </row>
    <row r="498" spans="1:142" x14ac:dyDescent="0.2">
      <c r="A498" s="8" t="s">
        <v>690</v>
      </c>
      <c r="B498" s="14">
        <f>SUMIF($464:$464,$A498,465:465)</f>
        <v>0</v>
      </c>
      <c r="C498" s="10">
        <f>SUMIF($464:$464,$A498,466:466)</f>
        <v>0</v>
      </c>
      <c r="D498" s="14">
        <f>SUMIF($464:$464,$A498,467:467)</f>
        <v>0</v>
      </c>
      <c r="E498" s="172"/>
      <c r="F498" s="115"/>
      <c r="G498" s="115"/>
      <c r="H498" s="115"/>
      <c r="I498" s="115"/>
      <c r="J498" s="115"/>
      <c r="K498" s="115"/>
      <c r="L498" s="115"/>
      <c r="M498" s="195"/>
      <c r="N498" s="14"/>
      <c r="P498" s="10"/>
    </row>
    <row r="499" spans="1:142" ht="13.5" thickBot="1" x14ac:dyDescent="0.25">
      <c r="A499" s="58" t="s">
        <v>691</v>
      </c>
      <c r="B499" s="107">
        <f>SUMIF($464:$464,$A499,465:465)</f>
        <v>-350</v>
      </c>
      <c r="C499" s="59">
        <f>SUMIF($464:$464,$A499,466:466)</f>
        <v>0</v>
      </c>
      <c r="D499" s="107">
        <f>SUMIF($464:$464,$A499,467:467)</f>
        <v>0</v>
      </c>
      <c r="E499" s="172"/>
      <c r="F499" s="116"/>
      <c r="G499" s="116"/>
      <c r="H499" s="116"/>
      <c r="I499" s="116"/>
      <c r="J499" s="116"/>
      <c r="K499" s="116"/>
      <c r="L499" s="116"/>
      <c r="M499" s="195"/>
      <c r="N499" s="107"/>
      <c r="P499" s="59"/>
    </row>
    <row r="500" spans="1:142" ht="13.5" thickBot="1" x14ac:dyDescent="0.25">
      <c r="A500" s="9" t="s">
        <v>189</v>
      </c>
      <c r="B500" s="11">
        <f>SUM(B495:B499)</f>
        <v>-50657</v>
      </c>
      <c r="C500" s="11">
        <f>SUM(C495:C499)</f>
        <v>-80000</v>
      </c>
      <c r="D500" s="11">
        <f>SUM(D495:D499)</f>
        <v>0</v>
      </c>
      <c r="E500" s="172"/>
      <c r="F500" s="11"/>
      <c r="G500" s="11"/>
      <c r="H500" s="11"/>
      <c r="I500" s="11"/>
      <c r="J500" s="11"/>
      <c r="K500" s="11"/>
      <c r="L500" s="191"/>
      <c r="M500" s="195"/>
      <c r="N500" s="193">
        <f>SUM(N495:N499)</f>
        <v>0</v>
      </c>
      <c r="P500" s="11">
        <f>SUM(P495:P499)</f>
        <v>0</v>
      </c>
    </row>
    <row r="501" spans="1:142" ht="13.5" thickBot="1" x14ac:dyDescent="0.25">
      <c r="A501" s="24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35"/>
      <c r="N501" s="25"/>
      <c r="O501" s="35"/>
      <c r="P501" s="85"/>
    </row>
    <row r="502" spans="1:142" ht="13.5" thickBot="1" x14ac:dyDescent="0.25">
      <c r="A502" s="26" t="s">
        <v>474</v>
      </c>
      <c r="B502" s="26" t="s">
        <v>474</v>
      </c>
      <c r="C502" s="69"/>
      <c r="N502" s="79"/>
      <c r="O502" s="79"/>
      <c r="P502" s="79"/>
      <c r="Q502" s="79"/>
      <c r="R502" s="79"/>
      <c r="AP502" s="158"/>
      <c r="AQ502" s="158"/>
      <c r="AU502" s="79"/>
      <c r="AV502" s="79"/>
      <c r="BT502" s="158"/>
      <c r="BY502" s="79"/>
      <c r="DF502" s="79"/>
      <c r="EK502" s="79">
        <v>7303003.4090999998</v>
      </c>
    </row>
    <row r="503" spans="1:142" x14ac:dyDescent="0.2">
      <c r="A503" s="7" t="s">
        <v>697</v>
      </c>
      <c r="B503" s="57">
        <f>SUMIF($464:$464,$A503,468:468)</f>
        <v>-9131.06</v>
      </c>
      <c r="C503" s="69"/>
      <c r="N503" s="79"/>
      <c r="O503" s="79"/>
      <c r="P503" s="79"/>
      <c r="Q503" s="79"/>
      <c r="R503" s="79"/>
      <c r="AP503" s="158"/>
      <c r="AQ503" s="158"/>
      <c r="AU503" s="79"/>
      <c r="AV503" s="79"/>
      <c r="BT503" s="158"/>
      <c r="BY503" s="79"/>
      <c r="DF503" s="79"/>
    </row>
    <row r="504" spans="1:142" x14ac:dyDescent="0.2">
      <c r="A504" s="8" t="s">
        <v>186</v>
      </c>
      <c r="B504" s="56">
        <f>SUMIF($464:$464,$A504,468:468)</f>
        <v>0</v>
      </c>
      <c r="C504" s="69"/>
      <c r="N504" s="79"/>
      <c r="O504" s="79"/>
      <c r="P504" s="79"/>
      <c r="Q504" s="79"/>
      <c r="R504" s="79"/>
      <c r="AP504" s="158"/>
      <c r="AQ504" s="158"/>
      <c r="AU504" s="79"/>
      <c r="AV504" s="79"/>
      <c r="BT504" s="158"/>
      <c r="BY504" s="79"/>
      <c r="DF504" s="79"/>
    </row>
    <row r="505" spans="1:142" x14ac:dyDescent="0.2">
      <c r="A505" s="8" t="s">
        <v>187</v>
      </c>
      <c r="B505" s="56">
        <f>SUMIF($464:$464,$A505,468:468)</f>
        <v>-124673.19</v>
      </c>
      <c r="C505" s="69"/>
      <c r="N505" s="79"/>
      <c r="O505" s="79"/>
      <c r="P505" s="79"/>
      <c r="Q505" s="79"/>
      <c r="R505" s="79"/>
      <c r="AP505" s="158"/>
      <c r="AQ505" s="158"/>
      <c r="AU505" s="79"/>
      <c r="AV505" s="79"/>
      <c r="BT505" s="158"/>
      <c r="BY505" s="79"/>
      <c r="DF505" s="79"/>
      <c r="EK505" s="170">
        <v>6622882</v>
      </c>
    </row>
    <row r="506" spans="1:142" x14ac:dyDescent="0.2">
      <c r="A506" s="8" t="s">
        <v>690</v>
      </c>
      <c r="B506" s="56">
        <f>SUMIF($464:$464,$A506,468:468)</f>
        <v>-35757.56</v>
      </c>
      <c r="C506" s="69"/>
      <c r="N506" s="79"/>
      <c r="O506" s="79"/>
      <c r="P506" s="79"/>
      <c r="Q506" s="79"/>
      <c r="R506" s="79"/>
      <c r="AP506" s="158"/>
      <c r="AQ506" s="158"/>
      <c r="AU506" s="79"/>
      <c r="AV506" s="79"/>
      <c r="BT506" s="158"/>
      <c r="BY506" s="79"/>
      <c r="DF506" s="79"/>
      <c r="EK506" s="170">
        <v>6622882</v>
      </c>
    </row>
    <row r="507" spans="1:142" ht="13.5" thickBot="1" x14ac:dyDescent="0.25">
      <c r="A507" s="58" t="s">
        <v>691</v>
      </c>
      <c r="B507" s="60">
        <f>SUMIF($464:$464,$A507,468:468)</f>
        <v>-54977.37</v>
      </c>
      <c r="C507" s="69"/>
      <c r="N507" s="79"/>
      <c r="O507" s="79"/>
      <c r="P507" s="79"/>
      <c r="Q507" s="79"/>
      <c r="R507" s="79"/>
      <c r="AP507" s="158"/>
      <c r="AQ507" s="158"/>
      <c r="AU507" s="79"/>
      <c r="AV507" s="79"/>
      <c r="BT507" s="158"/>
      <c r="BY507" s="79"/>
      <c r="DF507" s="79"/>
    </row>
    <row r="508" spans="1:142" ht="13.5" thickBot="1" x14ac:dyDescent="0.25">
      <c r="A508" s="9" t="s">
        <v>189</v>
      </c>
      <c r="B508" s="11">
        <f>SUM(B503:B507)</f>
        <v>-224539.18</v>
      </c>
      <c r="C508" s="69"/>
      <c r="N508" s="79"/>
      <c r="O508" s="79"/>
      <c r="P508" s="79"/>
      <c r="Q508" s="79"/>
      <c r="R508" s="79"/>
      <c r="AP508" s="158"/>
      <c r="AQ508" s="158"/>
      <c r="AU508" s="79"/>
      <c r="AV508" s="79"/>
      <c r="BT508" s="158"/>
      <c r="BY508" s="79"/>
      <c r="DF508" s="79"/>
      <c r="EK508" s="79">
        <f>EK502-EK505</f>
        <v>680121.40909999982</v>
      </c>
    </row>
    <row r="509" spans="1:142" ht="13.5" thickBot="1" x14ac:dyDescent="0.25">
      <c r="A509" s="28"/>
      <c r="B509" s="35"/>
      <c r="C509" s="35"/>
      <c r="D509" s="35"/>
      <c r="N509" s="35"/>
      <c r="O509" s="35"/>
    </row>
    <row r="510" spans="1:142" ht="26.25" thickBot="1" x14ac:dyDescent="0.25">
      <c r="A510" s="26" t="s">
        <v>163</v>
      </c>
      <c r="B510" s="26" t="s">
        <v>447</v>
      </c>
      <c r="C510" s="26" t="s">
        <v>212</v>
      </c>
      <c r="D510" s="108" t="s">
        <v>215</v>
      </c>
      <c r="E510" s="196"/>
      <c r="F510" s="104"/>
      <c r="G510" s="104"/>
      <c r="H510" s="104"/>
      <c r="I510" s="104"/>
      <c r="J510" s="104"/>
      <c r="K510" s="104"/>
      <c r="L510" s="104"/>
      <c r="M510" s="197"/>
      <c r="N510" s="192" t="s">
        <v>216</v>
      </c>
      <c r="P510" s="26" t="s">
        <v>500</v>
      </c>
      <c r="EK510" s="79">
        <v>540817.16</v>
      </c>
    </row>
    <row r="511" spans="1:142" x14ac:dyDescent="0.2">
      <c r="A511" s="7" t="s">
        <v>697</v>
      </c>
      <c r="B511" s="106">
        <f>SUMIF($464:$464,$A511,469:469)</f>
        <v>-55340.99</v>
      </c>
      <c r="C511" s="12">
        <f>SUMIF($464:$464,$A511,470:470)</f>
        <v>-24307.41</v>
      </c>
      <c r="D511" s="106">
        <f>SUMIF($464:$464,$A511,471:471)</f>
        <v>-171745.23</v>
      </c>
      <c r="E511" s="198"/>
      <c r="F511" s="195"/>
      <c r="G511" s="195"/>
      <c r="H511" s="195"/>
      <c r="I511" s="195"/>
      <c r="J511" s="195"/>
      <c r="K511" s="195"/>
      <c r="L511" s="195"/>
      <c r="M511" s="199"/>
      <c r="N511" s="106">
        <f>SUMIF($464:$464,$A511,472:472)</f>
        <v>0</v>
      </c>
      <c r="P511" s="50">
        <f>SUMIF($464:$464,$A511,473:473)</f>
        <v>0</v>
      </c>
      <c r="EL511" s="79">
        <v>429927.24</v>
      </c>
    </row>
    <row r="512" spans="1:142" x14ac:dyDescent="0.2">
      <c r="A512" s="8" t="s">
        <v>186</v>
      </c>
      <c r="B512" s="14">
        <f>SUMIF($464:$464,$A512,469:469)</f>
        <v>-474221</v>
      </c>
      <c r="C512" s="10">
        <f>SUMIF($464:$464,$A512,470:470)</f>
        <v>-941771.84000000008</v>
      </c>
      <c r="D512" s="14">
        <f>SUMIF($464:$464,$A512,471:471)</f>
        <v>-23726.92</v>
      </c>
      <c r="E512" s="198"/>
      <c r="F512" s="195"/>
      <c r="G512" s="195"/>
      <c r="H512" s="195"/>
      <c r="I512" s="195"/>
      <c r="J512" s="195"/>
      <c r="K512" s="195"/>
      <c r="L512" s="195"/>
      <c r="M512" s="199"/>
      <c r="N512" s="14">
        <f>SUMIF($464:$464,$A512,472:472)</f>
        <v>0</v>
      </c>
      <c r="P512" s="21">
        <f>SUMIF($464:$464,$A512,473:473)</f>
        <v>0</v>
      </c>
      <c r="EL512" s="79">
        <v>110889.92</v>
      </c>
    </row>
    <row r="513" spans="1:141" x14ac:dyDescent="0.2">
      <c r="A513" s="8" t="s">
        <v>187</v>
      </c>
      <c r="B513" s="14">
        <f>SUMIF($464:$464,$A513,469:469)</f>
        <v>-133860.28999999998</v>
      </c>
      <c r="C513" s="10">
        <f>SUMIF($464:$464,$A513,470:470)</f>
        <v>-1076642.8199999998</v>
      </c>
      <c r="D513" s="14">
        <f>SUMIF($464:$464,$A513,471:471)</f>
        <v>-443772.73</v>
      </c>
      <c r="E513" s="198"/>
      <c r="F513" s="195"/>
      <c r="G513" s="195"/>
      <c r="H513" s="195"/>
      <c r="I513" s="195"/>
      <c r="J513" s="195"/>
      <c r="K513" s="195"/>
      <c r="L513" s="195"/>
      <c r="M513" s="199"/>
      <c r="N513" s="14">
        <f>SUMIF($464:$464,$A513,472:472)</f>
        <v>-138617.53</v>
      </c>
      <c r="P513" s="21">
        <f>SUMIF($464:$464,$A513,473:473)</f>
        <v>0</v>
      </c>
    </row>
    <row r="514" spans="1:141" x14ac:dyDescent="0.2">
      <c r="A514" s="8" t="s">
        <v>690</v>
      </c>
      <c r="B514" s="14">
        <f>SUMIF($464:$464,$A514,469:469)</f>
        <v>0</v>
      </c>
      <c r="C514" s="10">
        <f>SUMIF($464:$464,$A514,470:470)</f>
        <v>0</v>
      </c>
      <c r="D514" s="14">
        <f>SUMIF($464:$464,$A514,471:471)</f>
        <v>0</v>
      </c>
      <c r="E514" s="198"/>
      <c r="F514" s="195"/>
      <c r="G514" s="195"/>
      <c r="H514" s="195"/>
      <c r="I514" s="195"/>
      <c r="J514" s="195"/>
      <c r="K514" s="195"/>
      <c r="L514" s="195"/>
      <c r="M514" s="199"/>
      <c r="N514" s="14">
        <f>SUMIF($464:$464,$A514,472:472)</f>
        <v>0</v>
      </c>
      <c r="P514" s="21">
        <f>SUMIF($464:$464,$A514,473:473)</f>
        <v>0</v>
      </c>
    </row>
    <row r="515" spans="1:141" ht="13.5" thickBot="1" x14ac:dyDescent="0.25">
      <c r="A515" s="58" t="s">
        <v>691</v>
      </c>
      <c r="B515" s="107">
        <f>SUMIF($464:$464,$A515,469:469)</f>
        <v>0</v>
      </c>
      <c r="C515" s="59">
        <f>SUMIF($464:$464,$A515,470:470)</f>
        <v>-60018.389999999992</v>
      </c>
      <c r="D515" s="107">
        <f>SUMIF($464:$464,$A515,471:471)</f>
        <v>-529717.21</v>
      </c>
      <c r="E515" s="198"/>
      <c r="F515" s="195"/>
      <c r="G515" s="195"/>
      <c r="H515" s="195"/>
      <c r="I515" s="195"/>
      <c r="J515" s="195"/>
      <c r="K515" s="195"/>
      <c r="L515" s="195"/>
      <c r="M515" s="199"/>
      <c r="N515" s="107">
        <f>SUMIF($464:$464,$A515,472:472)</f>
        <v>-62445.819999999992</v>
      </c>
      <c r="P515" s="23">
        <f>SUMIF($464:$464,$A515,473:473)</f>
        <v>-33196.39</v>
      </c>
      <c r="EK515" s="79">
        <f>EK508-EK510</f>
        <v>139304.24909999978</v>
      </c>
    </row>
    <row r="516" spans="1:141" ht="13.5" thickBot="1" x14ac:dyDescent="0.25">
      <c r="A516" s="9" t="s">
        <v>189</v>
      </c>
      <c r="B516" s="11">
        <f>SUM(B511:B515)</f>
        <v>-663422.28</v>
      </c>
      <c r="C516" s="11">
        <f t="shared" ref="C516:D516" si="611">SUM(C511:C515)</f>
        <v>-2102740.46</v>
      </c>
      <c r="D516" s="191">
        <f t="shared" si="611"/>
        <v>-1168962.0899999999</v>
      </c>
      <c r="E516" s="200"/>
      <c r="F516" s="201"/>
      <c r="G516" s="201"/>
      <c r="H516" s="201"/>
      <c r="I516" s="201"/>
      <c r="J516" s="201"/>
      <c r="K516" s="201"/>
      <c r="L516" s="201"/>
      <c r="M516" s="202"/>
      <c r="N516" s="193">
        <f>SUM(N511:N515)</f>
        <v>-201063.34999999998</v>
      </c>
      <c r="P516" s="11">
        <f>SUM(P511:P515)</f>
        <v>-33196.39</v>
      </c>
    </row>
    <row r="517" spans="1:141" ht="13.5" thickBot="1" x14ac:dyDescent="0.25">
      <c r="A517" s="28"/>
      <c r="B517" s="35"/>
      <c r="C517" s="35"/>
      <c r="D517" s="35"/>
      <c r="N517" s="35"/>
      <c r="O517" s="35"/>
    </row>
    <row r="518" spans="1:141" ht="13.5" thickBot="1" x14ac:dyDescent="0.25">
      <c r="A518" s="26" t="s">
        <v>166</v>
      </c>
      <c r="B518" s="26" t="s">
        <v>166</v>
      </c>
      <c r="C518" s="69"/>
      <c r="N518" s="79"/>
      <c r="O518" s="79"/>
      <c r="P518" s="79"/>
      <c r="Q518" s="79"/>
      <c r="R518" s="79"/>
      <c r="AP518" s="158"/>
      <c r="AQ518" s="158"/>
      <c r="AU518" s="79"/>
      <c r="AV518" s="79"/>
      <c r="BT518" s="158"/>
      <c r="BY518" s="79"/>
      <c r="DF518" s="79"/>
      <c r="EK518" s="79">
        <v>61382.710900001228</v>
      </c>
    </row>
    <row r="519" spans="1:141" x14ac:dyDescent="0.2">
      <c r="A519" s="7" t="s">
        <v>697</v>
      </c>
      <c r="B519" s="57">
        <f>SUMIF($464:$464,$A519,474:474)</f>
        <v>-4020</v>
      </c>
      <c r="C519" s="69"/>
      <c r="N519" s="79"/>
      <c r="O519" s="79"/>
      <c r="P519" s="79"/>
      <c r="Q519" s="79"/>
      <c r="R519" s="79"/>
      <c r="AP519" s="158"/>
      <c r="AQ519" s="158"/>
      <c r="AU519" s="79"/>
      <c r="AV519" s="79"/>
      <c r="BT519" s="158"/>
      <c r="BY519" s="79"/>
      <c r="DF519" s="79"/>
    </row>
    <row r="520" spans="1:141" x14ac:dyDescent="0.2">
      <c r="A520" s="8" t="s">
        <v>186</v>
      </c>
      <c r="B520" s="56">
        <f>SUMIF($464:$464,$A520,474:474)</f>
        <v>-7294</v>
      </c>
      <c r="C520" s="69"/>
      <c r="N520" s="79"/>
      <c r="O520" s="79"/>
      <c r="P520" s="79"/>
      <c r="Q520" s="79"/>
      <c r="R520" s="79"/>
      <c r="AP520" s="158"/>
      <c r="AQ520" s="158"/>
      <c r="AU520" s="79"/>
      <c r="AV520" s="79"/>
      <c r="BT520" s="158"/>
      <c r="BY520" s="79"/>
      <c r="DF520" s="79"/>
    </row>
    <row r="521" spans="1:141" x14ac:dyDescent="0.2">
      <c r="A521" s="8" t="s">
        <v>187</v>
      </c>
      <c r="B521" s="56">
        <f>SUMIF($464:$464,$A521,474:474)</f>
        <v>0</v>
      </c>
      <c r="C521" s="69"/>
      <c r="N521" s="79"/>
      <c r="O521" s="79"/>
      <c r="P521" s="79"/>
      <c r="Q521" s="79"/>
      <c r="R521" s="79"/>
      <c r="AP521" s="158"/>
      <c r="AQ521" s="158"/>
      <c r="AU521" s="79"/>
      <c r="AV521" s="79"/>
      <c r="BT521" s="158"/>
      <c r="BY521" s="79"/>
      <c r="DF521" s="79"/>
      <c r="EK521" s="79">
        <v>643189.88</v>
      </c>
    </row>
    <row r="522" spans="1:141" x14ac:dyDescent="0.2">
      <c r="A522" s="8" t="s">
        <v>690</v>
      </c>
      <c r="B522" s="56">
        <f>SUMIF($464:$464,$A522,474:474)</f>
        <v>0</v>
      </c>
      <c r="C522" s="69"/>
      <c r="N522" s="79"/>
      <c r="O522" s="79"/>
      <c r="P522" s="79"/>
      <c r="Q522" s="79"/>
      <c r="R522" s="79"/>
      <c r="AP522" s="158"/>
      <c r="AQ522" s="158"/>
      <c r="AU522" s="79"/>
      <c r="AV522" s="79"/>
      <c r="BT522" s="158"/>
      <c r="BY522" s="79"/>
      <c r="DF522" s="79"/>
      <c r="EK522" s="79">
        <v>643189.88</v>
      </c>
    </row>
    <row r="523" spans="1:141" ht="13.5" thickBot="1" x14ac:dyDescent="0.25">
      <c r="A523" s="58" t="s">
        <v>691</v>
      </c>
      <c r="B523" s="60">
        <f>SUMIF($464:$464,$A523,474:474)</f>
        <v>0</v>
      </c>
      <c r="C523" s="69"/>
      <c r="N523" s="79"/>
      <c r="O523" s="79"/>
      <c r="P523" s="79"/>
      <c r="Q523" s="79"/>
      <c r="R523" s="79"/>
      <c r="AP523" s="158"/>
      <c r="AQ523" s="158"/>
      <c r="AU523" s="79"/>
      <c r="AV523" s="79"/>
      <c r="BT523" s="158"/>
      <c r="BY523" s="79"/>
      <c r="DF523" s="79"/>
    </row>
    <row r="524" spans="1:141" ht="13.5" thickBot="1" x14ac:dyDescent="0.25">
      <c r="A524" s="9" t="s">
        <v>189</v>
      </c>
      <c r="B524" s="11">
        <f>SUM(B519:B523)</f>
        <v>-11314</v>
      </c>
      <c r="C524" s="69"/>
      <c r="N524" s="79"/>
      <c r="O524" s="79"/>
      <c r="P524" s="79"/>
      <c r="Q524" s="79"/>
      <c r="R524" s="79"/>
      <c r="AP524" s="158"/>
      <c r="AQ524" s="158"/>
      <c r="AU524" s="79"/>
      <c r="AV524" s="79"/>
      <c r="BT524" s="158"/>
      <c r="BY524" s="79"/>
      <c r="DF524" s="79"/>
    </row>
    <row r="525" spans="1:141" ht="13.5" thickBot="1" x14ac:dyDescent="0.25">
      <c r="A525" s="28"/>
      <c r="B525" s="35"/>
      <c r="C525" s="35"/>
      <c r="D525" s="35"/>
      <c r="N525" s="35"/>
      <c r="O525" s="35"/>
      <c r="EK525" s="79">
        <f>EK521-EK518</f>
        <v>581807.16909999878</v>
      </c>
    </row>
    <row r="526" spans="1:141" ht="26.25" thickBot="1" x14ac:dyDescent="0.25">
      <c r="A526" s="26" t="s">
        <v>164</v>
      </c>
      <c r="B526" s="26" t="s">
        <v>200</v>
      </c>
      <c r="C526" s="26" t="s">
        <v>201</v>
      </c>
      <c r="D526" s="108" t="s">
        <v>202</v>
      </c>
      <c r="E526" s="196"/>
      <c r="F526" s="104"/>
      <c r="G526" s="104"/>
      <c r="H526" s="104"/>
      <c r="I526" s="104"/>
      <c r="J526" s="104"/>
      <c r="K526" s="104"/>
      <c r="L526" s="104"/>
      <c r="M526" s="197"/>
      <c r="N526" s="192" t="s">
        <v>203</v>
      </c>
      <c r="P526" s="26" t="s">
        <v>210</v>
      </c>
      <c r="EK526" s="79">
        <f>EK525-EK510</f>
        <v>40990.009099998744</v>
      </c>
    </row>
    <row r="527" spans="1:141" x14ac:dyDescent="0.2">
      <c r="A527" s="7" t="s">
        <v>697</v>
      </c>
      <c r="B527" s="106">
        <f>SUMIF($464:$464,$A527,475:475)</f>
        <v>0</v>
      </c>
      <c r="C527" s="12">
        <f>SUMIF($464:$464,$A527,476:476)</f>
        <v>-452610.32</v>
      </c>
      <c r="D527" s="106">
        <f>SUMIF($464:$464,$A527,477:477)</f>
        <v>0</v>
      </c>
      <c r="E527" s="198"/>
      <c r="F527" s="195"/>
      <c r="G527" s="195"/>
      <c r="H527" s="195"/>
      <c r="I527" s="195"/>
      <c r="J527" s="195"/>
      <c r="K527" s="195"/>
      <c r="L527" s="195"/>
      <c r="M527" s="199"/>
      <c r="N527" s="106">
        <f>SUMIF($464:$464,$A527,478:478)</f>
        <v>0</v>
      </c>
      <c r="P527" s="12"/>
    </row>
    <row r="528" spans="1:141" x14ac:dyDescent="0.2">
      <c r="A528" s="8" t="s">
        <v>186</v>
      </c>
      <c r="B528" s="14">
        <f>SUMIF($464:$464,$A528,475:475)</f>
        <v>-538414</v>
      </c>
      <c r="C528" s="10">
        <f>SUMIF($464:$464,$A528,476:476)</f>
        <v>-197120</v>
      </c>
      <c r="D528" s="14">
        <f>SUMIF($464:$464,$A528,477:477)</f>
        <v>0</v>
      </c>
      <c r="E528" s="198"/>
      <c r="F528" s="195"/>
      <c r="G528" s="195"/>
      <c r="H528" s="195"/>
      <c r="I528" s="195"/>
      <c r="J528" s="195"/>
      <c r="K528" s="195"/>
      <c r="L528" s="195"/>
      <c r="M528" s="199"/>
      <c r="N528" s="14">
        <f>SUMIF($464:$464,$A528,478:478)</f>
        <v>0</v>
      </c>
      <c r="P528" s="10"/>
    </row>
    <row r="529" spans="1:110" x14ac:dyDescent="0.2">
      <c r="A529" s="8" t="s">
        <v>187</v>
      </c>
      <c r="B529" s="14">
        <f>SUMIF($464:$464,$A529,475:475)</f>
        <v>-6090</v>
      </c>
      <c r="C529" s="10">
        <f>SUMIF($464:$464,$A529,476:476)</f>
        <v>-645635.31000000006</v>
      </c>
      <c r="D529" s="14">
        <f>SUMIF($464:$464,$A529,477:477)</f>
        <v>-165115.49909999999</v>
      </c>
      <c r="E529" s="198"/>
      <c r="F529" s="195"/>
      <c r="G529" s="195"/>
      <c r="H529" s="195"/>
      <c r="I529" s="195"/>
      <c r="J529" s="195"/>
      <c r="K529" s="195"/>
      <c r="L529" s="195"/>
      <c r="M529" s="199"/>
      <c r="N529" s="14">
        <f>SUMIF($464:$464,$A529,478:478)</f>
        <v>0</v>
      </c>
      <c r="P529" s="10"/>
    </row>
    <row r="530" spans="1:110" x14ac:dyDescent="0.2">
      <c r="A530" s="8" t="s">
        <v>690</v>
      </c>
      <c r="B530" s="14">
        <f>SUMIF($464:$464,$A530,475:475)</f>
        <v>0</v>
      </c>
      <c r="C530" s="10">
        <f>SUMIF($464:$464,$A530,476:476)</f>
        <v>0</v>
      </c>
      <c r="D530" s="14">
        <f>SUMIF($464:$464,$A530,477:477)</f>
        <v>-12663.52</v>
      </c>
      <c r="E530" s="198"/>
      <c r="F530" s="195"/>
      <c r="G530" s="195"/>
      <c r="H530" s="195"/>
      <c r="I530" s="195"/>
      <c r="J530" s="195"/>
      <c r="K530" s="195"/>
      <c r="L530" s="195"/>
      <c r="M530" s="199"/>
      <c r="N530" s="14">
        <f>SUMIF($464:$464,$A530,478:478)</f>
        <v>0</v>
      </c>
      <c r="P530" s="10"/>
    </row>
    <row r="531" spans="1:110" ht="13.5" thickBot="1" x14ac:dyDescent="0.25">
      <c r="A531" s="58" t="s">
        <v>691</v>
      </c>
      <c r="B531" s="107">
        <f>SUMIF($464:$464,$A531,475:475)</f>
        <v>0</v>
      </c>
      <c r="C531" s="59">
        <f>SUMIF($464:$464,$A531,476:476)</f>
        <v>-122872.79999999999</v>
      </c>
      <c r="D531" s="107">
        <f>SUMIF($464:$464,$A531,477:477)</f>
        <v>-81181.42</v>
      </c>
      <c r="E531" s="198"/>
      <c r="F531" s="195"/>
      <c r="G531" s="195"/>
      <c r="H531" s="195"/>
      <c r="I531" s="195"/>
      <c r="J531" s="195"/>
      <c r="K531" s="195"/>
      <c r="L531" s="195"/>
      <c r="M531" s="199"/>
      <c r="N531" s="107">
        <f>SUMIF($464:$464,$A531,478:478)</f>
        <v>-78362.98</v>
      </c>
      <c r="O531" s="107">
        <f>SUMIF($464:$464,$A531,478:478)</f>
        <v>-78362.98</v>
      </c>
      <c r="P531" s="107"/>
    </row>
    <row r="532" spans="1:110" ht="13.5" thickBot="1" x14ac:dyDescent="0.25">
      <c r="A532" s="9" t="s">
        <v>189</v>
      </c>
      <c r="B532" s="11">
        <f>SUM(B527:B531)</f>
        <v>-544504</v>
      </c>
      <c r="C532" s="11">
        <f t="shared" ref="C532:D532" si="612">SUM(C527:C531)</f>
        <v>-1418238.4300000002</v>
      </c>
      <c r="D532" s="191">
        <f t="shared" si="612"/>
        <v>-258960.43909999996</v>
      </c>
      <c r="E532" s="203"/>
      <c r="F532" s="201"/>
      <c r="G532" s="201"/>
      <c r="H532" s="201"/>
      <c r="I532" s="201"/>
      <c r="J532" s="201"/>
      <c r="K532" s="201"/>
      <c r="L532" s="201"/>
      <c r="M532" s="202"/>
      <c r="N532" s="193">
        <f>SUM(N527:N531)</f>
        <v>-78362.98</v>
      </c>
      <c r="P532" s="11">
        <f>SUM(P527:P531)</f>
        <v>0</v>
      </c>
    </row>
    <row r="533" spans="1:110" ht="13.5" thickBot="1" x14ac:dyDescent="0.25">
      <c r="A533" s="30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P533" s="27"/>
    </row>
    <row r="534" spans="1:110" ht="26.25" thickBot="1" x14ac:dyDescent="0.25">
      <c r="A534" s="26" t="s">
        <v>162</v>
      </c>
      <c r="B534" s="26" t="s">
        <v>211</v>
      </c>
      <c r="C534" s="26" t="s">
        <v>213</v>
      </c>
      <c r="D534" s="108" t="s">
        <v>214</v>
      </c>
      <c r="E534" s="204"/>
      <c r="F534" s="105"/>
      <c r="G534" s="105"/>
      <c r="H534" s="105"/>
      <c r="I534" s="105"/>
      <c r="J534" s="105"/>
      <c r="K534" s="105"/>
      <c r="L534" s="105"/>
      <c r="M534" s="197"/>
      <c r="N534" s="192" t="s">
        <v>456</v>
      </c>
      <c r="P534" s="26" t="s">
        <v>457</v>
      </c>
    </row>
    <row r="535" spans="1:110" x14ac:dyDescent="0.2">
      <c r="A535" s="7" t="s">
        <v>697</v>
      </c>
      <c r="B535" s="106">
        <f>SUMIF($464:$464,$A535,479:479)</f>
        <v>-271401.26</v>
      </c>
      <c r="C535" s="12">
        <f>SUMIF($464:$464,$A535,480:480)</f>
        <v>-909835.35000000009</v>
      </c>
      <c r="D535" s="106">
        <f>SUMIF($464:$464,$A535,481:481)</f>
        <v>-21371.32</v>
      </c>
      <c r="E535" s="205"/>
      <c r="F535" s="194"/>
      <c r="G535" s="194"/>
      <c r="H535" s="194"/>
      <c r="I535" s="194"/>
      <c r="J535" s="194"/>
      <c r="K535" s="194"/>
      <c r="L535" s="194"/>
      <c r="M535" s="199"/>
      <c r="N535" s="106">
        <f>SUMIF($464:$464,$A535,482:482)</f>
        <v>0</v>
      </c>
      <c r="P535" s="12"/>
    </row>
    <row r="536" spans="1:110" x14ac:dyDescent="0.2">
      <c r="A536" s="8" t="s">
        <v>186</v>
      </c>
      <c r="B536" s="14">
        <f>SUMIF($464:$464,$A536,479:479)</f>
        <v>-2529649.17</v>
      </c>
      <c r="C536" s="10">
        <f>SUMIF($464:$464,$A536,480:480)</f>
        <v>-406442.30000000005</v>
      </c>
      <c r="D536" s="14">
        <f>SUMIF($464:$464,$A536,481:481)</f>
        <v>0</v>
      </c>
      <c r="E536" s="205"/>
      <c r="F536" s="194"/>
      <c r="G536" s="194"/>
      <c r="H536" s="194"/>
      <c r="I536" s="194"/>
      <c r="J536" s="194"/>
      <c r="K536" s="194"/>
      <c r="L536" s="194"/>
      <c r="M536" s="199"/>
      <c r="N536" s="14">
        <f>SUMIF($464:$464,$A536,482:482)</f>
        <v>0</v>
      </c>
      <c r="P536" s="10"/>
    </row>
    <row r="537" spans="1:110" x14ac:dyDescent="0.2">
      <c r="A537" s="8" t="s">
        <v>187</v>
      </c>
      <c r="B537" s="14">
        <f>SUMIF($464:$464,$A537,479:479)</f>
        <v>-3492964.5899999989</v>
      </c>
      <c r="C537" s="10">
        <f>SUMIF($464:$464,$A537,480:480)</f>
        <v>-4900662.4200000009</v>
      </c>
      <c r="D537" s="14">
        <f>SUMIF($464:$464,$A537,481:481)</f>
        <v>-537934.25</v>
      </c>
      <c r="E537" s="205"/>
      <c r="F537" s="194"/>
      <c r="G537" s="194"/>
      <c r="H537" s="194"/>
      <c r="I537" s="194"/>
      <c r="J537" s="194"/>
      <c r="K537" s="194"/>
      <c r="L537" s="194"/>
      <c r="M537" s="199"/>
      <c r="N537" s="14">
        <f>SUMIF($464:$464,$A537,482:482)</f>
        <v>0</v>
      </c>
      <c r="P537" s="10"/>
    </row>
    <row r="538" spans="1:110" x14ac:dyDescent="0.2">
      <c r="A538" s="8" t="s">
        <v>690</v>
      </c>
      <c r="B538" s="14">
        <f>SUMIF($464:$464,$A538,479:479)</f>
        <v>-66337.600000000006</v>
      </c>
      <c r="C538" s="10">
        <f>SUMIF($464:$464,$A538,480:480)</f>
        <v>-318264.57999999973</v>
      </c>
      <c r="D538" s="14">
        <f>SUMIF($464:$464,$A538,481:481)</f>
        <v>-58928.24</v>
      </c>
      <c r="E538" s="205"/>
      <c r="F538" s="194"/>
      <c r="G538" s="194"/>
      <c r="H538" s="194"/>
      <c r="I538" s="194"/>
      <c r="J538" s="194"/>
      <c r="K538" s="194"/>
      <c r="L538" s="194"/>
      <c r="M538" s="199"/>
      <c r="N538" s="14">
        <f>SUMIF($464:$464,$A538,482:482)</f>
        <v>0</v>
      </c>
      <c r="P538" s="10"/>
    </row>
    <row r="539" spans="1:110" ht="13.5" thickBot="1" x14ac:dyDescent="0.25">
      <c r="A539" s="58" t="s">
        <v>691</v>
      </c>
      <c r="B539" s="107">
        <f>SUMIF($464:$464,$A539,479:479)</f>
        <v>-218099.16999999998</v>
      </c>
      <c r="C539" s="59">
        <f>SUMIF($464:$464,$A539,480:480)</f>
        <v>-2810618.17</v>
      </c>
      <c r="D539" s="107">
        <f>SUMIF($464:$464,$A539,481:481)</f>
        <v>-442801.24</v>
      </c>
      <c r="E539" s="205"/>
      <c r="F539" s="194"/>
      <c r="G539" s="194"/>
      <c r="H539" s="194"/>
      <c r="I539" s="194"/>
      <c r="J539" s="194"/>
      <c r="K539" s="194"/>
      <c r="L539" s="194"/>
      <c r="M539" s="199"/>
      <c r="N539" s="107">
        <f>SUMIF($464:$464,$A539,482:482)</f>
        <v>-287032.75</v>
      </c>
      <c r="P539" s="59"/>
    </row>
    <row r="540" spans="1:110" ht="13.5" thickBot="1" x14ac:dyDescent="0.25">
      <c r="A540" s="9" t="s">
        <v>189</v>
      </c>
      <c r="B540" s="11">
        <f>SUM(B535:B539)</f>
        <v>-6578451.7899999982</v>
      </c>
      <c r="C540" s="11">
        <f>SUM(C535:C539)</f>
        <v>-9345822.8200000003</v>
      </c>
      <c r="D540" s="191">
        <f>SUM(D535:D539)</f>
        <v>-1061035.0499999998</v>
      </c>
      <c r="E540" s="203"/>
      <c r="F540" s="201"/>
      <c r="G540" s="201"/>
      <c r="H540" s="201"/>
      <c r="I540" s="201"/>
      <c r="J540" s="201"/>
      <c r="K540" s="201"/>
      <c r="L540" s="201"/>
      <c r="M540" s="202"/>
      <c r="N540" s="193">
        <f>SUM(N535:N539)</f>
        <v>-287032.75</v>
      </c>
      <c r="P540" s="11">
        <f>SUM(P535:P539)</f>
        <v>0</v>
      </c>
    </row>
    <row r="541" spans="1:110" ht="13.5" thickBot="1" x14ac:dyDescent="0.25">
      <c r="A541" s="30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85"/>
    </row>
    <row r="542" spans="1:110" ht="26.25" thickBot="1" x14ac:dyDescent="0.25">
      <c r="A542" s="87" t="s">
        <v>167</v>
      </c>
      <c r="B542" s="87" t="s">
        <v>167</v>
      </c>
      <c r="C542" s="26" t="s">
        <v>524</v>
      </c>
      <c r="D542" s="26" t="s">
        <v>524</v>
      </c>
      <c r="N542" s="79"/>
      <c r="O542" s="79"/>
      <c r="P542" s="79"/>
      <c r="Q542" s="79"/>
      <c r="R542" s="79"/>
      <c r="AP542" s="158"/>
      <c r="AQ542" s="158"/>
      <c r="AU542" s="79"/>
      <c r="AV542" s="79"/>
      <c r="BT542" s="158"/>
      <c r="BY542" s="79"/>
      <c r="DF542" s="79"/>
    </row>
    <row r="543" spans="1:110" x14ac:dyDescent="0.2">
      <c r="A543" s="7" t="s">
        <v>697</v>
      </c>
      <c r="B543" s="57">
        <f>SUMIF($464:$464,$A543,483:483)</f>
        <v>0</v>
      </c>
      <c r="C543" s="7" t="s">
        <v>697</v>
      </c>
      <c r="D543" s="57">
        <f>SUMIF($464:$464,$C543,484:484)</f>
        <v>-43291.22</v>
      </c>
      <c r="N543" s="79"/>
      <c r="O543" s="79"/>
      <c r="P543" s="79"/>
      <c r="Q543" s="79"/>
      <c r="R543" s="79"/>
      <c r="AP543" s="158"/>
      <c r="AQ543" s="158"/>
      <c r="AU543" s="79"/>
      <c r="AV543" s="79"/>
      <c r="BT543" s="158"/>
      <c r="BY543" s="79"/>
      <c r="DF543" s="79"/>
    </row>
    <row r="544" spans="1:110" x14ac:dyDescent="0.2">
      <c r="A544" s="8" t="s">
        <v>186</v>
      </c>
      <c r="B544" s="56">
        <f>SUMIF($464:$464,$A544,483:483)</f>
        <v>-27263.9</v>
      </c>
      <c r="C544" s="8" t="s">
        <v>186</v>
      </c>
      <c r="D544" s="56">
        <f>SUMIF($464:$464,$C544,484:484)</f>
        <v>-13903</v>
      </c>
      <c r="N544" s="79"/>
      <c r="O544" s="79"/>
      <c r="P544" s="79"/>
      <c r="Q544" s="79"/>
      <c r="R544" s="79"/>
      <c r="AP544" s="158"/>
      <c r="AQ544" s="158"/>
      <c r="AU544" s="79"/>
      <c r="AV544" s="79"/>
      <c r="BT544" s="158"/>
      <c r="BY544" s="79"/>
      <c r="DF544" s="79"/>
    </row>
    <row r="545" spans="1:135" x14ac:dyDescent="0.2">
      <c r="A545" s="8" t="s">
        <v>187</v>
      </c>
      <c r="B545" s="56">
        <f>SUMIF($464:$464,$A545,483:483)</f>
        <v>-5120.0999999999995</v>
      </c>
      <c r="C545" s="8" t="s">
        <v>187</v>
      </c>
      <c r="D545" s="56">
        <f>SUMIF($464:$464,$C545,484:484)</f>
        <v>-580624.51</v>
      </c>
      <c r="N545" s="79"/>
      <c r="O545" s="79"/>
      <c r="P545" s="79"/>
      <c r="Q545" s="79"/>
      <c r="R545" s="79"/>
      <c r="AP545" s="158"/>
      <c r="AQ545" s="158"/>
      <c r="AU545" s="79"/>
      <c r="AV545" s="79"/>
      <c r="BT545" s="158"/>
      <c r="BY545" s="79"/>
      <c r="DF545" s="79"/>
    </row>
    <row r="546" spans="1:135" x14ac:dyDescent="0.2">
      <c r="A546" s="8" t="s">
        <v>690</v>
      </c>
      <c r="B546" s="56">
        <f>SUMIF($464:$464,$A546,483:483)</f>
        <v>0</v>
      </c>
      <c r="C546" s="8" t="s">
        <v>690</v>
      </c>
      <c r="D546" s="56">
        <f>SUMIF($464:$464,$C546,484:484)</f>
        <v>-35855.65</v>
      </c>
      <c r="N546" s="79"/>
      <c r="O546" s="79"/>
      <c r="P546" s="79"/>
      <c r="Q546" s="79"/>
      <c r="R546" s="79"/>
      <c r="AP546" s="158"/>
      <c r="AQ546" s="158"/>
      <c r="AU546" s="79"/>
      <c r="AV546" s="79"/>
      <c r="BT546" s="158"/>
      <c r="BY546" s="79"/>
      <c r="DF546" s="79"/>
    </row>
    <row r="547" spans="1:135" ht="13.5" thickBot="1" x14ac:dyDescent="0.25">
      <c r="A547" s="58" t="s">
        <v>691</v>
      </c>
      <c r="B547" s="60">
        <f>SUMIF($464:$464,$A547,483:483)</f>
        <v>0</v>
      </c>
      <c r="C547" s="58" t="s">
        <v>691</v>
      </c>
      <c r="D547" s="60">
        <f>SUMIF($464:$464,$C547,484:484)</f>
        <v>-55712.93</v>
      </c>
      <c r="N547" s="79"/>
      <c r="O547" s="79"/>
      <c r="P547" s="79"/>
      <c r="Q547" s="79"/>
      <c r="R547" s="79"/>
      <c r="AE547" s="79" t="s">
        <v>186</v>
      </c>
      <c r="AF547" s="79" t="s">
        <v>187</v>
      </c>
      <c r="AP547" s="158"/>
      <c r="AQ547" s="158"/>
      <c r="AU547" s="79"/>
      <c r="AV547" s="79"/>
      <c r="BT547" s="158"/>
      <c r="BY547" s="79"/>
      <c r="DF547" s="79"/>
    </row>
    <row r="548" spans="1:135" ht="13.5" thickBot="1" x14ac:dyDescent="0.25">
      <c r="A548" s="9" t="s">
        <v>189</v>
      </c>
      <c r="B548" s="11">
        <f>SUM(B543:B547)</f>
        <v>-32384</v>
      </c>
      <c r="C548" s="9" t="s">
        <v>189</v>
      </c>
      <c r="D548" s="11">
        <f>SUM(D543:D547)</f>
        <v>-729387.31</v>
      </c>
      <c r="N548" s="79"/>
      <c r="O548" s="79"/>
      <c r="P548" s="79"/>
      <c r="Q548" s="79"/>
      <c r="R548" s="79"/>
      <c r="AE548" s="79" t="s">
        <v>218</v>
      </c>
      <c r="AF548" s="31" t="s">
        <v>219</v>
      </c>
      <c r="AM548" s="31"/>
      <c r="AP548" s="158"/>
      <c r="AQ548" s="158"/>
      <c r="AU548" s="79"/>
      <c r="AV548" s="79"/>
      <c r="BJ548" s="31"/>
      <c r="BQ548" s="31"/>
      <c r="BT548" s="158"/>
      <c r="BY548" s="79"/>
      <c r="CP548" s="31"/>
      <c r="CW548" s="31"/>
      <c r="CX548" s="31"/>
      <c r="DF548" s="79"/>
      <c r="DW548" s="31"/>
      <c r="ED548" s="31"/>
      <c r="EE548" s="31"/>
    </row>
    <row r="549" spans="1:135" ht="13.5" thickBot="1" x14ac:dyDescent="0.25">
      <c r="A549" s="30"/>
      <c r="B549" s="36"/>
      <c r="C549" s="36"/>
      <c r="D549" s="36"/>
      <c r="N549" s="36"/>
      <c r="O549" s="36"/>
    </row>
    <row r="550" spans="1:135" ht="26.25" thickBot="1" x14ac:dyDescent="0.25">
      <c r="A550" s="26" t="s">
        <v>698</v>
      </c>
      <c r="B550" s="26" t="s">
        <v>698</v>
      </c>
      <c r="C550" s="26" t="s">
        <v>509</v>
      </c>
      <c r="D550" s="26" t="s">
        <v>509</v>
      </c>
      <c r="N550" s="79"/>
      <c r="O550" s="79"/>
      <c r="P550" s="79"/>
      <c r="Q550" s="79"/>
      <c r="R550" s="79"/>
      <c r="AP550" s="158"/>
      <c r="AQ550" s="158"/>
      <c r="AU550" s="79"/>
      <c r="AV550" s="79"/>
      <c r="BT550" s="158"/>
      <c r="BY550" s="79"/>
      <c r="DF550" s="79"/>
    </row>
    <row r="551" spans="1:135" x14ac:dyDescent="0.2">
      <c r="A551" s="7" t="s">
        <v>697</v>
      </c>
      <c r="B551" s="57">
        <f>SUMIF($464:$464,$A551,485:485)</f>
        <v>0</v>
      </c>
      <c r="C551" s="7" t="s">
        <v>697</v>
      </c>
      <c r="D551" s="57">
        <f>SUMIF($464:$464,$C551,486:486)</f>
        <v>0</v>
      </c>
      <c r="N551" s="79"/>
      <c r="O551" s="79"/>
      <c r="P551" s="79"/>
      <c r="Q551" s="79"/>
      <c r="R551" s="79"/>
      <c r="AP551" s="158"/>
      <c r="AQ551" s="158"/>
      <c r="AU551" s="79"/>
      <c r="AV551" s="79"/>
      <c r="BT551" s="158"/>
      <c r="BY551" s="79"/>
      <c r="DF551" s="79"/>
    </row>
    <row r="552" spans="1:135" x14ac:dyDescent="0.2">
      <c r="A552" s="8" t="s">
        <v>186</v>
      </c>
      <c r="B552" s="56">
        <f>SUMIF($464:$464,$A552,485:485)</f>
        <v>0</v>
      </c>
      <c r="C552" s="8" t="s">
        <v>186</v>
      </c>
      <c r="D552" s="56">
        <f>SUMIF($464:$464,$C552,486:486)</f>
        <v>-177200</v>
      </c>
      <c r="N552" s="79"/>
      <c r="O552" s="79"/>
      <c r="P552" s="79"/>
      <c r="Q552" s="79"/>
      <c r="R552" s="79"/>
      <c r="AP552" s="158"/>
      <c r="AQ552" s="158"/>
      <c r="AU552" s="79"/>
      <c r="AV552" s="79"/>
      <c r="BT552" s="158"/>
      <c r="BY552" s="79"/>
      <c r="DF552" s="79"/>
    </row>
    <row r="553" spans="1:135" x14ac:dyDescent="0.2">
      <c r="A553" s="8" t="s">
        <v>187</v>
      </c>
      <c r="B553" s="56">
        <f>SUMIF($464:$464,$A553,485:485)</f>
        <v>-29486</v>
      </c>
      <c r="C553" s="8" t="s">
        <v>187</v>
      </c>
      <c r="D553" s="56">
        <f>SUMIF($464:$464,$C553,486:486)</f>
        <v>-1142848.1200000001</v>
      </c>
      <c r="N553" s="79"/>
      <c r="O553" s="79"/>
      <c r="P553" s="79"/>
      <c r="Q553" s="79"/>
      <c r="R553" s="79"/>
      <c r="AP553" s="158"/>
      <c r="AQ553" s="158"/>
      <c r="AU553" s="79"/>
      <c r="AV553" s="79"/>
      <c r="BT553" s="158"/>
      <c r="BY553" s="79"/>
      <c r="DF553" s="79"/>
    </row>
    <row r="554" spans="1:135" x14ac:dyDescent="0.2">
      <c r="A554" s="8" t="s">
        <v>690</v>
      </c>
      <c r="B554" s="56">
        <f>SUMIF($464:$464,$A554,485:485)</f>
        <v>0</v>
      </c>
      <c r="C554" s="8" t="s">
        <v>690</v>
      </c>
      <c r="D554" s="56">
        <f>SUMIF($464:$464,$C554,486:486)</f>
        <v>0</v>
      </c>
      <c r="N554" s="79"/>
      <c r="O554" s="79"/>
      <c r="P554" s="79"/>
      <c r="Q554" s="79"/>
      <c r="R554" s="79"/>
      <c r="AP554" s="158"/>
      <c r="AQ554" s="158"/>
      <c r="AU554" s="79"/>
      <c r="AV554" s="79"/>
      <c r="BT554" s="158"/>
      <c r="BY554" s="79"/>
      <c r="DF554" s="79"/>
    </row>
    <row r="555" spans="1:135" ht="13.5" thickBot="1" x14ac:dyDescent="0.25">
      <c r="A555" s="58" t="s">
        <v>691</v>
      </c>
      <c r="B555" s="60">
        <f>SUMIF($464:$464,$A555,485:485)</f>
        <v>54743</v>
      </c>
      <c r="C555" s="58" t="s">
        <v>691</v>
      </c>
      <c r="D555" s="60">
        <f>SUMIF($464:$464,$C555,486:486)</f>
        <v>-658487.15</v>
      </c>
      <c r="N555" s="79"/>
      <c r="O555" s="79"/>
      <c r="P555" s="79"/>
      <c r="Q555" s="79"/>
      <c r="R555" s="79"/>
      <c r="AE555" s="79" t="s">
        <v>186</v>
      </c>
      <c r="AF555" s="79" t="s">
        <v>187</v>
      </c>
      <c r="AP555" s="158"/>
      <c r="AQ555" s="158"/>
      <c r="AU555" s="79"/>
      <c r="AV555" s="79"/>
      <c r="BT555" s="158"/>
      <c r="BY555" s="79"/>
      <c r="DF555" s="79"/>
    </row>
    <row r="556" spans="1:135" ht="13.5" thickBot="1" x14ac:dyDescent="0.25">
      <c r="A556" s="9" t="s">
        <v>189</v>
      </c>
      <c r="B556" s="11">
        <f>SUM(B551:B555)</f>
        <v>25257</v>
      </c>
      <c r="C556" s="9" t="s">
        <v>189</v>
      </c>
      <c r="D556" s="11">
        <f>SUM(D551:D555)</f>
        <v>-1978535.27</v>
      </c>
      <c r="N556" s="79"/>
      <c r="O556" s="79"/>
      <c r="P556" s="79"/>
      <c r="Q556" s="79"/>
      <c r="R556" s="79"/>
      <c r="AE556" s="79" t="s">
        <v>218</v>
      </c>
      <c r="AF556" s="31" t="s">
        <v>219</v>
      </c>
      <c r="AM556" s="31"/>
      <c r="AP556" s="158"/>
      <c r="AQ556" s="158"/>
      <c r="AU556" s="79"/>
      <c r="AV556" s="79"/>
      <c r="BJ556" s="31"/>
      <c r="BQ556" s="31"/>
      <c r="BT556" s="158"/>
      <c r="BY556" s="79"/>
      <c r="CP556" s="31"/>
      <c r="CW556" s="31"/>
      <c r="CX556" s="31"/>
      <c r="DF556" s="79"/>
      <c r="DW556" s="31"/>
      <c r="ED556" s="31"/>
      <c r="EE556" s="31"/>
    </row>
    <row r="557" spans="1:135" ht="13.5" thickBot="1" x14ac:dyDescent="0.25">
      <c r="A557" s="30"/>
      <c r="B557" s="36"/>
      <c r="C557" s="36"/>
      <c r="D557" s="36"/>
      <c r="N557" s="36"/>
      <c r="O557" s="36"/>
    </row>
    <row r="558" spans="1:135" ht="13.5" thickBot="1" x14ac:dyDescent="0.25">
      <c r="A558" s="26" t="s">
        <v>476</v>
      </c>
      <c r="B558" s="26" t="s">
        <v>476</v>
      </c>
      <c r="C558" s="26" t="s">
        <v>228</v>
      </c>
      <c r="D558" s="26" t="s">
        <v>228</v>
      </c>
      <c r="N558" s="79"/>
      <c r="O558" s="79"/>
      <c r="P558" s="79"/>
      <c r="Q558" s="79"/>
      <c r="R558" s="79"/>
      <c r="AP558" s="158"/>
      <c r="AQ558" s="158"/>
      <c r="AU558" s="79"/>
      <c r="AV558" s="79"/>
      <c r="BT558" s="158"/>
      <c r="BY558" s="79"/>
      <c r="DF558" s="79"/>
    </row>
    <row r="559" spans="1:135" x14ac:dyDescent="0.2">
      <c r="A559" s="7" t="s">
        <v>697</v>
      </c>
      <c r="B559" s="57">
        <f>SUMIF($464:$464,$A559,487:487)</f>
        <v>0</v>
      </c>
      <c r="C559" s="7" t="s">
        <v>697</v>
      </c>
      <c r="D559" s="57">
        <f>SUMIF($464:$464,$C559,488:488)</f>
        <v>-155968.02000000002</v>
      </c>
      <c r="N559" s="79"/>
      <c r="O559" s="79"/>
      <c r="P559" s="79"/>
      <c r="Q559" s="79"/>
      <c r="R559" s="79"/>
      <c r="AP559" s="158"/>
      <c r="AQ559" s="158"/>
      <c r="AU559" s="79"/>
      <c r="AV559" s="79"/>
      <c r="BT559" s="158"/>
      <c r="BY559" s="79"/>
      <c r="DF559" s="79"/>
    </row>
    <row r="560" spans="1:135" x14ac:dyDescent="0.2">
      <c r="A560" s="8" t="s">
        <v>186</v>
      </c>
      <c r="B560" s="56">
        <f>SUMIF($464:$464,$A560,487:487)</f>
        <v>0</v>
      </c>
      <c r="C560" s="8" t="s">
        <v>186</v>
      </c>
      <c r="D560" s="56">
        <f>SUMIF($464:$464,$C560,488:488)</f>
        <v>-1809892.61</v>
      </c>
      <c r="N560" s="79"/>
      <c r="O560" s="79"/>
      <c r="P560" s="79"/>
      <c r="Q560" s="79"/>
      <c r="R560" s="79"/>
      <c r="AP560" s="158"/>
      <c r="AQ560" s="158"/>
      <c r="AU560" s="79"/>
      <c r="AV560" s="79"/>
      <c r="BT560" s="158"/>
      <c r="BY560" s="79"/>
      <c r="DF560" s="79"/>
    </row>
    <row r="561" spans="1:110" x14ac:dyDescent="0.2">
      <c r="A561" s="8" t="s">
        <v>187</v>
      </c>
      <c r="B561" s="56">
        <f>SUMIF($464:$464,$A561,487:487)</f>
        <v>-32201.670000000002</v>
      </c>
      <c r="C561" s="8" t="s">
        <v>187</v>
      </c>
      <c r="D561" s="56">
        <f>SUMIF($464:$464,$C561,488:488)</f>
        <v>-2052198.0900000003</v>
      </c>
      <c r="N561" s="79"/>
      <c r="O561" s="79"/>
      <c r="P561" s="79"/>
      <c r="Q561" s="79"/>
      <c r="R561" s="79"/>
      <c r="AP561" s="158"/>
      <c r="AQ561" s="158"/>
      <c r="AU561" s="79"/>
      <c r="AV561" s="79"/>
      <c r="BT561" s="158"/>
      <c r="BY561" s="79"/>
      <c r="DF561" s="79"/>
    </row>
    <row r="562" spans="1:110" x14ac:dyDescent="0.2">
      <c r="A562" s="8" t="s">
        <v>690</v>
      </c>
      <c r="B562" s="56">
        <f>SUMIF($464:$464,$A562,487:487)</f>
        <v>-1614.15</v>
      </c>
      <c r="C562" s="8" t="s">
        <v>690</v>
      </c>
      <c r="D562" s="56">
        <f>SUMIF($464:$464,$C562,488:488)</f>
        <v>-23302.79</v>
      </c>
      <c r="N562" s="79"/>
      <c r="O562" s="79"/>
      <c r="P562" s="79"/>
      <c r="Q562" s="79"/>
      <c r="R562" s="79"/>
      <c r="AP562" s="158"/>
      <c r="AQ562" s="158"/>
      <c r="AU562" s="79"/>
      <c r="AV562" s="79"/>
      <c r="BT562" s="158"/>
      <c r="BY562" s="79"/>
      <c r="DF562" s="79"/>
    </row>
    <row r="563" spans="1:110" ht="13.5" thickBot="1" x14ac:dyDescent="0.25">
      <c r="A563" s="58" t="s">
        <v>691</v>
      </c>
      <c r="B563" s="60">
        <f>SUMIF($464:$464,$A563,487:487)</f>
        <v>-8785.07</v>
      </c>
      <c r="C563" s="58" t="s">
        <v>691</v>
      </c>
      <c r="D563" s="60">
        <f>SUMIF($464:$464,$C563,488:488)</f>
        <v>-616031.99</v>
      </c>
      <c r="N563" s="79"/>
      <c r="O563" s="79"/>
      <c r="P563" s="79"/>
      <c r="Q563" s="79"/>
      <c r="R563" s="79"/>
      <c r="AP563" s="158"/>
      <c r="AQ563" s="158"/>
      <c r="AU563" s="79"/>
      <c r="AV563" s="79"/>
      <c r="BT563" s="158"/>
      <c r="BY563" s="79"/>
      <c r="DF563" s="79"/>
    </row>
    <row r="564" spans="1:110" ht="13.5" thickBot="1" x14ac:dyDescent="0.25">
      <c r="A564" s="9" t="s">
        <v>189</v>
      </c>
      <c r="B564" s="11">
        <f>SUM(B559:B563)</f>
        <v>-42600.89</v>
      </c>
      <c r="C564" s="9" t="s">
        <v>189</v>
      </c>
      <c r="D564" s="11">
        <f>SUM(D559:D563)</f>
        <v>-4657393.5000000009</v>
      </c>
      <c r="N564" s="79"/>
      <c r="O564" s="79"/>
      <c r="P564" s="79"/>
      <c r="Q564" s="79"/>
      <c r="R564" s="79"/>
      <c r="AP564" s="158"/>
      <c r="AQ564" s="158"/>
      <c r="AU564" s="79"/>
      <c r="AV564" s="79"/>
      <c r="BT564" s="158"/>
      <c r="BY564" s="79"/>
      <c r="DF564" s="79"/>
    </row>
    <row r="565" spans="1:110" ht="13.5" thickBot="1" x14ac:dyDescent="0.25">
      <c r="A565" s="30"/>
      <c r="B565" s="36"/>
      <c r="C565" s="36"/>
      <c r="D565" s="36"/>
      <c r="N565" s="36"/>
      <c r="O565" s="36"/>
    </row>
    <row r="566" spans="1:110" ht="40.5" customHeight="1" thickBot="1" x14ac:dyDescent="0.25">
      <c r="A566" s="34" t="s">
        <v>6</v>
      </c>
      <c r="B566" s="32" t="s">
        <v>190</v>
      </c>
      <c r="C566" s="33" t="s">
        <v>191</v>
      </c>
      <c r="D566" s="32" t="s">
        <v>192</v>
      </c>
      <c r="E566" s="34" t="s">
        <v>193</v>
      </c>
      <c r="F566" s="189"/>
      <c r="G566" s="189"/>
      <c r="H566" s="189"/>
      <c r="I566" s="189"/>
      <c r="J566" s="189"/>
      <c r="K566" s="189"/>
      <c r="L566" s="189"/>
      <c r="M566" s="208"/>
      <c r="N566" s="188" t="s">
        <v>824</v>
      </c>
      <c r="P566" s="32" t="s">
        <v>194</v>
      </c>
    </row>
    <row r="567" spans="1:110" ht="13.5" thickBot="1" x14ac:dyDescent="0.25">
      <c r="A567" s="174" t="s">
        <v>697</v>
      </c>
      <c r="B567" s="175">
        <f>1150752.73+968269.45</f>
        <v>2119022.1799999997</v>
      </c>
      <c r="C567" s="176">
        <f>+N495+B495+C495+B511+B527+C527+D527+N527+B535+C535+D535+D559+C511+D495+B519+D511+N511+P495+P511+P527+N535+D551+D543+B543+P535+B559+B503</f>
        <v>-2119022.1800000002</v>
      </c>
      <c r="D567" s="175">
        <f>SUM(B567:C567)</f>
        <v>0</v>
      </c>
      <c r="E567" s="141"/>
      <c r="F567" s="190"/>
      <c r="G567" s="190"/>
      <c r="H567" s="190"/>
      <c r="I567" s="190"/>
      <c r="J567" s="190"/>
      <c r="K567" s="190"/>
      <c r="L567" s="190"/>
      <c r="M567" s="209"/>
      <c r="N567" s="176">
        <v>0</v>
      </c>
      <c r="P567" s="206">
        <f>D567-N567+E567</f>
        <v>0</v>
      </c>
    </row>
    <row r="568" spans="1:110" ht="13.5" thickBot="1" x14ac:dyDescent="0.25">
      <c r="A568" s="174" t="s">
        <v>186</v>
      </c>
      <c r="B568" s="175">
        <f>9140955+45607</f>
        <v>9186562</v>
      </c>
      <c r="C568" s="176">
        <f>+N496+B496+C496+B512+B528+C528+D528+N528+B536+C536+D536+E536+D560+C512+D496+B520+D512+N512+P496+P512+P528+N536+D552+D544+B544+P536+B560+B504</f>
        <v>-7186562</v>
      </c>
      <c r="D568" s="175">
        <f>SUM(B568:C568)</f>
        <v>2000000</v>
      </c>
      <c r="E568" s="141">
        <v>-2000000</v>
      </c>
      <c r="F568" s="190"/>
      <c r="G568" s="190"/>
      <c r="H568" s="190"/>
      <c r="I568" s="190"/>
      <c r="J568" s="190"/>
      <c r="K568" s="190"/>
      <c r="L568" s="190"/>
      <c r="M568" s="209"/>
      <c r="N568" s="176">
        <v>0</v>
      </c>
      <c r="P568" s="206">
        <f>D568-N568+E568</f>
        <v>0</v>
      </c>
    </row>
    <row r="569" spans="1:110" ht="13.5" thickBot="1" x14ac:dyDescent="0.25">
      <c r="A569" s="174" t="s">
        <v>187</v>
      </c>
      <c r="B569" s="175">
        <f>10169754-15226-924219+6514446.56</f>
        <v>15744755.559999999</v>
      </c>
      <c r="C569" s="176">
        <f>+N497+B497+C497+B513+B529+C529+D529+N529+B537+C537+D537+E537+D561+C513+D497+B521+D513+N513+P497+P513+P529+N537+D553+D545+B545+P537+B561+B505+B553</f>
        <v>-15599090.859099999</v>
      </c>
      <c r="D569" s="175">
        <f>SUM(B569:C569)</f>
        <v>145664.70089999959</v>
      </c>
      <c r="E569" s="141">
        <v>-145664.70000000001</v>
      </c>
      <c r="F569" s="190"/>
      <c r="G569" s="190"/>
      <c r="H569" s="190"/>
      <c r="I569" s="190"/>
      <c r="J569" s="190"/>
      <c r="K569" s="190"/>
      <c r="L569" s="190"/>
      <c r="M569" s="209"/>
      <c r="N569" s="177">
        <v>0</v>
      </c>
      <c r="P569" s="206">
        <f>D569-N569+E569</f>
        <v>8.9999957708641887E-4</v>
      </c>
    </row>
    <row r="570" spans="1:110" ht="13.5" thickBot="1" x14ac:dyDescent="0.25">
      <c r="A570" s="178" t="s">
        <v>690</v>
      </c>
      <c r="B570" s="179">
        <f>8311893-766518</f>
        <v>7545375</v>
      </c>
      <c r="C570" s="176">
        <f>+N498+B498+C498+B514+B530+C530+D530+N530+B538+C538+D538+E538+D562+C514+D498+B522+D514+N514+P498+P514+P530+N538+D554+D546+B546+P538+B562+B506+B554</f>
        <v>-552724.08999999973</v>
      </c>
      <c r="D570" s="179">
        <f>SUM(B570:C570)</f>
        <v>6992650.9100000001</v>
      </c>
      <c r="E570" s="142">
        <v>-6992650.9100000001</v>
      </c>
      <c r="F570" s="190"/>
      <c r="G570" s="190"/>
      <c r="H570" s="190"/>
      <c r="I570" s="190"/>
      <c r="J570" s="190"/>
      <c r="K570" s="190"/>
      <c r="L570" s="190"/>
      <c r="M570" s="209"/>
      <c r="N570" s="177">
        <v>0</v>
      </c>
      <c r="P570" s="207">
        <f>D570-N570+E570</f>
        <v>0</v>
      </c>
    </row>
    <row r="571" spans="1:110" ht="13.5" thickBot="1" x14ac:dyDescent="0.25">
      <c r="A571" s="178" t="s">
        <v>691</v>
      </c>
      <c r="B571" s="179">
        <v>16466174.609999999</v>
      </c>
      <c r="C571" s="176">
        <f>+N499+B499+C499+B515+B531+C531+D531+N531+B539+C539+D539+E539+D563+C515+D499+B523+D515+N515+P499+P515+P531+N539+D555+D547+B547+P539+B563+B507+B555</f>
        <v>-6065947.8500000006</v>
      </c>
      <c r="D571" s="179">
        <f>SUM(B571:C571)</f>
        <v>10400226.759999998</v>
      </c>
      <c r="E571" s="142"/>
      <c r="F571" s="190"/>
      <c r="G571" s="190"/>
      <c r="H571" s="190"/>
      <c r="I571" s="190"/>
      <c r="J571" s="190"/>
      <c r="K571" s="190"/>
      <c r="L571" s="190"/>
      <c r="M571" s="209"/>
      <c r="N571" s="177">
        <v>10692683.9</v>
      </c>
      <c r="P571" s="207">
        <f>D571-N571+E571</f>
        <v>-292457.14000000246</v>
      </c>
    </row>
    <row r="572" spans="1:110" ht="13.5" thickBot="1" x14ac:dyDescent="0.25">
      <c r="A572" s="214" t="s">
        <v>811</v>
      </c>
      <c r="B572" s="215">
        <v>9728272</v>
      </c>
      <c r="C572" s="216"/>
      <c r="D572" s="215"/>
      <c r="E572" s="217"/>
      <c r="F572" s="190"/>
      <c r="G572" s="190"/>
      <c r="H572" s="190"/>
      <c r="I572" s="190"/>
      <c r="J572" s="190"/>
      <c r="K572" s="190"/>
      <c r="L572" s="190"/>
      <c r="M572" s="209"/>
      <c r="N572" s="218"/>
      <c r="P572" s="219"/>
    </row>
    <row r="573" spans="1:110" ht="13.5" thickBot="1" x14ac:dyDescent="0.25">
      <c r="A573" s="180" t="s">
        <v>189</v>
      </c>
      <c r="B573" s="181">
        <f>SUM(B567:B572)</f>
        <v>60790161.349999994</v>
      </c>
      <c r="C573" s="181">
        <f t="shared" ref="C573:P573" si="613">SUM(C567:C572)</f>
        <v>-31523346.9791</v>
      </c>
      <c r="D573" s="181">
        <f t="shared" si="613"/>
        <v>19538542.370899998</v>
      </c>
      <c r="E573" s="181">
        <f t="shared" si="613"/>
        <v>-9138315.6099999994</v>
      </c>
      <c r="F573" s="181">
        <f t="shared" si="613"/>
        <v>0</v>
      </c>
      <c r="G573" s="181">
        <f t="shared" si="613"/>
        <v>0</v>
      </c>
      <c r="H573" s="181">
        <f t="shared" si="613"/>
        <v>0</v>
      </c>
      <c r="I573" s="181">
        <f t="shared" si="613"/>
        <v>0</v>
      </c>
      <c r="J573" s="181">
        <f t="shared" si="613"/>
        <v>0</v>
      </c>
      <c r="K573" s="181">
        <f t="shared" si="613"/>
        <v>0</v>
      </c>
      <c r="L573" s="181">
        <f t="shared" si="613"/>
        <v>0</v>
      </c>
      <c r="M573" s="181">
        <f t="shared" si="613"/>
        <v>0</v>
      </c>
      <c r="N573" s="181">
        <f t="shared" si="613"/>
        <v>10692683.9</v>
      </c>
      <c r="O573" s="181">
        <f t="shared" si="613"/>
        <v>0</v>
      </c>
      <c r="P573" s="181">
        <f t="shared" si="613"/>
        <v>-292457.13910000288</v>
      </c>
    </row>
    <row r="574" spans="1:110" ht="13.5" thickTop="1" x14ac:dyDescent="0.2">
      <c r="A574" s="182"/>
      <c r="B574" s="182"/>
      <c r="C574" s="182"/>
      <c r="D574" s="182"/>
      <c r="E574" s="182"/>
      <c r="F574" s="187"/>
      <c r="G574" s="187"/>
      <c r="H574" s="187"/>
      <c r="I574" s="187"/>
      <c r="J574" s="187"/>
      <c r="K574" s="187"/>
      <c r="L574" s="187"/>
      <c r="M574" s="187"/>
      <c r="P574" s="76"/>
    </row>
    <row r="575" spans="1:110" ht="13.5" thickBot="1" x14ac:dyDescent="0.25">
      <c r="A575" s="182"/>
      <c r="B575" s="182"/>
      <c r="C575" s="182" t="s">
        <v>701</v>
      </c>
      <c r="D575" s="182"/>
      <c r="E575" s="182"/>
      <c r="F575" s="187"/>
      <c r="G575" s="187"/>
      <c r="H575" s="187"/>
      <c r="I575" s="187"/>
      <c r="J575" s="187"/>
      <c r="K575" s="187"/>
      <c r="L575" s="187"/>
      <c r="M575" s="187"/>
      <c r="P575" s="76"/>
    </row>
    <row r="576" spans="1:110" ht="13.5" thickBot="1" x14ac:dyDescent="0.25">
      <c r="A576" s="182"/>
      <c r="B576" s="182"/>
      <c r="C576" s="183" t="s">
        <v>701</v>
      </c>
      <c r="D576" s="184"/>
      <c r="E576" s="332" t="s">
        <v>217</v>
      </c>
      <c r="F576" s="333"/>
      <c r="G576" s="333"/>
      <c r="H576" s="333"/>
      <c r="I576" s="333"/>
      <c r="J576" s="333"/>
      <c r="K576" s="333"/>
      <c r="L576" s="333"/>
      <c r="M576" s="333"/>
      <c r="N576" s="334"/>
      <c r="P576" s="185">
        <f>EM490</f>
        <v>13738033.659680428</v>
      </c>
    </row>
    <row r="577" spans="1:139" ht="13.5" thickBot="1" x14ac:dyDescent="0.25">
      <c r="A577" s="182"/>
      <c r="B577" s="182"/>
      <c r="C577" s="182"/>
      <c r="D577" s="184"/>
      <c r="E577" s="332" t="s">
        <v>208</v>
      </c>
      <c r="F577" s="333"/>
      <c r="G577" s="333"/>
      <c r="H577" s="333"/>
      <c r="I577" s="333"/>
      <c r="J577" s="333"/>
      <c r="K577" s="333"/>
      <c r="L577" s="333"/>
      <c r="M577" s="333"/>
      <c r="N577" s="334"/>
      <c r="P577" s="186">
        <f>N573-P576</f>
        <v>-3045349.7596804276</v>
      </c>
    </row>
    <row r="578" spans="1:139" x14ac:dyDescent="0.2">
      <c r="A578" s="182"/>
      <c r="B578" s="182"/>
      <c r="C578" s="182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</row>
    <row r="579" spans="1:139" ht="13.5" thickBot="1" x14ac:dyDescent="0.25">
      <c r="N579" s="41"/>
      <c r="P579" s="86"/>
    </row>
    <row r="580" spans="1:139" ht="13.5" thickBot="1" x14ac:dyDescent="0.25">
      <c r="E580" s="335" t="s">
        <v>810</v>
      </c>
      <c r="F580" s="336"/>
      <c r="G580" s="336"/>
      <c r="H580" s="336"/>
      <c r="I580" s="336"/>
      <c r="J580" s="336"/>
      <c r="K580" s="336"/>
      <c r="L580" s="336"/>
      <c r="M580" s="336"/>
      <c r="N580" s="337"/>
      <c r="O580" s="212"/>
      <c r="P580" s="210">
        <f>EX490</f>
        <v>-2174472.92</v>
      </c>
    </row>
    <row r="581" spans="1:139" ht="13.5" thickBot="1" x14ac:dyDescent="0.25">
      <c r="E581" s="338" t="s">
        <v>194</v>
      </c>
      <c r="F581" s="339"/>
      <c r="G581" s="339"/>
      <c r="H581" s="339"/>
      <c r="I581" s="339"/>
      <c r="J581" s="339"/>
      <c r="K581" s="339"/>
      <c r="L581" s="339"/>
      <c r="M581" s="339"/>
      <c r="N581" s="340"/>
      <c r="O581" s="213"/>
      <c r="P581" s="211">
        <f>P571-P580</f>
        <v>1882015.7799999975</v>
      </c>
      <c r="EI581" s="79" t="s">
        <v>701</v>
      </c>
    </row>
    <row r="582" spans="1:139" x14ac:dyDescent="0.2">
      <c r="EI582" s="79" t="s">
        <v>701</v>
      </c>
    </row>
    <row r="583" spans="1:139" x14ac:dyDescent="0.2">
      <c r="P583" s="221">
        <f>FE461</f>
        <v>-277267.02999999997</v>
      </c>
    </row>
    <row r="584" spans="1:139" x14ac:dyDescent="0.2">
      <c r="P584" s="221">
        <f>P571-P583</f>
        <v>-15190.110000002489</v>
      </c>
    </row>
    <row r="594" spans="143:149" x14ac:dyDescent="0.2">
      <c r="EM594" s="79" t="s">
        <v>701</v>
      </c>
    </row>
    <row r="595" spans="143:149" x14ac:dyDescent="0.2">
      <c r="EM595" s="79" t="s">
        <v>701</v>
      </c>
    </row>
    <row r="598" spans="143:149" x14ac:dyDescent="0.2">
      <c r="ES598" s="66" t="s">
        <v>701</v>
      </c>
    </row>
    <row r="617" spans="5:13" x14ac:dyDescent="0.2">
      <c r="M617" s="76" t="s">
        <v>701</v>
      </c>
    </row>
    <row r="623" spans="5:13" x14ac:dyDescent="0.2">
      <c r="E623" s="76" t="s">
        <v>701</v>
      </c>
    </row>
    <row r="631" spans="150:154" x14ac:dyDescent="0.2">
      <c r="ET631" s="66" t="s">
        <v>701</v>
      </c>
    </row>
    <row r="632" spans="150:154" x14ac:dyDescent="0.2">
      <c r="EX632" s="66" t="s">
        <v>701</v>
      </c>
    </row>
  </sheetData>
  <autoFilter ref="A2:FO458" xr:uid="{00000000-0001-0000-0000-000000000000}">
    <filterColumn colId="2">
      <filters>
        <filter val="Pueblo School District No. 60"/>
      </filters>
    </filterColumn>
    <filterColumn colId="3">
      <filters>
        <filter val="Highland Park Elementary School"/>
        <filter val="Park View Elementary School"/>
      </filters>
    </filterColumn>
  </autoFilter>
  <sortState xmlns:xlrd2="http://schemas.microsoft.com/office/spreadsheetml/2017/richdata2" ref="A76:FO159">
    <sortCondition ref="A76:A159"/>
    <sortCondition ref="B76:B159"/>
  </sortState>
  <mergeCells count="83">
    <mergeCell ref="E576:N576"/>
    <mergeCell ref="E577:N577"/>
    <mergeCell ref="E580:N580"/>
    <mergeCell ref="E581:N581"/>
    <mergeCell ref="EE1:EG1"/>
    <mergeCell ref="DK1:DL1"/>
    <mergeCell ref="DM1:DN1"/>
    <mergeCell ref="DO1:DP1"/>
    <mergeCell ref="DQ1:DR1"/>
    <mergeCell ref="DS1:DT1"/>
    <mergeCell ref="DB1:DD1"/>
    <mergeCell ref="CN1:CO1"/>
    <mergeCell ref="CP1:CQ1"/>
    <mergeCell ref="CR1:CS1"/>
    <mergeCell ref="CT1:CU1"/>
    <mergeCell ref="CV1:CW1"/>
    <mergeCell ref="EH1:EI1"/>
    <mergeCell ref="EJ1:EL1"/>
    <mergeCell ref="DU1:DV1"/>
    <mergeCell ref="DW1:DX1"/>
    <mergeCell ref="DY1:DZ1"/>
    <mergeCell ref="EA1:EB1"/>
    <mergeCell ref="EC1:ED1"/>
    <mergeCell ref="CH1:CI1"/>
    <mergeCell ref="CJ1:CK1"/>
    <mergeCell ref="CL1:CM1"/>
    <mergeCell ref="CX1:CY1"/>
    <mergeCell ref="CZ1:DA1"/>
    <mergeCell ref="BD1:BE1"/>
    <mergeCell ref="BF1:BG1"/>
    <mergeCell ref="BR1:BS1"/>
    <mergeCell ref="BT1:BU1"/>
    <mergeCell ref="CF1:CG1"/>
    <mergeCell ref="CD1:CE1"/>
    <mergeCell ref="BV1:BW1"/>
    <mergeCell ref="BH1:BI1"/>
    <mergeCell ref="BJ1:BK1"/>
    <mergeCell ref="BL1:BM1"/>
    <mergeCell ref="BN1:BO1"/>
    <mergeCell ref="BP1:BQ1"/>
    <mergeCell ref="X1:Y1"/>
    <mergeCell ref="Z1:AA1"/>
    <mergeCell ref="AB1:AC1"/>
    <mergeCell ref="AD1:AE1"/>
    <mergeCell ref="AR1:AS1"/>
    <mergeCell ref="AF1:AG1"/>
    <mergeCell ref="AH1:AI1"/>
    <mergeCell ref="AJ1:AK1"/>
    <mergeCell ref="AL1:AM1"/>
    <mergeCell ref="AN1:AO1"/>
    <mergeCell ref="AP1:AQ1"/>
    <mergeCell ref="N465:P465"/>
    <mergeCell ref="N466:P466"/>
    <mergeCell ref="N471:P471"/>
    <mergeCell ref="N475:P475"/>
    <mergeCell ref="FI1:FK1"/>
    <mergeCell ref="EZ1:FC1"/>
    <mergeCell ref="N464:P464"/>
    <mergeCell ref="N467:P467"/>
    <mergeCell ref="N469:P469"/>
    <mergeCell ref="N473:P473"/>
    <mergeCell ref="N470:P470"/>
    <mergeCell ref="T1:U1"/>
    <mergeCell ref="V1:W1"/>
    <mergeCell ref="AX1:AY1"/>
    <mergeCell ref="AZ1:BA1"/>
    <mergeCell ref="BB1:BC1"/>
    <mergeCell ref="N488:P488"/>
    <mergeCell ref="N481:P481"/>
    <mergeCell ref="N472:P472"/>
    <mergeCell ref="N468:P468"/>
    <mergeCell ref="N487:P487"/>
    <mergeCell ref="N483:P483"/>
    <mergeCell ref="N486:P486"/>
    <mergeCell ref="N484:P484"/>
    <mergeCell ref="N485:P485"/>
    <mergeCell ref="N482:P482"/>
    <mergeCell ref="N480:P480"/>
    <mergeCell ref="N476:P476"/>
    <mergeCell ref="N474:P474"/>
    <mergeCell ref="N479:P479"/>
    <mergeCell ref="N477:P477"/>
    <mergeCell ref="N478:P478"/>
  </mergeCells>
  <phoneticPr fontId="6" type="noConversion"/>
  <conditionalFormatting sqref="Q1:R1">
    <cfRule type="containsText" dxfId="4" priority="3" operator="containsText" text="N/A">
      <formula>NOT(ISERROR(SEARCH("N/A",Q1)))</formula>
    </cfRule>
    <cfRule type="containsText" dxfId="3" priority="4" operator="containsText" text="No">
      <formula>NOT(ISERROR(SEARCH("No",Q1)))</formula>
    </cfRule>
    <cfRule type="containsText" dxfId="2" priority="5" operator="containsText" text="Yes">
      <formula>NOT(ISERROR(SEARCH("Yes",Q1)))</formula>
    </cfRule>
  </conditionalFormatting>
  <conditionalFormatting sqref="P566">
    <cfRule type="cellIs" dxfId="1" priority="2" operator="equal">
      <formula>"No"</formula>
    </cfRule>
  </conditionalFormatting>
  <conditionalFormatting sqref="P566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S109"/>
  <sheetViews>
    <sheetView zoomScale="77" zoomScaleNormal="77" workbookViewId="0">
      <selection activeCell="CN9" sqref="CN9"/>
    </sheetView>
  </sheetViews>
  <sheetFormatPr defaultRowHeight="15" x14ac:dyDescent="0.25"/>
  <sheetData>
    <row r="1" spans="1:97" ht="77.25" thickBot="1" x14ac:dyDescent="0.3">
      <c r="A1" s="73" t="s">
        <v>0</v>
      </c>
      <c r="B1" s="73" t="s">
        <v>110</v>
      </c>
      <c r="C1" s="71" t="s">
        <v>1</v>
      </c>
      <c r="D1" s="71" t="s">
        <v>2</v>
      </c>
      <c r="E1" s="71" t="s">
        <v>3</v>
      </c>
      <c r="F1" s="73" t="s">
        <v>4</v>
      </c>
      <c r="G1" s="73" t="s">
        <v>5</v>
      </c>
      <c r="H1" s="73" t="s">
        <v>6</v>
      </c>
      <c r="I1" s="73" t="s">
        <v>169</v>
      </c>
      <c r="J1" s="73" t="s">
        <v>7</v>
      </c>
      <c r="K1" s="72" t="s">
        <v>170</v>
      </c>
      <c r="L1" s="341" t="s">
        <v>171</v>
      </c>
      <c r="M1" s="342"/>
      <c r="N1" s="341" t="s">
        <v>172</v>
      </c>
      <c r="O1" s="342"/>
      <c r="P1" s="341" t="s">
        <v>173</v>
      </c>
      <c r="Q1" s="342"/>
      <c r="R1" s="343" t="s">
        <v>174</v>
      </c>
      <c r="S1" s="342"/>
      <c r="T1" s="341" t="s">
        <v>175</v>
      </c>
      <c r="U1" s="342"/>
      <c r="V1" s="341" t="s">
        <v>176</v>
      </c>
      <c r="W1" s="342"/>
      <c r="X1" s="341" t="s">
        <v>177</v>
      </c>
      <c r="Y1" s="342"/>
      <c r="Z1" s="341" t="s">
        <v>178</v>
      </c>
      <c r="AA1" s="342"/>
      <c r="AB1" s="341" t="s">
        <v>179</v>
      </c>
      <c r="AC1" s="342"/>
      <c r="AD1" s="341" t="s">
        <v>180</v>
      </c>
      <c r="AE1" s="342"/>
      <c r="AF1" s="341" t="s">
        <v>181</v>
      </c>
      <c r="AG1" s="342"/>
      <c r="AH1" s="341" t="s">
        <v>182</v>
      </c>
      <c r="AI1" s="342"/>
      <c r="AJ1" s="343" t="s">
        <v>183</v>
      </c>
      <c r="AK1" s="342"/>
      <c r="AL1" s="72" t="s">
        <v>184</v>
      </c>
      <c r="AM1" s="74" t="s">
        <v>4</v>
      </c>
      <c r="AN1" s="72" t="s">
        <v>291</v>
      </c>
      <c r="AO1" s="341" t="s">
        <v>171</v>
      </c>
      <c r="AP1" s="342"/>
      <c r="AQ1" s="341" t="s">
        <v>172</v>
      </c>
      <c r="AR1" s="342"/>
      <c r="AS1" s="341" t="s">
        <v>173</v>
      </c>
      <c r="AT1" s="342"/>
      <c r="AU1" s="343" t="s">
        <v>174</v>
      </c>
      <c r="AV1" s="342"/>
      <c r="AW1" s="341" t="s">
        <v>175</v>
      </c>
      <c r="AX1" s="342"/>
      <c r="AY1" s="341" t="s">
        <v>176</v>
      </c>
      <c r="AZ1" s="342"/>
      <c r="BA1" s="341" t="s">
        <v>177</v>
      </c>
      <c r="BB1" s="342"/>
      <c r="BC1" s="341" t="s">
        <v>178</v>
      </c>
      <c r="BD1" s="342"/>
      <c r="BE1" s="341" t="s">
        <v>179</v>
      </c>
      <c r="BF1" s="342"/>
      <c r="BG1" s="341" t="s">
        <v>180</v>
      </c>
      <c r="BH1" s="342"/>
      <c r="BI1" s="341" t="s">
        <v>181</v>
      </c>
      <c r="BJ1" s="342"/>
      <c r="BK1" s="341" t="s">
        <v>182</v>
      </c>
      <c r="BL1" s="342"/>
      <c r="BM1" s="343" t="s">
        <v>183</v>
      </c>
      <c r="BN1" s="342"/>
      <c r="BO1" s="72" t="s">
        <v>292</v>
      </c>
      <c r="BP1" s="74" t="s">
        <v>4</v>
      </c>
      <c r="BQ1" s="72" t="s">
        <v>448</v>
      </c>
      <c r="BR1" s="341" t="s">
        <v>171</v>
      </c>
      <c r="BS1" s="342"/>
      <c r="BT1" s="341" t="s">
        <v>172</v>
      </c>
      <c r="BU1" s="342"/>
      <c r="BV1" s="341" t="s">
        <v>173</v>
      </c>
      <c r="BW1" s="342"/>
      <c r="BX1" s="343" t="s">
        <v>174</v>
      </c>
      <c r="BY1" s="342"/>
      <c r="BZ1" s="341" t="s">
        <v>175</v>
      </c>
      <c r="CA1" s="342"/>
      <c r="CB1" s="341" t="s">
        <v>176</v>
      </c>
      <c r="CC1" s="342"/>
      <c r="CD1" s="341" t="s">
        <v>177</v>
      </c>
      <c r="CE1" s="342"/>
      <c r="CF1" s="341" t="s">
        <v>178</v>
      </c>
      <c r="CG1" s="342"/>
      <c r="CH1" s="341" t="s">
        <v>179</v>
      </c>
      <c r="CI1" s="342"/>
      <c r="CJ1" s="341" t="s">
        <v>180</v>
      </c>
      <c r="CK1" s="342"/>
      <c r="CL1" s="341" t="s">
        <v>181</v>
      </c>
      <c r="CM1" s="342"/>
      <c r="CN1" s="341" t="s">
        <v>182</v>
      </c>
      <c r="CO1" s="342"/>
      <c r="CP1" s="343" t="s">
        <v>183</v>
      </c>
      <c r="CQ1" s="343"/>
      <c r="CR1" s="342"/>
      <c r="CS1" s="75" t="s">
        <v>449</v>
      </c>
    </row>
    <row r="2" spans="1:97" x14ac:dyDescent="0.25">
      <c r="A2" s="76" t="s">
        <v>8</v>
      </c>
      <c r="B2" s="76" t="s">
        <v>34</v>
      </c>
      <c r="C2" s="76" t="s">
        <v>89</v>
      </c>
      <c r="D2" s="76" t="s">
        <v>111</v>
      </c>
      <c r="E2" s="77" t="s">
        <v>211</v>
      </c>
      <c r="F2" s="76" t="s">
        <v>161</v>
      </c>
      <c r="G2" s="76" t="s">
        <v>160</v>
      </c>
      <c r="H2" s="76" t="s">
        <v>168</v>
      </c>
      <c r="I2" s="78">
        <v>43168</v>
      </c>
      <c r="J2" s="78">
        <v>43168</v>
      </c>
      <c r="K2" s="79">
        <v>18704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79">
        <v>0</v>
      </c>
      <c r="AK2" s="79">
        <v>0</v>
      </c>
      <c r="AL2" s="79">
        <v>18704</v>
      </c>
      <c r="AM2" s="81" t="s">
        <v>161</v>
      </c>
      <c r="AN2" s="79">
        <v>82968</v>
      </c>
      <c r="AO2" s="83"/>
      <c r="AP2" s="83"/>
      <c r="AQ2" s="83"/>
      <c r="AR2" s="83"/>
      <c r="AS2" s="79">
        <v>-5774</v>
      </c>
      <c r="AT2" s="83"/>
      <c r="AU2" s="83"/>
      <c r="AV2" s="83"/>
      <c r="AW2" s="79">
        <v>-2902</v>
      </c>
      <c r="AX2" s="83"/>
      <c r="AY2" s="79">
        <v>-9780</v>
      </c>
      <c r="AZ2" s="83"/>
      <c r="BA2" s="83"/>
      <c r="BB2" s="83"/>
      <c r="BC2" s="79">
        <v>-12698</v>
      </c>
      <c r="BD2" s="83"/>
      <c r="BE2" s="83"/>
      <c r="BF2" s="83"/>
      <c r="BG2" s="79">
        <v>-18558</v>
      </c>
      <c r="BH2" s="83"/>
      <c r="BI2" s="83"/>
      <c r="BJ2" s="83"/>
      <c r="BK2" s="83"/>
      <c r="BL2" s="83"/>
      <c r="BM2" s="79">
        <v>-49712</v>
      </c>
      <c r="BN2" s="79">
        <v>0</v>
      </c>
      <c r="BO2" s="79">
        <v>51960</v>
      </c>
      <c r="BP2" s="81" t="s">
        <v>341</v>
      </c>
      <c r="BQ2" s="79">
        <v>63579</v>
      </c>
      <c r="BR2" s="83"/>
      <c r="BS2" s="83"/>
      <c r="BT2" s="83"/>
      <c r="BU2" s="83"/>
      <c r="BV2" s="83"/>
      <c r="BW2" s="83"/>
      <c r="BX2" s="82">
        <v>-2400</v>
      </c>
      <c r="BY2" s="83"/>
      <c r="BZ2" s="83"/>
      <c r="CA2" s="83"/>
      <c r="CB2" s="79">
        <v>-9339.4</v>
      </c>
      <c r="CC2" s="83"/>
      <c r="CD2" s="83"/>
      <c r="CE2" s="83"/>
      <c r="CF2" s="79">
        <v>-13622.83</v>
      </c>
      <c r="CG2" s="83"/>
      <c r="CH2" s="83"/>
      <c r="CI2" s="83"/>
      <c r="CJ2" s="83"/>
      <c r="CK2" s="83"/>
      <c r="CL2" s="83"/>
      <c r="CM2" s="83"/>
      <c r="CN2" s="83"/>
      <c r="CO2" s="83"/>
      <c r="CP2" s="79">
        <v>0</v>
      </c>
      <c r="CQ2" s="79">
        <v>-25362.23</v>
      </c>
      <c r="CR2" s="79">
        <v>0</v>
      </c>
      <c r="CS2" s="82">
        <v>90176.77</v>
      </c>
    </row>
    <row r="3" spans="1:97" x14ac:dyDescent="0.25">
      <c r="A3" s="76" t="s">
        <v>9</v>
      </c>
      <c r="B3" s="76" t="s">
        <v>34</v>
      </c>
      <c r="C3" s="76" t="s">
        <v>90</v>
      </c>
      <c r="D3" s="76" t="s">
        <v>111</v>
      </c>
      <c r="E3" s="77" t="s">
        <v>211</v>
      </c>
      <c r="F3" s="76" t="s">
        <v>161</v>
      </c>
      <c r="G3" s="76" t="s">
        <v>160</v>
      </c>
      <c r="H3" s="76" t="s">
        <v>168</v>
      </c>
      <c r="I3" s="78">
        <v>43168</v>
      </c>
      <c r="J3" s="78">
        <v>43168</v>
      </c>
      <c r="K3" s="79">
        <v>25000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79">
        <v>0</v>
      </c>
      <c r="AK3" s="79">
        <v>0</v>
      </c>
      <c r="AL3" s="79">
        <v>25000</v>
      </c>
      <c r="AM3" s="80"/>
      <c r="AN3" s="79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79"/>
      <c r="BH3" s="79"/>
      <c r="BI3" s="79"/>
      <c r="BJ3" s="79"/>
      <c r="BK3" s="83"/>
      <c r="BL3" s="83"/>
      <c r="BM3" s="79">
        <v>0</v>
      </c>
      <c r="BN3" s="79">
        <v>0</v>
      </c>
      <c r="BO3" s="79">
        <v>25000</v>
      </c>
      <c r="BP3" s="80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79"/>
      <c r="CK3" s="79"/>
      <c r="CL3" s="79"/>
      <c r="CM3" s="79"/>
      <c r="CN3" s="83"/>
      <c r="CO3" s="83"/>
      <c r="CP3" s="79">
        <v>0</v>
      </c>
      <c r="CQ3" s="79">
        <v>0</v>
      </c>
      <c r="CR3" s="79">
        <v>0</v>
      </c>
      <c r="CS3" s="82">
        <v>25000</v>
      </c>
    </row>
    <row r="4" spans="1:97" x14ac:dyDescent="0.25">
      <c r="A4" s="76" t="s">
        <v>10</v>
      </c>
      <c r="B4" s="76" t="s">
        <v>34</v>
      </c>
      <c r="C4" s="76" t="s">
        <v>91</v>
      </c>
      <c r="D4" s="76" t="s">
        <v>111</v>
      </c>
      <c r="E4" s="77" t="s">
        <v>211</v>
      </c>
      <c r="F4" s="76" t="s">
        <v>161</v>
      </c>
      <c r="G4" s="76" t="s">
        <v>160</v>
      </c>
      <c r="H4" s="76" t="s">
        <v>168</v>
      </c>
      <c r="I4" s="78">
        <v>43168</v>
      </c>
      <c r="J4" s="78">
        <v>43168</v>
      </c>
      <c r="K4" s="79">
        <v>49872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79">
        <v>-49872</v>
      </c>
      <c r="AG4" s="83"/>
      <c r="AH4" s="83"/>
      <c r="AI4" s="83"/>
      <c r="AJ4" s="79">
        <v>-49872</v>
      </c>
      <c r="AK4" s="79">
        <v>0</v>
      </c>
      <c r="AL4" s="79">
        <v>0</v>
      </c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79">
        <v>0</v>
      </c>
      <c r="BN4" s="79">
        <v>0</v>
      </c>
      <c r="BO4" s="79">
        <v>0</v>
      </c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79">
        <v>0</v>
      </c>
      <c r="CQ4" s="79">
        <v>0</v>
      </c>
      <c r="CR4" s="79">
        <v>0</v>
      </c>
      <c r="CS4" s="82">
        <v>0</v>
      </c>
    </row>
    <row r="5" spans="1:97" x14ac:dyDescent="0.25">
      <c r="A5" s="76" t="s">
        <v>12</v>
      </c>
      <c r="B5" s="76" t="s">
        <v>34</v>
      </c>
      <c r="C5" s="76" t="s">
        <v>93</v>
      </c>
      <c r="D5" s="76" t="s">
        <v>111</v>
      </c>
      <c r="E5" s="77" t="s">
        <v>211</v>
      </c>
      <c r="F5" s="76" t="s">
        <v>161</v>
      </c>
      <c r="G5" s="76" t="s">
        <v>160</v>
      </c>
      <c r="H5" s="76" t="s">
        <v>168</v>
      </c>
      <c r="I5" s="78">
        <v>43168</v>
      </c>
      <c r="J5" s="78">
        <v>43168</v>
      </c>
      <c r="K5" s="79">
        <v>358789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79">
        <v>0</v>
      </c>
      <c r="AK5" s="79">
        <v>0</v>
      </c>
      <c r="AL5" s="79">
        <v>358789</v>
      </c>
      <c r="AM5" s="83"/>
      <c r="AN5" s="83"/>
      <c r="AO5" s="83"/>
      <c r="AP5" s="83"/>
      <c r="AQ5" s="83"/>
      <c r="AR5" s="83"/>
      <c r="AS5" s="79">
        <v>-1746</v>
      </c>
      <c r="AT5" s="83"/>
      <c r="AU5" s="79">
        <v>-9359</v>
      </c>
      <c r="AV5" s="83"/>
      <c r="AW5" s="79">
        <v>-5636</v>
      </c>
      <c r="AX5" s="83"/>
      <c r="AY5" s="79">
        <v>-30766</v>
      </c>
      <c r="AZ5" s="83"/>
      <c r="BA5" s="79">
        <v>-12952</v>
      </c>
      <c r="BB5" s="83"/>
      <c r="BC5" s="79">
        <v>-37200</v>
      </c>
      <c r="BD5" s="83"/>
      <c r="BE5" s="79">
        <v>-24226</v>
      </c>
      <c r="BF5" s="83"/>
      <c r="BG5" s="79">
        <v>-10500</v>
      </c>
      <c r="BH5" s="83"/>
      <c r="BI5" s="83"/>
      <c r="BJ5" s="83"/>
      <c r="BK5" s="83"/>
      <c r="BL5" s="83"/>
      <c r="BM5" s="79">
        <v>-132385</v>
      </c>
      <c r="BN5" s="79">
        <v>0</v>
      </c>
      <c r="BO5" s="79">
        <v>226404</v>
      </c>
      <c r="BP5" s="83"/>
      <c r="BQ5" s="83"/>
      <c r="BR5" s="79">
        <v>-154595.37</v>
      </c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79">
        <v>-154595.37</v>
      </c>
      <c r="CQ5" s="79">
        <v>0</v>
      </c>
      <c r="CR5" s="79">
        <v>0</v>
      </c>
      <c r="CS5" s="82">
        <v>71808.63</v>
      </c>
    </row>
    <row r="6" spans="1:97" x14ac:dyDescent="0.25">
      <c r="A6" s="76" t="s">
        <v>12</v>
      </c>
      <c r="B6" s="76" t="s">
        <v>34</v>
      </c>
      <c r="C6" s="76" t="s">
        <v>93</v>
      </c>
      <c r="D6" s="76" t="s">
        <v>111</v>
      </c>
      <c r="E6" s="77" t="s">
        <v>213</v>
      </c>
      <c r="F6" s="83"/>
      <c r="G6" s="76" t="s">
        <v>160</v>
      </c>
      <c r="H6" s="76" t="s">
        <v>168</v>
      </c>
      <c r="I6" s="78"/>
      <c r="J6" s="78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0" t="s">
        <v>336</v>
      </c>
      <c r="AN6" s="79">
        <v>135500</v>
      </c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79">
        <v>-5869</v>
      </c>
      <c r="BJ6" s="83"/>
      <c r="BK6" s="79">
        <v>-25200</v>
      </c>
      <c r="BL6" s="83"/>
      <c r="BM6" s="79">
        <v>-31069</v>
      </c>
      <c r="BN6" s="79">
        <v>0</v>
      </c>
      <c r="BO6" s="79">
        <v>104431</v>
      </c>
      <c r="BP6" s="83"/>
      <c r="BQ6" s="83"/>
      <c r="BR6" s="83"/>
      <c r="BS6" s="83"/>
      <c r="BT6" s="79">
        <v>-40679.279999999999</v>
      </c>
      <c r="BU6" s="83"/>
      <c r="BV6" s="83"/>
      <c r="BW6" s="83"/>
      <c r="BX6" s="83"/>
      <c r="BY6" s="83"/>
      <c r="BZ6" s="83"/>
      <c r="CA6" s="83"/>
      <c r="CB6" s="83"/>
      <c r="CC6" s="83"/>
      <c r="CD6" s="79">
        <v>-10500</v>
      </c>
      <c r="CE6" s="83"/>
      <c r="CF6" s="79">
        <v>-1050</v>
      </c>
      <c r="CG6" s="83"/>
      <c r="CH6" s="83"/>
      <c r="CI6" s="83"/>
      <c r="CJ6" s="83"/>
      <c r="CK6" s="83"/>
      <c r="CL6" s="83"/>
      <c r="CM6" s="83"/>
      <c r="CN6" s="83"/>
      <c r="CO6" s="83"/>
      <c r="CP6" s="79">
        <v>-40679.279999999999</v>
      </c>
      <c r="CQ6" s="79">
        <v>-11550</v>
      </c>
      <c r="CR6" s="79">
        <v>0</v>
      </c>
      <c r="CS6" s="82">
        <v>52201.72</v>
      </c>
    </row>
    <row r="7" spans="1:97" x14ac:dyDescent="0.25">
      <c r="A7" s="77" t="s">
        <v>13</v>
      </c>
      <c r="B7" s="76" t="s">
        <v>34</v>
      </c>
      <c r="C7" s="76" t="s">
        <v>528</v>
      </c>
      <c r="D7" s="76" t="s">
        <v>111</v>
      </c>
      <c r="E7" s="77" t="s">
        <v>213</v>
      </c>
      <c r="F7" s="83"/>
      <c r="G7" s="76" t="s">
        <v>160</v>
      </c>
      <c r="H7" s="76" t="s">
        <v>168</v>
      </c>
      <c r="I7" s="78"/>
      <c r="J7" s="78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0" t="s">
        <v>336</v>
      </c>
      <c r="AN7" s="79">
        <v>10525</v>
      </c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79">
        <v>0</v>
      </c>
      <c r="BN7" s="79">
        <v>0</v>
      </c>
      <c r="BO7" s="79">
        <v>10525</v>
      </c>
      <c r="BP7" s="81" t="s">
        <v>341</v>
      </c>
      <c r="BQ7" s="79">
        <v>74124</v>
      </c>
      <c r="BR7" s="79">
        <v>-9163</v>
      </c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79">
        <v>-9163</v>
      </c>
      <c r="CQ7" s="79">
        <v>0</v>
      </c>
      <c r="CR7" s="79">
        <v>0</v>
      </c>
      <c r="CS7" s="82">
        <v>75486</v>
      </c>
    </row>
    <row r="8" spans="1:97" x14ac:dyDescent="0.25">
      <c r="A8" s="76" t="s">
        <v>14</v>
      </c>
      <c r="B8" s="76" t="s">
        <v>37</v>
      </c>
      <c r="C8" s="76" t="s">
        <v>95</v>
      </c>
      <c r="D8" s="76" t="s">
        <v>114</v>
      </c>
      <c r="E8" s="77" t="s">
        <v>211</v>
      </c>
      <c r="F8" s="76" t="s">
        <v>161</v>
      </c>
      <c r="G8" s="76" t="s">
        <v>160</v>
      </c>
      <c r="H8" s="76" t="s">
        <v>168</v>
      </c>
      <c r="I8" s="78">
        <v>43168</v>
      </c>
      <c r="J8" s="78">
        <v>43168</v>
      </c>
      <c r="K8" s="79">
        <v>86765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79">
        <v>-25257</v>
      </c>
      <c r="AI8" s="83"/>
      <c r="AJ8" s="79">
        <v>-25257</v>
      </c>
      <c r="AK8" s="79">
        <v>0</v>
      </c>
      <c r="AL8" s="79">
        <v>61508</v>
      </c>
      <c r="AM8" s="81" t="s">
        <v>161</v>
      </c>
      <c r="AN8" s="79">
        <v>224141</v>
      </c>
      <c r="AO8" s="83"/>
      <c r="AP8" s="83"/>
      <c r="AQ8" s="79">
        <v>-26648</v>
      </c>
      <c r="AR8" s="83"/>
      <c r="AS8" s="83"/>
      <c r="AT8" s="83"/>
      <c r="AU8" s="83"/>
      <c r="AV8" s="83"/>
      <c r="AW8" s="79">
        <v>-70161</v>
      </c>
      <c r="AX8" s="83"/>
      <c r="AY8" s="79">
        <v>-4037</v>
      </c>
      <c r="AZ8" s="83"/>
      <c r="BA8" s="83"/>
      <c r="BB8" s="83"/>
      <c r="BC8" s="83"/>
      <c r="BD8" s="83"/>
      <c r="BE8" s="79">
        <v>-36149</v>
      </c>
      <c r="BF8" s="83"/>
      <c r="BG8" s="83"/>
      <c r="BH8" s="83"/>
      <c r="BI8" s="79">
        <v>-30074</v>
      </c>
      <c r="BJ8" s="83"/>
      <c r="BK8" s="83"/>
      <c r="BL8" s="83"/>
      <c r="BM8" s="79">
        <v>-167069</v>
      </c>
      <c r="BN8" s="79">
        <v>0</v>
      </c>
      <c r="BO8" s="79">
        <v>118580</v>
      </c>
      <c r="BP8" s="81" t="s">
        <v>341</v>
      </c>
      <c r="BQ8" s="79">
        <v>129184</v>
      </c>
      <c r="BR8" s="83"/>
      <c r="BS8" s="83"/>
      <c r="BT8" s="83"/>
      <c r="BU8" s="83"/>
      <c r="BV8" s="83"/>
      <c r="BW8" s="83"/>
      <c r="BX8" s="82">
        <v>-21863.1</v>
      </c>
      <c r="BY8" s="83"/>
      <c r="BZ8" s="83"/>
      <c r="CA8" s="83"/>
      <c r="CB8" s="79">
        <v>-46769.73</v>
      </c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79">
        <v>0</v>
      </c>
      <c r="CQ8" s="79">
        <v>-68632.83</v>
      </c>
      <c r="CR8" s="79">
        <v>0</v>
      </c>
      <c r="CS8" s="82">
        <v>179131.16999999998</v>
      </c>
    </row>
    <row r="9" spans="1:97" x14ac:dyDescent="0.25">
      <c r="A9" s="76" t="s">
        <v>15</v>
      </c>
      <c r="B9" s="76" t="s">
        <v>34</v>
      </c>
      <c r="C9" s="76" t="s">
        <v>529</v>
      </c>
      <c r="D9" s="76" t="s">
        <v>111</v>
      </c>
      <c r="E9" s="77" t="s">
        <v>213</v>
      </c>
      <c r="F9" s="83"/>
      <c r="G9" s="76" t="s">
        <v>160</v>
      </c>
      <c r="H9" s="76" t="s">
        <v>168</v>
      </c>
      <c r="I9" s="78"/>
      <c r="J9" s="78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0" t="s">
        <v>336</v>
      </c>
      <c r="AN9" s="79">
        <v>155183</v>
      </c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79">
        <v>0</v>
      </c>
      <c r="BN9" s="79">
        <v>0</v>
      </c>
      <c r="BO9" s="79">
        <v>155183</v>
      </c>
      <c r="BP9" s="81" t="s">
        <v>341</v>
      </c>
      <c r="BQ9" s="79">
        <v>451500</v>
      </c>
      <c r="BR9" s="83"/>
      <c r="BS9" s="83"/>
      <c r="BT9" s="83"/>
      <c r="BU9" s="83"/>
      <c r="BV9" s="79">
        <v>-12260.58</v>
      </c>
      <c r="BW9" s="83"/>
      <c r="BX9" s="83"/>
      <c r="BY9" s="83"/>
      <c r="BZ9" s="79">
        <v>-46772.86</v>
      </c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79">
        <v>0</v>
      </c>
      <c r="CQ9" s="79">
        <v>-59033.440000000002</v>
      </c>
      <c r="CR9" s="79">
        <v>0</v>
      </c>
      <c r="CS9" s="82">
        <v>547649.56000000006</v>
      </c>
    </row>
    <row r="10" spans="1:97" x14ac:dyDescent="0.25">
      <c r="A10" s="76" t="s">
        <v>23</v>
      </c>
      <c r="B10" s="76" t="s">
        <v>8</v>
      </c>
      <c r="C10" s="76" t="s">
        <v>507</v>
      </c>
      <c r="D10" s="76" t="s">
        <v>530</v>
      </c>
      <c r="E10" s="77" t="s">
        <v>213</v>
      </c>
      <c r="F10" s="83"/>
      <c r="G10" s="76" t="s">
        <v>160</v>
      </c>
      <c r="H10" s="76" t="s">
        <v>168</v>
      </c>
      <c r="I10" s="78"/>
      <c r="J10" s="78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0" t="s">
        <v>336</v>
      </c>
      <c r="AN10" s="79">
        <v>7837</v>
      </c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79">
        <v>0</v>
      </c>
      <c r="BN10" s="79">
        <v>0</v>
      </c>
      <c r="BO10" s="79">
        <v>7837</v>
      </c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79">
        <v>0</v>
      </c>
      <c r="CQ10" s="79">
        <v>0</v>
      </c>
      <c r="CR10" s="79">
        <v>0</v>
      </c>
      <c r="CS10" s="82">
        <v>7837</v>
      </c>
    </row>
    <row r="11" spans="1:97" x14ac:dyDescent="0.25">
      <c r="A11" s="76" t="s">
        <v>23</v>
      </c>
      <c r="B11" s="76" t="s">
        <v>51</v>
      </c>
      <c r="C11" s="76" t="s">
        <v>507</v>
      </c>
      <c r="D11" s="76" t="s">
        <v>127</v>
      </c>
      <c r="E11" s="77" t="s">
        <v>211</v>
      </c>
      <c r="F11" s="76" t="s">
        <v>161</v>
      </c>
      <c r="G11" s="76" t="s">
        <v>160</v>
      </c>
      <c r="H11" s="76" t="s">
        <v>168</v>
      </c>
      <c r="I11" s="78">
        <v>43173</v>
      </c>
      <c r="J11" s="78">
        <v>43173</v>
      </c>
      <c r="K11" s="79">
        <v>8046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79">
        <v>0</v>
      </c>
      <c r="AK11" s="79">
        <v>0</v>
      </c>
      <c r="AL11" s="79">
        <v>8046</v>
      </c>
      <c r="AM11" s="81" t="s">
        <v>161</v>
      </c>
      <c r="AN11" s="79">
        <v>7631</v>
      </c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79">
        <v>-2167</v>
      </c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79">
        <v>-2167</v>
      </c>
      <c r="BN11" s="79">
        <v>0</v>
      </c>
      <c r="BO11" s="79">
        <v>13510</v>
      </c>
      <c r="BP11" s="81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79">
        <v>0</v>
      </c>
      <c r="CQ11" s="79">
        <v>0</v>
      </c>
      <c r="CR11" s="79">
        <v>0</v>
      </c>
      <c r="CS11" s="82">
        <v>13510</v>
      </c>
    </row>
    <row r="12" spans="1:97" x14ac:dyDescent="0.25">
      <c r="A12" s="76" t="s">
        <v>23</v>
      </c>
      <c r="B12" s="76" t="s">
        <v>52</v>
      </c>
      <c r="C12" s="76" t="s">
        <v>507</v>
      </c>
      <c r="D12" s="76" t="s">
        <v>128</v>
      </c>
      <c r="E12" s="77" t="s">
        <v>211</v>
      </c>
      <c r="F12" s="76" t="s">
        <v>161</v>
      </c>
      <c r="G12" s="76" t="s">
        <v>160</v>
      </c>
      <c r="H12" s="76" t="s">
        <v>168</v>
      </c>
      <c r="I12" s="78">
        <v>43173</v>
      </c>
      <c r="J12" s="78">
        <v>43173</v>
      </c>
      <c r="K12" s="79">
        <v>13946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79">
        <v>0</v>
      </c>
      <c r="AK12" s="79">
        <v>0</v>
      </c>
      <c r="AL12" s="79">
        <v>13946</v>
      </c>
      <c r="AM12" s="81" t="s">
        <v>161</v>
      </c>
      <c r="AN12" s="79">
        <v>9946</v>
      </c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79">
        <v>-3467</v>
      </c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79">
        <v>-3467</v>
      </c>
      <c r="BN12" s="79">
        <v>0</v>
      </c>
      <c r="BO12" s="79">
        <v>20425</v>
      </c>
      <c r="BP12" s="81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79">
        <v>0</v>
      </c>
      <c r="CQ12" s="79">
        <v>0</v>
      </c>
      <c r="CR12" s="79">
        <v>0</v>
      </c>
      <c r="CS12" s="82">
        <v>20425</v>
      </c>
    </row>
    <row r="13" spans="1:97" x14ac:dyDescent="0.25">
      <c r="A13" s="76" t="s">
        <v>23</v>
      </c>
      <c r="B13" s="76" t="s">
        <v>52</v>
      </c>
      <c r="C13" s="76" t="s">
        <v>507</v>
      </c>
      <c r="D13" s="76" t="s">
        <v>128</v>
      </c>
      <c r="E13" s="77" t="s">
        <v>213</v>
      </c>
      <c r="F13" s="83"/>
      <c r="G13" s="76" t="s">
        <v>160</v>
      </c>
      <c r="H13" s="76" t="s">
        <v>168</v>
      </c>
      <c r="I13" s="78"/>
      <c r="J13" s="78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0" t="s">
        <v>336</v>
      </c>
      <c r="AN13" s="79">
        <v>42469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79">
        <v>0</v>
      </c>
      <c r="BN13" s="79">
        <v>0</v>
      </c>
      <c r="BO13" s="79">
        <v>28278</v>
      </c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79">
        <v>0</v>
      </c>
      <c r="CQ13" s="79">
        <v>0</v>
      </c>
      <c r="CR13" s="79">
        <v>0</v>
      </c>
      <c r="CS13" s="82">
        <v>28278</v>
      </c>
    </row>
    <row r="14" spans="1:97" x14ac:dyDescent="0.25">
      <c r="A14" s="76" t="s">
        <v>23</v>
      </c>
      <c r="B14" s="76" t="s">
        <v>53</v>
      </c>
      <c r="C14" s="76" t="s">
        <v>507</v>
      </c>
      <c r="D14" s="76" t="s">
        <v>129</v>
      </c>
      <c r="E14" s="77" t="s">
        <v>211</v>
      </c>
      <c r="F14" s="76" t="s">
        <v>161</v>
      </c>
      <c r="G14" s="76" t="s">
        <v>160</v>
      </c>
      <c r="H14" s="76" t="s">
        <v>168</v>
      </c>
      <c r="I14" s="78">
        <v>43173</v>
      </c>
      <c r="J14" s="78">
        <v>43173</v>
      </c>
      <c r="K14" s="79">
        <v>13946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79">
        <v>0</v>
      </c>
      <c r="AK14" s="79">
        <v>0</v>
      </c>
      <c r="AL14" s="79">
        <v>13946</v>
      </c>
      <c r="AM14" s="81" t="s">
        <v>161</v>
      </c>
      <c r="AN14" s="79">
        <v>9946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79">
        <v>-3467</v>
      </c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79">
        <v>-3467</v>
      </c>
      <c r="BN14" s="79">
        <v>0</v>
      </c>
      <c r="BO14" s="79">
        <v>20425</v>
      </c>
      <c r="BP14" s="81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79">
        <v>0</v>
      </c>
      <c r="CQ14" s="79">
        <v>0</v>
      </c>
      <c r="CR14" s="79">
        <v>0</v>
      </c>
      <c r="CS14" s="82">
        <v>20425</v>
      </c>
    </row>
    <row r="15" spans="1:97" x14ac:dyDescent="0.25">
      <c r="A15" s="76" t="s">
        <v>23</v>
      </c>
      <c r="B15" s="76" t="s">
        <v>53</v>
      </c>
      <c r="C15" s="76" t="s">
        <v>507</v>
      </c>
      <c r="D15" s="76" t="s">
        <v>129</v>
      </c>
      <c r="E15" s="77" t="s">
        <v>213</v>
      </c>
      <c r="F15" s="83"/>
      <c r="G15" s="76" t="s">
        <v>160</v>
      </c>
      <c r="H15" s="76" t="s">
        <v>168</v>
      </c>
      <c r="I15" s="78"/>
      <c r="J15" s="78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0" t="s">
        <v>336</v>
      </c>
      <c r="AN15" s="79">
        <v>28278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79">
        <v>0</v>
      </c>
      <c r="BN15" s="79">
        <v>0</v>
      </c>
      <c r="BO15" s="79">
        <v>28278</v>
      </c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79">
        <v>0</v>
      </c>
      <c r="CQ15" s="79">
        <v>0</v>
      </c>
      <c r="CR15" s="79">
        <v>0</v>
      </c>
      <c r="CS15" s="82">
        <v>28278</v>
      </c>
    </row>
    <row r="16" spans="1:97" x14ac:dyDescent="0.25">
      <c r="A16" s="76" t="s">
        <v>23</v>
      </c>
      <c r="B16" s="76" t="s">
        <v>54</v>
      </c>
      <c r="C16" s="76" t="s">
        <v>507</v>
      </c>
      <c r="D16" s="76" t="s">
        <v>130</v>
      </c>
      <c r="E16" s="77" t="s">
        <v>211</v>
      </c>
      <c r="F16" s="76" t="s">
        <v>161</v>
      </c>
      <c r="G16" s="76" t="s">
        <v>160</v>
      </c>
      <c r="H16" s="76" t="s">
        <v>168</v>
      </c>
      <c r="I16" s="78">
        <v>43173</v>
      </c>
      <c r="J16" s="78">
        <v>43173</v>
      </c>
      <c r="K16" s="79">
        <v>13946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79">
        <v>0</v>
      </c>
      <c r="AK16" s="79">
        <v>0</v>
      </c>
      <c r="AL16" s="79">
        <v>13946</v>
      </c>
      <c r="AM16" s="81" t="s">
        <v>161</v>
      </c>
      <c r="AN16" s="79">
        <v>9946</v>
      </c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79">
        <v>-3467</v>
      </c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79">
        <v>-3467</v>
      </c>
      <c r="BN16" s="79">
        <v>0</v>
      </c>
      <c r="BO16" s="79">
        <v>20425</v>
      </c>
      <c r="BP16" s="81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79">
        <v>0</v>
      </c>
      <c r="CQ16" s="79">
        <v>0</v>
      </c>
      <c r="CR16" s="79">
        <v>0</v>
      </c>
      <c r="CS16" s="82">
        <v>20425</v>
      </c>
    </row>
    <row r="17" spans="1:97" x14ac:dyDescent="0.25">
      <c r="A17" s="76" t="s">
        <v>23</v>
      </c>
      <c r="B17" s="76" t="s">
        <v>54</v>
      </c>
      <c r="C17" s="76" t="s">
        <v>507</v>
      </c>
      <c r="D17" s="76" t="s">
        <v>130</v>
      </c>
      <c r="E17" s="77" t="s">
        <v>213</v>
      </c>
      <c r="F17" s="83"/>
      <c r="G17" s="76" t="s">
        <v>160</v>
      </c>
      <c r="H17" s="76" t="s">
        <v>168</v>
      </c>
      <c r="I17" s="78"/>
      <c r="J17" s="78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0" t="s">
        <v>336</v>
      </c>
      <c r="AN17" s="79">
        <v>22028</v>
      </c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79">
        <v>0</v>
      </c>
      <c r="BN17" s="79">
        <v>0</v>
      </c>
      <c r="BO17" s="79">
        <v>14191</v>
      </c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79">
        <v>0</v>
      </c>
      <c r="CQ17" s="79">
        <v>0</v>
      </c>
      <c r="CR17" s="79">
        <v>0</v>
      </c>
      <c r="CS17" s="82">
        <v>14191</v>
      </c>
    </row>
    <row r="18" spans="1:97" x14ac:dyDescent="0.25">
      <c r="A18" s="76" t="s">
        <v>23</v>
      </c>
      <c r="B18" s="76" t="s">
        <v>410</v>
      </c>
      <c r="C18" s="76" t="s">
        <v>507</v>
      </c>
      <c r="D18" s="76" t="s">
        <v>531</v>
      </c>
      <c r="E18" s="77" t="s">
        <v>213</v>
      </c>
      <c r="F18" s="83"/>
      <c r="G18" s="76" t="s">
        <v>160</v>
      </c>
      <c r="H18" s="76" t="s">
        <v>168</v>
      </c>
      <c r="I18" s="78"/>
      <c r="J18" s="78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0" t="s">
        <v>336</v>
      </c>
      <c r="AN18" s="79">
        <v>7837</v>
      </c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79">
        <v>0</v>
      </c>
      <c r="BN18" s="79">
        <v>0</v>
      </c>
      <c r="BO18" s="79">
        <v>7837</v>
      </c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79">
        <v>0</v>
      </c>
      <c r="CQ18" s="79">
        <v>0</v>
      </c>
      <c r="CR18" s="79">
        <v>0</v>
      </c>
      <c r="CS18" s="82">
        <v>7837</v>
      </c>
    </row>
    <row r="19" spans="1:97" x14ac:dyDescent="0.25">
      <c r="A19" s="76" t="s">
        <v>23</v>
      </c>
      <c r="B19" s="76" t="s">
        <v>55</v>
      </c>
      <c r="C19" s="76" t="s">
        <v>507</v>
      </c>
      <c r="D19" s="76" t="s">
        <v>131</v>
      </c>
      <c r="E19" s="77" t="s">
        <v>211</v>
      </c>
      <c r="F19" s="76" t="s">
        <v>161</v>
      </c>
      <c r="G19" s="76" t="s">
        <v>160</v>
      </c>
      <c r="H19" s="76" t="s">
        <v>168</v>
      </c>
      <c r="I19" s="78">
        <v>43173</v>
      </c>
      <c r="J19" s="78">
        <v>43173</v>
      </c>
      <c r="K19" s="79">
        <v>8046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79">
        <v>0</v>
      </c>
      <c r="AK19" s="79">
        <v>0</v>
      </c>
      <c r="AL19" s="79">
        <v>8046</v>
      </c>
      <c r="AM19" s="81" t="s">
        <v>161</v>
      </c>
      <c r="AN19" s="79">
        <v>7631</v>
      </c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79">
        <v>-2167</v>
      </c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79">
        <v>-2167</v>
      </c>
      <c r="BN19" s="79">
        <v>0</v>
      </c>
      <c r="BO19" s="79">
        <v>13510</v>
      </c>
      <c r="BP19" s="81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79">
        <v>0</v>
      </c>
      <c r="CQ19" s="79">
        <v>0</v>
      </c>
      <c r="CR19" s="79">
        <v>0</v>
      </c>
      <c r="CS19" s="82">
        <v>13510</v>
      </c>
    </row>
    <row r="20" spans="1:97" x14ac:dyDescent="0.25">
      <c r="A20" s="76" t="s">
        <v>23</v>
      </c>
      <c r="B20" s="76" t="s">
        <v>422</v>
      </c>
      <c r="C20" s="76" t="s">
        <v>507</v>
      </c>
      <c r="D20" s="76" t="s">
        <v>511</v>
      </c>
      <c r="E20" s="77" t="s">
        <v>213</v>
      </c>
      <c r="F20" s="83"/>
      <c r="G20" s="76" t="s">
        <v>160</v>
      </c>
      <c r="H20" s="76" t="s">
        <v>168</v>
      </c>
      <c r="I20" s="78"/>
      <c r="J20" s="78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0" t="s">
        <v>336</v>
      </c>
      <c r="AN20" s="79">
        <v>14191</v>
      </c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79">
        <v>0</v>
      </c>
      <c r="BN20" s="79">
        <v>0</v>
      </c>
      <c r="BO20" s="79">
        <v>14191</v>
      </c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79">
        <v>0</v>
      </c>
      <c r="CQ20" s="79">
        <v>0</v>
      </c>
      <c r="CR20" s="79">
        <v>0</v>
      </c>
      <c r="CS20" s="82">
        <v>14191</v>
      </c>
    </row>
    <row r="21" spans="1:97" x14ac:dyDescent="0.25">
      <c r="A21" s="76" t="s">
        <v>23</v>
      </c>
      <c r="B21" s="76" t="s">
        <v>56</v>
      </c>
      <c r="C21" s="76" t="s">
        <v>507</v>
      </c>
      <c r="D21" s="76" t="s">
        <v>132</v>
      </c>
      <c r="E21" s="77" t="s">
        <v>211</v>
      </c>
      <c r="F21" s="76" t="s">
        <v>161</v>
      </c>
      <c r="G21" s="76" t="s">
        <v>160</v>
      </c>
      <c r="H21" s="76" t="s">
        <v>168</v>
      </c>
      <c r="I21" s="78">
        <v>43173</v>
      </c>
      <c r="J21" s="78">
        <v>43173</v>
      </c>
      <c r="K21" s="79">
        <v>18112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79">
        <v>0</v>
      </c>
      <c r="AK21" s="79">
        <v>0</v>
      </c>
      <c r="AL21" s="79">
        <v>18112</v>
      </c>
      <c r="AM21" s="81" t="s">
        <v>161</v>
      </c>
      <c r="AN21" s="79">
        <v>14908</v>
      </c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79">
        <v>-5555</v>
      </c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79">
        <v>-5555</v>
      </c>
      <c r="BN21" s="79">
        <v>0</v>
      </c>
      <c r="BO21" s="79">
        <v>27465</v>
      </c>
      <c r="BP21" s="81"/>
      <c r="BQ21" s="83"/>
      <c r="BR21" s="83"/>
      <c r="BS21" s="83"/>
      <c r="BT21" s="83"/>
      <c r="BU21" s="83"/>
      <c r="BV21" s="83"/>
      <c r="BW21" s="83"/>
      <c r="BX21" s="82">
        <v>-12330.7</v>
      </c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79">
        <v>0</v>
      </c>
      <c r="CQ21" s="79">
        <v>-12330.7</v>
      </c>
      <c r="CR21" s="79">
        <v>0</v>
      </c>
      <c r="CS21" s="82">
        <v>15134.3</v>
      </c>
    </row>
    <row r="22" spans="1:97" x14ac:dyDescent="0.25">
      <c r="A22" s="76" t="s">
        <v>23</v>
      </c>
      <c r="B22" s="76" t="s">
        <v>57</v>
      </c>
      <c r="C22" s="76" t="s">
        <v>507</v>
      </c>
      <c r="D22" s="76" t="s">
        <v>133</v>
      </c>
      <c r="E22" s="77" t="s">
        <v>211</v>
      </c>
      <c r="F22" s="76" t="s">
        <v>161</v>
      </c>
      <c r="G22" s="76" t="s">
        <v>160</v>
      </c>
      <c r="H22" s="76" t="s">
        <v>168</v>
      </c>
      <c r="I22" s="78">
        <v>43173</v>
      </c>
      <c r="J22" s="78">
        <v>43173</v>
      </c>
      <c r="K22" s="79">
        <v>18112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79">
        <v>0</v>
      </c>
      <c r="AK22" s="79">
        <v>0</v>
      </c>
      <c r="AL22" s="79">
        <v>18112</v>
      </c>
      <c r="AM22" s="81" t="s">
        <v>161</v>
      </c>
      <c r="AN22" s="79">
        <v>14908</v>
      </c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79">
        <v>-5555</v>
      </c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79">
        <v>-5555</v>
      </c>
      <c r="BN22" s="79">
        <v>0</v>
      </c>
      <c r="BO22" s="79">
        <v>27465</v>
      </c>
      <c r="BP22" s="81"/>
      <c r="BQ22" s="83"/>
      <c r="BR22" s="83"/>
      <c r="BS22" s="83"/>
      <c r="BT22" s="83"/>
      <c r="BU22" s="83"/>
      <c r="BV22" s="83"/>
      <c r="BW22" s="83"/>
      <c r="BX22" s="82">
        <v>-15688.48</v>
      </c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79">
        <v>0</v>
      </c>
      <c r="CQ22" s="79">
        <v>-15688.48</v>
      </c>
      <c r="CR22" s="79">
        <v>0</v>
      </c>
      <c r="CS22" s="82">
        <v>11776.52</v>
      </c>
    </row>
    <row r="23" spans="1:97" x14ac:dyDescent="0.25">
      <c r="A23" s="76" t="s">
        <v>23</v>
      </c>
      <c r="B23" s="76" t="s">
        <v>58</v>
      </c>
      <c r="C23" s="76" t="s">
        <v>507</v>
      </c>
      <c r="D23" s="76" t="s">
        <v>134</v>
      </c>
      <c r="E23" s="77" t="s">
        <v>211</v>
      </c>
      <c r="F23" s="76" t="s">
        <v>161</v>
      </c>
      <c r="G23" s="76" t="s">
        <v>160</v>
      </c>
      <c r="H23" s="76" t="s">
        <v>168</v>
      </c>
      <c r="I23" s="78">
        <v>43173</v>
      </c>
      <c r="J23" s="78">
        <v>43173</v>
      </c>
      <c r="K23" s="79">
        <v>8046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79">
        <v>0</v>
      </c>
      <c r="AK23" s="79">
        <v>0</v>
      </c>
      <c r="AL23" s="79">
        <v>8046</v>
      </c>
      <c r="AM23" s="81" t="s">
        <v>161</v>
      </c>
      <c r="AN23" s="79">
        <v>130979</v>
      </c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79">
        <v>-30525</v>
      </c>
      <c r="BB23" s="83"/>
      <c r="BC23" s="83"/>
      <c r="BD23" s="83"/>
      <c r="BE23" s="83"/>
      <c r="BF23" s="83"/>
      <c r="BG23" s="79">
        <v>-47781</v>
      </c>
      <c r="BH23" s="83"/>
      <c r="BI23" s="83"/>
      <c r="BJ23" s="83"/>
      <c r="BK23" s="83"/>
      <c r="BL23" s="83"/>
      <c r="BM23" s="79">
        <v>-78306</v>
      </c>
      <c r="BN23" s="79">
        <v>0</v>
      </c>
      <c r="BO23" s="79">
        <v>60719</v>
      </c>
      <c r="BP23" s="81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79">
        <v>0</v>
      </c>
      <c r="CQ23" s="79">
        <v>0</v>
      </c>
      <c r="CR23" s="79">
        <v>0</v>
      </c>
      <c r="CS23" s="82">
        <v>60719</v>
      </c>
    </row>
    <row r="24" spans="1:97" x14ac:dyDescent="0.25">
      <c r="A24" s="76" t="s">
        <v>23</v>
      </c>
      <c r="B24" s="76" t="s">
        <v>58</v>
      </c>
      <c r="C24" s="76" t="s">
        <v>507</v>
      </c>
      <c r="D24" s="76" t="s">
        <v>134</v>
      </c>
      <c r="E24" s="77" t="s">
        <v>213</v>
      </c>
      <c r="F24" s="83"/>
      <c r="G24" s="76" t="s">
        <v>160</v>
      </c>
      <c r="H24" s="76" t="s">
        <v>168</v>
      </c>
      <c r="I24" s="78"/>
      <c r="J24" s="78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0" t="s">
        <v>336</v>
      </c>
      <c r="AN24" s="79">
        <v>7837</v>
      </c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79">
        <v>0</v>
      </c>
      <c r="BN24" s="79">
        <v>0</v>
      </c>
      <c r="BO24" s="79">
        <v>7837</v>
      </c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79">
        <v>0</v>
      </c>
      <c r="CQ24" s="79">
        <v>0</v>
      </c>
      <c r="CR24" s="79">
        <v>0</v>
      </c>
      <c r="CS24" s="82">
        <v>7837</v>
      </c>
    </row>
    <row r="25" spans="1:97" x14ac:dyDescent="0.25">
      <c r="A25" s="76" t="s">
        <v>23</v>
      </c>
      <c r="B25" s="76" t="s">
        <v>59</v>
      </c>
      <c r="C25" s="76" t="s">
        <v>507</v>
      </c>
      <c r="D25" s="76" t="s">
        <v>135</v>
      </c>
      <c r="E25" s="77" t="s">
        <v>211</v>
      </c>
      <c r="F25" s="76" t="s">
        <v>161</v>
      </c>
      <c r="G25" s="76" t="s">
        <v>160</v>
      </c>
      <c r="H25" s="76" t="s">
        <v>168</v>
      </c>
      <c r="I25" s="78">
        <v>43173</v>
      </c>
      <c r="J25" s="78">
        <v>43173</v>
      </c>
      <c r="K25" s="79">
        <v>8046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79">
        <v>0</v>
      </c>
      <c r="AK25" s="79">
        <v>0</v>
      </c>
      <c r="AL25" s="79">
        <v>8046</v>
      </c>
      <c r="AM25" s="81" t="s">
        <v>161</v>
      </c>
      <c r="AN25" s="79">
        <v>7631</v>
      </c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79">
        <v>-2167</v>
      </c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79">
        <v>-2167</v>
      </c>
      <c r="BN25" s="79">
        <v>0</v>
      </c>
      <c r="BO25" s="79">
        <v>13510</v>
      </c>
      <c r="BP25" s="81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79">
        <v>0</v>
      </c>
      <c r="CQ25" s="79">
        <v>0</v>
      </c>
      <c r="CR25" s="79">
        <v>0</v>
      </c>
      <c r="CS25" s="82">
        <v>13510</v>
      </c>
    </row>
    <row r="26" spans="1:97" x14ac:dyDescent="0.25">
      <c r="A26" s="76" t="s">
        <v>23</v>
      </c>
      <c r="B26" s="76" t="s">
        <v>59</v>
      </c>
      <c r="C26" s="76" t="s">
        <v>507</v>
      </c>
      <c r="D26" s="76" t="s">
        <v>135</v>
      </c>
      <c r="E26" s="77" t="s">
        <v>213</v>
      </c>
      <c r="F26" s="83"/>
      <c r="G26" s="76" t="s">
        <v>160</v>
      </c>
      <c r="H26" s="76" t="s">
        <v>168</v>
      </c>
      <c r="I26" s="78"/>
      <c r="J26" s="78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0" t="s">
        <v>336</v>
      </c>
      <c r="AN26" s="79">
        <v>7837</v>
      </c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79">
        <v>0</v>
      </c>
      <c r="BN26" s="79">
        <v>0</v>
      </c>
      <c r="BO26" s="79">
        <v>7837</v>
      </c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79">
        <v>0</v>
      </c>
      <c r="CQ26" s="79">
        <v>0</v>
      </c>
      <c r="CR26" s="79">
        <v>0</v>
      </c>
      <c r="CS26" s="82">
        <v>7837</v>
      </c>
    </row>
    <row r="27" spans="1:97" x14ac:dyDescent="0.25">
      <c r="A27" s="76" t="s">
        <v>23</v>
      </c>
      <c r="B27" s="76" t="s">
        <v>62</v>
      </c>
      <c r="C27" s="76" t="s">
        <v>507</v>
      </c>
      <c r="D27" s="76" t="s">
        <v>514</v>
      </c>
      <c r="E27" s="77" t="s">
        <v>211</v>
      </c>
      <c r="F27" s="76" t="s">
        <v>161</v>
      </c>
      <c r="G27" s="76" t="s">
        <v>160</v>
      </c>
      <c r="H27" s="76" t="s">
        <v>168</v>
      </c>
      <c r="I27" s="78">
        <v>43173</v>
      </c>
      <c r="J27" s="78">
        <v>43173</v>
      </c>
      <c r="K27" s="79">
        <v>8046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79">
        <v>0</v>
      </c>
      <c r="AK27" s="79">
        <v>0</v>
      </c>
      <c r="AL27" s="79">
        <v>8046</v>
      </c>
      <c r="AM27" s="81" t="s">
        <v>161</v>
      </c>
      <c r="AN27" s="79">
        <v>7631</v>
      </c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79">
        <v>-2167</v>
      </c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79">
        <v>-2167</v>
      </c>
      <c r="BN27" s="79">
        <v>0</v>
      </c>
      <c r="BO27" s="79">
        <v>13510</v>
      </c>
      <c r="BP27" s="81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79">
        <v>0</v>
      </c>
      <c r="CQ27" s="79">
        <v>0</v>
      </c>
      <c r="CR27" s="79">
        <v>0</v>
      </c>
      <c r="CS27" s="82">
        <v>13510</v>
      </c>
    </row>
    <row r="28" spans="1:97" x14ac:dyDescent="0.25">
      <c r="A28" s="76" t="s">
        <v>23</v>
      </c>
      <c r="B28" s="76" t="s">
        <v>62</v>
      </c>
      <c r="C28" s="76" t="s">
        <v>507</v>
      </c>
      <c r="D28" s="76" t="s">
        <v>514</v>
      </c>
      <c r="E28" s="77" t="s">
        <v>213</v>
      </c>
      <c r="F28" s="83"/>
      <c r="G28" s="76" t="s">
        <v>160</v>
      </c>
      <c r="H28" s="76" t="s">
        <v>168</v>
      </c>
      <c r="I28" s="78"/>
      <c r="J28" s="78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0" t="s">
        <v>336</v>
      </c>
      <c r="AN28" s="79">
        <v>7837</v>
      </c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79">
        <v>0</v>
      </c>
      <c r="BN28" s="79">
        <v>0</v>
      </c>
      <c r="BO28" s="79">
        <v>7837</v>
      </c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79">
        <v>0</v>
      </c>
      <c r="CQ28" s="79">
        <v>0</v>
      </c>
      <c r="CR28" s="79">
        <v>0</v>
      </c>
      <c r="CS28" s="82">
        <v>7837</v>
      </c>
    </row>
    <row r="29" spans="1:97" x14ac:dyDescent="0.25">
      <c r="A29" s="76" t="s">
        <v>23</v>
      </c>
      <c r="B29" s="76" t="s">
        <v>60</v>
      </c>
      <c r="C29" s="76" t="s">
        <v>507</v>
      </c>
      <c r="D29" s="76" t="s">
        <v>512</v>
      </c>
      <c r="E29" s="77" t="s">
        <v>211</v>
      </c>
      <c r="F29" s="76" t="s">
        <v>161</v>
      </c>
      <c r="G29" s="76" t="s">
        <v>160</v>
      </c>
      <c r="H29" s="76" t="s">
        <v>168</v>
      </c>
      <c r="I29" s="78">
        <v>43173</v>
      </c>
      <c r="J29" s="78">
        <v>43173</v>
      </c>
      <c r="K29" s="79">
        <v>13946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79">
        <v>0</v>
      </c>
      <c r="AK29" s="79">
        <v>0</v>
      </c>
      <c r="AL29" s="79">
        <v>13946</v>
      </c>
      <c r="AM29" s="81" t="s">
        <v>161</v>
      </c>
      <c r="AN29" s="79">
        <v>9946</v>
      </c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79">
        <v>-3467</v>
      </c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79">
        <v>-3467</v>
      </c>
      <c r="BN29" s="79">
        <v>0</v>
      </c>
      <c r="BO29" s="79">
        <v>20425</v>
      </c>
      <c r="BP29" s="81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79">
        <v>0</v>
      </c>
      <c r="CQ29" s="79">
        <v>0</v>
      </c>
      <c r="CR29" s="79">
        <v>0</v>
      </c>
      <c r="CS29" s="82">
        <v>20425</v>
      </c>
    </row>
    <row r="30" spans="1:97" x14ac:dyDescent="0.25">
      <c r="A30" s="76" t="s">
        <v>23</v>
      </c>
      <c r="B30" s="76" t="s">
        <v>60</v>
      </c>
      <c r="C30" s="76" t="s">
        <v>507</v>
      </c>
      <c r="D30" s="76" t="s">
        <v>512</v>
      </c>
      <c r="E30" s="77" t="s">
        <v>213</v>
      </c>
      <c r="F30" s="83"/>
      <c r="G30" s="76" t="s">
        <v>160</v>
      </c>
      <c r="H30" s="76" t="s">
        <v>168</v>
      </c>
      <c r="I30" s="78"/>
      <c r="J30" s="78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0" t="s">
        <v>336</v>
      </c>
      <c r="AN30" s="79">
        <v>14191</v>
      </c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79">
        <v>0</v>
      </c>
      <c r="BN30" s="79">
        <v>0</v>
      </c>
      <c r="BO30" s="79">
        <v>14191</v>
      </c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79">
        <v>0</v>
      </c>
      <c r="CQ30" s="79">
        <v>0</v>
      </c>
      <c r="CR30" s="79">
        <v>0</v>
      </c>
      <c r="CS30" s="82">
        <v>14191</v>
      </c>
    </row>
    <row r="31" spans="1:97" x14ac:dyDescent="0.25">
      <c r="A31" s="76" t="s">
        <v>23</v>
      </c>
      <c r="B31" s="76" t="s">
        <v>61</v>
      </c>
      <c r="C31" s="76" t="s">
        <v>507</v>
      </c>
      <c r="D31" s="76" t="s">
        <v>532</v>
      </c>
      <c r="E31" s="77" t="s">
        <v>211</v>
      </c>
      <c r="F31" s="76" t="s">
        <v>161</v>
      </c>
      <c r="G31" s="76" t="s">
        <v>160</v>
      </c>
      <c r="H31" s="76" t="s">
        <v>168</v>
      </c>
      <c r="I31" s="78">
        <v>43173</v>
      </c>
      <c r="J31" s="78">
        <v>43173</v>
      </c>
      <c r="K31" s="79">
        <v>8046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79">
        <v>0</v>
      </c>
      <c r="AK31" s="79">
        <v>0</v>
      </c>
      <c r="AL31" s="79">
        <v>8046</v>
      </c>
      <c r="AM31" s="81" t="s">
        <v>161</v>
      </c>
      <c r="AN31" s="79">
        <v>130979</v>
      </c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79">
        <v>-26727</v>
      </c>
      <c r="BB31" s="83"/>
      <c r="BC31" s="83"/>
      <c r="BD31" s="83"/>
      <c r="BE31" s="83"/>
      <c r="BF31" s="83"/>
      <c r="BG31" s="79">
        <v>-52619</v>
      </c>
      <c r="BH31" s="83"/>
      <c r="BI31" s="83"/>
      <c r="BJ31" s="83"/>
      <c r="BK31" s="83"/>
      <c r="BL31" s="83"/>
      <c r="BM31" s="79">
        <v>-79346</v>
      </c>
      <c r="BN31" s="79">
        <v>0</v>
      </c>
      <c r="BO31" s="79">
        <v>59679</v>
      </c>
      <c r="BP31" s="81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79">
        <v>0</v>
      </c>
      <c r="CQ31" s="79">
        <v>0</v>
      </c>
      <c r="CR31" s="79">
        <v>0</v>
      </c>
      <c r="CS31" s="82">
        <v>59679</v>
      </c>
    </row>
    <row r="32" spans="1:97" x14ac:dyDescent="0.25">
      <c r="A32" s="76" t="s">
        <v>23</v>
      </c>
      <c r="B32" s="76" t="s">
        <v>61</v>
      </c>
      <c r="C32" s="76" t="s">
        <v>507</v>
      </c>
      <c r="D32" s="76" t="s">
        <v>532</v>
      </c>
      <c r="E32" s="77" t="s">
        <v>213</v>
      </c>
      <c r="F32" s="83"/>
      <c r="G32" s="76" t="s">
        <v>160</v>
      </c>
      <c r="H32" s="76" t="s">
        <v>168</v>
      </c>
      <c r="I32" s="78"/>
      <c r="J32" s="78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0" t="s">
        <v>336</v>
      </c>
      <c r="AN32" s="79">
        <v>7837</v>
      </c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79">
        <v>0</v>
      </c>
      <c r="BN32" s="79">
        <v>0</v>
      </c>
      <c r="BO32" s="79">
        <v>7837</v>
      </c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79">
        <v>0</v>
      </c>
      <c r="CQ32" s="79">
        <v>0</v>
      </c>
      <c r="CR32" s="79">
        <v>0</v>
      </c>
      <c r="CS32" s="82">
        <v>7837</v>
      </c>
    </row>
    <row r="33" spans="1:97" x14ac:dyDescent="0.25">
      <c r="A33" s="76" t="s">
        <v>23</v>
      </c>
      <c r="B33" s="76" t="s">
        <v>414</v>
      </c>
      <c r="C33" s="76" t="s">
        <v>507</v>
      </c>
      <c r="D33" s="76" t="s">
        <v>533</v>
      </c>
      <c r="E33" s="77" t="s">
        <v>213</v>
      </c>
      <c r="F33" s="83"/>
      <c r="G33" s="76" t="s">
        <v>160</v>
      </c>
      <c r="H33" s="76" t="s">
        <v>168</v>
      </c>
      <c r="I33" s="78"/>
      <c r="J33" s="78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0" t="s">
        <v>336</v>
      </c>
      <c r="AN33" s="79">
        <v>36115</v>
      </c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79">
        <v>0</v>
      </c>
      <c r="BN33" s="79">
        <v>0</v>
      </c>
      <c r="BO33" s="79">
        <v>7837</v>
      </c>
      <c r="BP33" s="83"/>
      <c r="BQ33" s="83"/>
      <c r="BR33" s="83"/>
      <c r="BS33" s="83"/>
      <c r="BT33" s="83"/>
      <c r="BU33" s="83"/>
      <c r="BV33" s="79">
        <v>-548.12</v>
      </c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79">
        <v>0</v>
      </c>
      <c r="CQ33" s="79">
        <v>-548.12</v>
      </c>
      <c r="CR33" s="79">
        <v>0</v>
      </c>
      <c r="CS33" s="82">
        <v>7288.88</v>
      </c>
    </row>
    <row r="34" spans="1:97" x14ac:dyDescent="0.25">
      <c r="A34" s="76" t="s">
        <v>23</v>
      </c>
      <c r="B34" s="76" t="s">
        <v>34</v>
      </c>
      <c r="C34" s="76" t="s">
        <v>507</v>
      </c>
      <c r="D34" s="76" t="s">
        <v>111</v>
      </c>
      <c r="E34" s="77" t="s">
        <v>211</v>
      </c>
      <c r="F34" s="76" t="s">
        <v>161</v>
      </c>
      <c r="G34" s="76" t="s">
        <v>160</v>
      </c>
      <c r="H34" s="76" t="s">
        <v>168</v>
      </c>
      <c r="I34" s="78">
        <v>43173</v>
      </c>
      <c r="J34" s="78">
        <v>43173</v>
      </c>
      <c r="K34" s="79">
        <v>21148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79">
        <v>0</v>
      </c>
      <c r="AK34" s="79">
        <v>0</v>
      </c>
      <c r="AL34" s="79">
        <v>21148</v>
      </c>
      <c r="AM34" s="81" t="s">
        <v>161</v>
      </c>
      <c r="AN34" s="79">
        <v>644444</v>
      </c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79">
        <v>0</v>
      </c>
      <c r="BN34" s="79">
        <v>0</v>
      </c>
      <c r="BO34" s="79">
        <v>665592</v>
      </c>
      <c r="BP34" s="81" t="s">
        <v>336</v>
      </c>
      <c r="BQ34" s="79">
        <v>866829</v>
      </c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79">
        <v>0</v>
      </c>
      <c r="CQ34" s="79">
        <v>0</v>
      </c>
      <c r="CR34" s="79">
        <v>0</v>
      </c>
      <c r="CS34" s="82">
        <v>1532421</v>
      </c>
    </row>
    <row r="35" spans="1:97" x14ac:dyDescent="0.25">
      <c r="A35" s="76" t="s">
        <v>23</v>
      </c>
      <c r="B35" s="76" t="s">
        <v>34</v>
      </c>
      <c r="C35" s="76" t="s">
        <v>507</v>
      </c>
      <c r="D35" s="76" t="s">
        <v>111</v>
      </c>
      <c r="E35" s="77" t="s">
        <v>213</v>
      </c>
      <c r="F35" s="83"/>
      <c r="G35" s="76" t="s">
        <v>160</v>
      </c>
      <c r="H35" s="76" t="s">
        <v>168</v>
      </c>
      <c r="I35" s="78"/>
      <c r="J35" s="78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0" t="s">
        <v>336</v>
      </c>
      <c r="AN35" s="79">
        <v>117650</v>
      </c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79">
        <v>0</v>
      </c>
      <c r="BN35" s="79">
        <v>0</v>
      </c>
      <c r="BO35" s="79">
        <v>117650</v>
      </c>
      <c r="BP35" s="81" t="s">
        <v>341</v>
      </c>
      <c r="BQ35" s="79">
        <v>592383</v>
      </c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79">
        <v>0</v>
      </c>
      <c r="CQ35" s="79">
        <v>0</v>
      </c>
      <c r="CR35" s="79">
        <v>0</v>
      </c>
      <c r="CS35" s="82">
        <v>710033</v>
      </c>
    </row>
    <row r="36" spans="1:97" x14ac:dyDescent="0.25">
      <c r="A36" s="76" t="s">
        <v>23</v>
      </c>
      <c r="B36" s="76" t="s">
        <v>417</v>
      </c>
      <c r="C36" s="76" t="s">
        <v>507</v>
      </c>
      <c r="D36" s="76" t="s">
        <v>534</v>
      </c>
      <c r="E36" s="77" t="s">
        <v>213</v>
      </c>
      <c r="F36" s="83"/>
      <c r="G36" s="76" t="s">
        <v>160</v>
      </c>
      <c r="H36" s="76" t="s">
        <v>168</v>
      </c>
      <c r="I36" s="78"/>
      <c r="J36" s="78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0" t="s">
        <v>336</v>
      </c>
      <c r="AN36" s="79">
        <v>14191</v>
      </c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79">
        <v>0</v>
      </c>
      <c r="BN36" s="79">
        <v>0</v>
      </c>
      <c r="BO36" s="79">
        <v>14191</v>
      </c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79">
        <v>0</v>
      </c>
      <c r="CQ36" s="79">
        <v>0</v>
      </c>
      <c r="CR36" s="79">
        <v>0</v>
      </c>
      <c r="CS36" s="82">
        <v>14191</v>
      </c>
    </row>
    <row r="37" spans="1:97" x14ac:dyDescent="0.25">
      <c r="A37" s="76" t="s">
        <v>23</v>
      </c>
      <c r="B37" s="76" t="s">
        <v>411</v>
      </c>
      <c r="C37" s="76" t="s">
        <v>507</v>
      </c>
      <c r="D37" s="76" t="s">
        <v>535</v>
      </c>
      <c r="E37" s="77" t="s">
        <v>213</v>
      </c>
      <c r="F37" s="83"/>
      <c r="G37" s="76" t="s">
        <v>160</v>
      </c>
      <c r="H37" s="76" t="s">
        <v>168</v>
      </c>
      <c r="I37" s="78"/>
      <c r="J37" s="78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0" t="s">
        <v>336</v>
      </c>
      <c r="AN37" s="79">
        <v>7837</v>
      </c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79">
        <v>0</v>
      </c>
      <c r="BN37" s="79">
        <v>0</v>
      </c>
      <c r="BO37" s="79">
        <v>7837</v>
      </c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79">
        <v>0</v>
      </c>
      <c r="CQ37" s="79">
        <v>0</v>
      </c>
      <c r="CR37" s="79">
        <v>0</v>
      </c>
      <c r="CS37" s="82">
        <v>7837</v>
      </c>
    </row>
    <row r="38" spans="1:97" x14ac:dyDescent="0.25">
      <c r="A38" s="76" t="s">
        <v>23</v>
      </c>
      <c r="B38" s="76" t="s">
        <v>63</v>
      </c>
      <c r="C38" s="76" t="s">
        <v>507</v>
      </c>
      <c r="D38" s="76" t="s">
        <v>136</v>
      </c>
      <c r="E38" s="77" t="s">
        <v>211</v>
      </c>
      <c r="F38" s="76" t="s">
        <v>161</v>
      </c>
      <c r="G38" s="76" t="s">
        <v>160</v>
      </c>
      <c r="H38" s="76" t="s">
        <v>168</v>
      </c>
      <c r="I38" s="78">
        <v>43173</v>
      </c>
      <c r="J38" s="78">
        <v>43173</v>
      </c>
      <c r="K38" s="79">
        <v>8046</v>
      </c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79">
        <v>0</v>
      </c>
      <c r="AK38" s="79">
        <v>0</v>
      </c>
      <c r="AL38" s="79">
        <v>8046</v>
      </c>
      <c r="AM38" s="81" t="s">
        <v>161</v>
      </c>
      <c r="AN38" s="79">
        <v>7631</v>
      </c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79">
        <v>-2167</v>
      </c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79">
        <v>-2167</v>
      </c>
      <c r="BN38" s="79">
        <v>0</v>
      </c>
      <c r="BO38" s="79">
        <v>13510</v>
      </c>
      <c r="BP38" s="81"/>
      <c r="BQ38" s="83"/>
      <c r="BR38" s="83"/>
      <c r="BS38" s="83"/>
      <c r="BT38" s="83"/>
      <c r="BU38" s="83"/>
      <c r="BV38" s="83"/>
      <c r="BW38" s="83"/>
      <c r="BX38" s="82">
        <v>-12390.16</v>
      </c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79">
        <v>0</v>
      </c>
      <c r="CQ38" s="79">
        <v>-12390.16</v>
      </c>
      <c r="CR38" s="79">
        <v>0</v>
      </c>
      <c r="CS38" s="82">
        <v>1119.8400000000001</v>
      </c>
    </row>
    <row r="39" spans="1:97" x14ac:dyDescent="0.25">
      <c r="A39" s="76" t="s">
        <v>23</v>
      </c>
      <c r="B39" s="76" t="s">
        <v>64</v>
      </c>
      <c r="C39" s="76" t="s">
        <v>507</v>
      </c>
      <c r="D39" s="76" t="s">
        <v>137</v>
      </c>
      <c r="E39" s="77" t="s">
        <v>211</v>
      </c>
      <c r="F39" s="76" t="s">
        <v>161</v>
      </c>
      <c r="G39" s="76" t="s">
        <v>160</v>
      </c>
      <c r="H39" s="76" t="s">
        <v>168</v>
      </c>
      <c r="I39" s="78">
        <v>43173</v>
      </c>
      <c r="J39" s="78">
        <v>43173</v>
      </c>
      <c r="K39" s="79">
        <v>8046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79">
        <v>0</v>
      </c>
      <c r="AK39" s="79">
        <v>0</v>
      </c>
      <c r="AL39" s="79">
        <v>8046</v>
      </c>
      <c r="AM39" s="81" t="s">
        <v>161</v>
      </c>
      <c r="AN39" s="79">
        <v>130979</v>
      </c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79">
        <v>-28213</v>
      </c>
      <c r="BB39" s="83"/>
      <c r="BC39" s="83"/>
      <c r="BD39" s="83"/>
      <c r="BE39" s="83"/>
      <c r="BF39" s="83"/>
      <c r="BG39" s="79">
        <v>-50021</v>
      </c>
      <c r="BH39" s="83"/>
      <c r="BI39" s="83"/>
      <c r="BJ39" s="83"/>
      <c r="BK39" s="83"/>
      <c r="BL39" s="83"/>
      <c r="BM39" s="79">
        <v>-78234</v>
      </c>
      <c r="BN39" s="79">
        <v>0</v>
      </c>
      <c r="BO39" s="79">
        <v>60791</v>
      </c>
      <c r="BP39" s="81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79">
        <v>0</v>
      </c>
      <c r="CQ39" s="79">
        <v>0</v>
      </c>
      <c r="CR39" s="79">
        <v>0</v>
      </c>
      <c r="CS39" s="82">
        <v>60791</v>
      </c>
    </row>
    <row r="40" spans="1:97" x14ac:dyDescent="0.25">
      <c r="A40" s="76" t="s">
        <v>23</v>
      </c>
      <c r="B40" s="76" t="s">
        <v>64</v>
      </c>
      <c r="C40" s="76" t="s">
        <v>507</v>
      </c>
      <c r="D40" s="76" t="s">
        <v>137</v>
      </c>
      <c r="E40" s="77" t="s">
        <v>213</v>
      </c>
      <c r="F40" s="83"/>
      <c r="G40" s="76" t="s">
        <v>160</v>
      </c>
      <c r="H40" s="76" t="s">
        <v>168</v>
      </c>
      <c r="I40" s="78"/>
      <c r="J40" s="78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0" t="s">
        <v>336</v>
      </c>
      <c r="AN40" s="79">
        <v>7837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79">
        <v>0</v>
      </c>
      <c r="BN40" s="79">
        <v>0</v>
      </c>
      <c r="BO40" s="79">
        <v>7837</v>
      </c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79">
        <v>0</v>
      </c>
      <c r="CQ40" s="79">
        <v>0</v>
      </c>
      <c r="CR40" s="79">
        <v>0</v>
      </c>
      <c r="CS40" s="82">
        <v>7837</v>
      </c>
    </row>
    <row r="41" spans="1:97" x14ac:dyDescent="0.25">
      <c r="A41" s="76" t="s">
        <v>23</v>
      </c>
      <c r="B41" s="76" t="s">
        <v>419</v>
      </c>
      <c r="C41" s="76" t="s">
        <v>507</v>
      </c>
      <c r="D41" s="76" t="s">
        <v>536</v>
      </c>
      <c r="E41" s="77" t="s">
        <v>213</v>
      </c>
      <c r="F41" s="83"/>
      <c r="G41" s="76" t="s">
        <v>160</v>
      </c>
      <c r="H41" s="76" t="s">
        <v>168</v>
      </c>
      <c r="I41" s="78"/>
      <c r="J41" s="78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0" t="s">
        <v>336</v>
      </c>
      <c r="AN41" s="79">
        <v>42469</v>
      </c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79">
        <v>0</v>
      </c>
      <c r="BN41" s="79">
        <v>0</v>
      </c>
      <c r="BO41" s="79">
        <v>14191</v>
      </c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79">
        <v>0</v>
      </c>
      <c r="CQ41" s="79">
        <v>0</v>
      </c>
      <c r="CR41" s="79">
        <v>0</v>
      </c>
      <c r="CS41" s="82">
        <v>14191</v>
      </c>
    </row>
    <row r="42" spans="1:97" x14ac:dyDescent="0.25">
      <c r="A42" s="76" t="s">
        <v>23</v>
      </c>
      <c r="B42" s="76" t="s">
        <v>65</v>
      </c>
      <c r="C42" s="76" t="s">
        <v>507</v>
      </c>
      <c r="D42" s="76" t="s">
        <v>138</v>
      </c>
      <c r="E42" s="77" t="s">
        <v>211</v>
      </c>
      <c r="F42" s="76" t="s">
        <v>161</v>
      </c>
      <c r="G42" s="76" t="s">
        <v>160</v>
      </c>
      <c r="H42" s="76" t="s">
        <v>168</v>
      </c>
      <c r="I42" s="78">
        <v>43173</v>
      </c>
      <c r="J42" s="78">
        <v>43173</v>
      </c>
      <c r="K42" s="79">
        <v>13946</v>
      </c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79">
        <v>0</v>
      </c>
      <c r="AK42" s="79">
        <v>0</v>
      </c>
      <c r="AL42" s="79">
        <v>13946</v>
      </c>
      <c r="AM42" s="81" t="s">
        <v>161</v>
      </c>
      <c r="AN42" s="79">
        <v>9946</v>
      </c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79">
        <v>-3467</v>
      </c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79">
        <v>-3467</v>
      </c>
      <c r="BN42" s="79">
        <v>0</v>
      </c>
      <c r="BO42" s="79">
        <v>20425</v>
      </c>
      <c r="BP42" s="81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79">
        <v>0</v>
      </c>
      <c r="CQ42" s="79">
        <v>0</v>
      </c>
      <c r="CR42" s="79">
        <v>0</v>
      </c>
      <c r="CS42" s="82">
        <v>20425</v>
      </c>
    </row>
    <row r="43" spans="1:97" x14ac:dyDescent="0.25">
      <c r="A43" s="76" t="s">
        <v>23</v>
      </c>
      <c r="B43" s="76" t="s">
        <v>66</v>
      </c>
      <c r="C43" s="76" t="s">
        <v>507</v>
      </c>
      <c r="D43" s="76" t="s">
        <v>139</v>
      </c>
      <c r="E43" s="77" t="s">
        <v>211</v>
      </c>
      <c r="F43" s="76" t="s">
        <v>161</v>
      </c>
      <c r="G43" s="76" t="s">
        <v>160</v>
      </c>
      <c r="H43" s="76" t="s">
        <v>168</v>
      </c>
      <c r="I43" s="78">
        <v>43173</v>
      </c>
      <c r="J43" s="78">
        <v>43173</v>
      </c>
      <c r="K43" s="79">
        <v>8046</v>
      </c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79">
        <v>0</v>
      </c>
      <c r="AK43" s="79">
        <v>0</v>
      </c>
      <c r="AL43" s="79">
        <v>8046</v>
      </c>
      <c r="AM43" s="81" t="s">
        <v>161</v>
      </c>
      <c r="AN43" s="79">
        <v>7631</v>
      </c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79">
        <v>-2167</v>
      </c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79">
        <v>-2167</v>
      </c>
      <c r="BN43" s="79">
        <v>0</v>
      </c>
      <c r="BO43" s="79">
        <v>13510</v>
      </c>
      <c r="BP43" s="81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79">
        <v>0</v>
      </c>
      <c r="CQ43" s="79">
        <v>0</v>
      </c>
      <c r="CR43" s="79">
        <v>0</v>
      </c>
      <c r="CS43" s="82">
        <v>13510</v>
      </c>
    </row>
    <row r="44" spans="1:97" x14ac:dyDescent="0.25">
      <c r="A44" s="76" t="s">
        <v>23</v>
      </c>
      <c r="B44" s="76" t="s">
        <v>66</v>
      </c>
      <c r="C44" s="76" t="s">
        <v>507</v>
      </c>
      <c r="D44" s="76" t="s">
        <v>139</v>
      </c>
      <c r="E44" s="77" t="s">
        <v>213</v>
      </c>
      <c r="F44" s="83"/>
      <c r="G44" s="76" t="s">
        <v>160</v>
      </c>
      <c r="H44" s="76" t="s">
        <v>168</v>
      </c>
      <c r="I44" s="78"/>
      <c r="J44" s="78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0" t="s">
        <v>336</v>
      </c>
      <c r="AN44" s="79">
        <v>7837</v>
      </c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79">
        <v>0</v>
      </c>
      <c r="BN44" s="79">
        <v>0</v>
      </c>
      <c r="BO44" s="79">
        <v>7837</v>
      </c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79">
        <v>0</v>
      </c>
      <c r="CQ44" s="79">
        <v>0</v>
      </c>
      <c r="CR44" s="79">
        <v>0</v>
      </c>
      <c r="CS44" s="82">
        <v>7837</v>
      </c>
    </row>
    <row r="45" spans="1:97" x14ac:dyDescent="0.25">
      <c r="A45" s="76" t="s">
        <v>23</v>
      </c>
      <c r="B45" s="76" t="s">
        <v>67</v>
      </c>
      <c r="C45" s="76" t="s">
        <v>507</v>
      </c>
      <c r="D45" s="76" t="s">
        <v>140</v>
      </c>
      <c r="E45" s="77" t="s">
        <v>211</v>
      </c>
      <c r="F45" s="76" t="s">
        <v>161</v>
      </c>
      <c r="G45" s="76" t="s">
        <v>160</v>
      </c>
      <c r="H45" s="76" t="s">
        <v>168</v>
      </c>
      <c r="I45" s="78">
        <v>43173</v>
      </c>
      <c r="J45" s="78">
        <v>43173</v>
      </c>
      <c r="K45" s="79">
        <v>8046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79">
        <v>0</v>
      </c>
      <c r="AK45" s="79">
        <v>0</v>
      </c>
      <c r="AL45" s="79">
        <v>8046</v>
      </c>
      <c r="AM45" s="81" t="s">
        <v>161</v>
      </c>
      <c r="AN45" s="79">
        <v>7631</v>
      </c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79">
        <v>-2167</v>
      </c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79">
        <v>-2167</v>
      </c>
      <c r="BN45" s="79">
        <v>0</v>
      </c>
      <c r="BO45" s="79">
        <v>13510</v>
      </c>
      <c r="BP45" s="81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79">
        <v>0</v>
      </c>
      <c r="CQ45" s="79">
        <v>0</v>
      </c>
      <c r="CR45" s="79">
        <v>0</v>
      </c>
      <c r="CS45" s="82">
        <v>13510</v>
      </c>
    </row>
    <row r="46" spans="1:97" x14ac:dyDescent="0.25">
      <c r="A46" s="76" t="s">
        <v>23</v>
      </c>
      <c r="B46" s="76" t="s">
        <v>413</v>
      </c>
      <c r="C46" s="76" t="s">
        <v>507</v>
      </c>
      <c r="D46" s="76" t="s">
        <v>537</v>
      </c>
      <c r="E46" s="77" t="s">
        <v>213</v>
      </c>
      <c r="F46" s="83"/>
      <c r="G46" s="76" t="s">
        <v>160</v>
      </c>
      <c r="H46" s="76" t="s">
        <v>168</v>
      </c>
      <c r="I46" s="78"/>
      <c r="J46" s="78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0" t="s">
        <v>336</v>
      </c>
      <c r="AN46" s="79">
        <v>28278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79">
        <v>0</v>
      </c>
      <c r="BN46" s="79">
        <v>0</v>
      </c>
      <c r="BO46" s="79">
        <v>28278</v>
      </c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79">
        <v>0</v>
      </c>
      <c r="CQ46" s="79">
        <v>0</v>
      </c>
      <c r="CR46" s="79">
        <v>0</v>
      </c>
      <c r="CS46" s="82">
        <v>28278</v>
      </c>
    </row>
    <row r="47" spans="1:97" x14ac:dyDescent="0.25">
      <c r="A47" s="76" t="s">
        <v>23</v>
      </c>
      <c r="B47" s="76" t="s">
        <v>51</v>
      </c>
      <c r="C47" s="76" t="s">
        <v>507</v>
      </c>
      <c r="D47" s="76" t="s">
        <v>538</v>
      </c>
      <c r="E47" s="77" t="s">
        <v>213</v>
      </c>
      <c r="F47" s="83"/>
      <c r="G47" s="76" t="s">
        <v>160</v>
      </c>
      <c r="H47" s="76" t="s">
        <v>168</v>
      </c>
      <c r="I47" s="78"/>
      <c r="J47" s="78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0" t="s">
        <v>336</v>
      </c>
      <c r="AN47" s="79">
        <v>14191</v>
      </c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79">
        <v>0</v>
      </c>
      <c r="BN47" s="79">
        <v>0</v>
      </c>
      <c r="BO47" s="79">
        <v>14191</v>
      </c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79">
        <v>0</v>
      </c>
      <c r="CQ47" s="79">
        <v>0</v>
      </c>
      <c r="CR47" s="79">
        <v>0</v>
      </c>
      <c r="CS47" s="82">
        <v>14191</v>
      </c>
    </row>
    <row r="48" spans="1:97" x14ac:dyDescent="0.25">
      <c r="A48" s="76" t="s">
        <v>23</v>
      </c>
      <c r="B48" s="76" t="s">
        <v>415</v>
      </c>
      <c r="C48" s="76" t="s">
        <v>507</v>
      </c>
      <c r="D48" s="76" t="s">
        <v>517</v>
      </c>
      <c r="E48" s="77" t="s">
        <v>213</v>
      </c>
      <c r="F48" s="83"/>
      <c r="G48" s="76" t="s">
        <v>160</v>
      </c>
      <c r="H48" s="76" t="s">
        <v>168</v>
      </c>
      <c r="I48" s="78"/>
      <c r="J48" s="78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0" t="s">
        <v>336</v>
      </c>
      <c r="AN48" s="79">
        <v>14191</v>
      </c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79">
        <v>0</v>
      </c>
      <c r="BN48" s="79">
        <v>0</v>
      </c>
      <c r="BO48" s="79">
        <v>14191</v>
      </c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79">
        <v>0</v>
      </c>
      <c r="CQ48" s="79">
        <v>0</v>
      </c>
      <c r="CR48" s="79">
        <v>0</v>
      </c>
      <c r="CS48" s="82">
        <v>14191</v>
      </c>
    </row>
    <row r="49" spans="1:97" x14ac:dyDescent="0.25">
      <c r="A49" s="76" t="s">
        <v>23</v>
      </c>
      <c r="B49" s="76" t="s">
        <v>416</v>
      </c>
      <c r="C49" s="76" t="s">
        <v>507</v>
      </c>
      <c r="D49" s="76" t="s">
        <v>539</v>
      </c>
      <c r="E49" s="77" t="s">
        <v>213</v>
      </c>
      <c r="F49" s="83"/>
      <c r="G49" s="76" t="s">
        <v>160</v>
      </c>
      <c r="H49" s="76" t="s">
        <v>168</v>
      </c>
      <c r="I49" s="78"/>
      <c r="J49" s="78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0" t="s">
        <v>336</v>
      </c>
      <c r="AN49" s="79">
        <v>14191</v>
      </c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79">
        <v>0</v>
      </c>
      <c r="BN49" s="79">
        <v>0</v>
      </c>
      <c r="BO49" s="79">
        <v>14191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79">
        <v>0</v>
      </c>
      <c r="CQ49" s="79">
        <v>0</v>
      </c>
      <c r="CR49" s="79">
        <v>0</v>
      </c>
      <c r="CS49" s="82">
        <v>14191</v>
      </c>
    </row>
    <row r="50" spans="1:97" x14ac:dyDescent="0.25">
      <c r="A50" s="76" t="s">
        <v>23</v>
      </c>
      <c r="B50" s="76" t="s">
        <v>390</v>
      </c>
      <c r="C50" s="76" t="s">
        <v>507</v>
      </c>
      <c r="D50" s="76" t="s">
        <v>540</v>
      </c>
      <c r="E50" s="77" t="s">
        <v>213</v>
      </c>
      <c r="F50" s="83"/>
      <c r="G50" s="76" t="s">
        <v>160</v>
      </c>
      <c r="H50" s="76" t="s">
        <v>168</v>
      </c>
      <c r="I50" s="78"/>
      <c r="J50" s="78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0" t="s">
        <v>336</v>
      </c>
      <c r="AN50" s="79">
        <v>7837</v>
      </c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79">
        <v>0</v>
      </c>
      <c r="BN50" s="79">
        <v>0</v>
      </c>
      <c r="BO50" s="79">
        <v>7837</v>
      </c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79">
        <v>0</v>
      </c>
      <c r="CQ50" s="79">
        <v>0</v>
      </c>
      <c r="CR50" s="79">
        <v>0</v>
      </c>
      <c r="CS50" s="82">
        <v>7837</v>
      </c>
    </row>
    <row r="51" spans="1:97" x14ac:dyDescent="0.25">
      <c r="A51" s="76" t="s">
        <v>23</v>
      </c>
      <c r="B51" s="76" t="s">
        <v>412</v>
      </c>
      <c r="C51" s="76" t="s">
        <v>507</v>
      </c>
      <c r="D51" s="76" t="s">
        <v>541</v>
      </c>
      <c r="E51" s="77" t="s">
        <v>213</v>
      </c>
      <c r="F51" s="83"/>
      <c r="G51" s="76" t="s">
        <v>160</v>
      </c>
      <c r="H51" s="76" t="s">
        <v>168</v>
      </c>
      <c r="I51" s="78"/>
      <c r="J51" s="78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0" t="s">
        <v>336</v>
      </c>
      <c r="AN51" s="79">
        <v>7837</v>
      </c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79">
        <v>0</v>
      </c>
      <c r="BN51" s="79">
        <v>0</v>
      </c>
      <c r="BO51" s="79">
        <v>7837</v>
      </c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79">
        <v>0</v>
      </c>
      <c r="CQ51" s="79">
        <v>0</v>
      </c>
      <c r="CR51" s="79">
        <v>0</v>
      </c>
      <c r="CS51" s="82">
        <v>7837</v>
      </c>
    </row>
    <row r="52" spans="1:97" x14ac:dyDescent="0.25">
      <c r="A52" s="76" t="s">
        <v>23</v>
      </c>
      <c r="B52" s="76" t="s">
        <v>69</v>
      </c>
      <c r="C52" s="76" t="s">
        <v>507</v>
      </c>
      <c r="D52" s="76" t="s">
        <v>142</v>
      </c>
      <c r="E52" s="77" t="s">
        <v>211</v>
      </c>
      <c r="F52" s="76" t="s">
        <v>161</v>
      </c>
      <c r="G52" s="76" t="s">
        <v>160</v>
      </c>
      <c r="H52" s="76" t="s">
        <v>168</v>
      </c>
      <c r="I52" s="78">
        <v>43173</v>
      </c>
      <c r="J52" s="78">
        <v>43173</v>
      </c>
      <c r="K52" s="79">
        <v>18112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79">
        <v>0</v>
      </c>
      <c r="AK52" s="79">
        <v>0</v>
      </c>
      <c r="AL52" s="79">
        <v>18112</v>
      </c>
      <c r="AM52" s="81" t="s">
        <v>161</v>
      </c>
      <c r="AN52" s="79">
        <v>14908</v>
      </c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79">
        <v>-5555</v>
      </c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79">
        <v>-5555</v>
      </c>
      <c r="BN52" s="79">
        <v>0</v>
      </c>
      <c r="BO52" s="79">
        <v>27465</v>
      </c>
      <c r="BP52" s="81"/>
      <c r="BQ52" s="83"/>
      <c r="BR52" s="83"/>
      <c r="BS52" s="83"/>
      <c r="BT52" s="83"/>
      <c r="BU52" s="83"/>
      <c r="BV52" s="83"/>
      <c r="BW52" s="83"/>
      <c r="BX52" s="82">
        <v>-16558.93</v>
      </c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79">
        <v>0</v>
      </c>
      <c r="CQ52" s="79">
        <v>-16558.93</v>
      </c>
      <c r="CR52" s="79">
        <v>0</v>
      </c>
      <c r="CS52" s="82">
        <v>10906.07</v>
      </c>
    </row>
    <row r="53" spans="1:97" x14ac:dyDescent="0.25">
      <c r="A53" s="76" t="s">
        <v>23</v>
      </c>
      <c r="B53" s="76" t="s">
        <v>68</v>
      </c>
      <c r="C53" s="76" t="s">
        <v>507</v>
      </c>
      <c r="D53" s="76" t="s">
        <v>141</v>
      </c>
      <c r="E53" s="77" t="s">
        <v>211</v>
      </c>
      <c r="F53" s="76" t="s">
        <v>161</v>
      </c>
      <c r="G53" s="76" t="s">
        <v>160</v>
      </c>
      <c r="H53" s="76" t="s">
        <v>168</v>
      </c>
      <c r="I53" s="78">
        <v>43173</v>
      </c>
      <c r="J53" s="78">
        <v>43173</v>
      </c>
      <c r="K53" s="79">
        <v>18112</v>
      </c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79">
        <v>0</v>
      </c>
      <c r="AK53" s="79">
        <v>0</v>
      </c>
      <c r="AL53" s="79">
        <v>18112</v>
      </c>
      <c r="AM53" s="81" t="s">
        <v>161</v>
      </c>
      <c r="AN53" s="79">
        <v>14908</v>
      </c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79">
        <v>-5555</v>
      </c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79">
        <v>-5555</v>
      </c>
      <c r="BN53" s="79">
        <v>0</v>
      </c>
      <c r="BO53" s="79">
        <v>27465</v>
      </c>
      <c r="BP53" s="81"/>
      <c r="BQ53" s="83"/>
      <c r="BR53" s="83"/>
      <c r="BS53" s="83"/>
      <c r="BT53" s="83"/>
      <c r="BU53" s="83"/>
      <c r="BV53" s="83"/>
      <c r="BW53" s="83"/>
      <c r="BX53" s="82">
        <v>-10581.04</v>
      </c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79">
        <v>0</v>
      </c>
      <c r="CQ53" s="79">
        <v>-10581.04</v>
      </c>
      <c r="CR53" s="79">
        <v>0</v>
      </c>
      <c r="CS53" s="82">
        <v>16883.96</v>
      </c>
    </row>
    <row r="54" spans="1:97" x14ac:dyDescent="0.25">
      <c r="A54" s="76" t="s">
        <v>23</v>
      </c>
      <c r="B54" s="76" t="s">
        <v>68</v>
      </c>
      <c r="C54" s="76" t="s">
        <v>507</v>
      </c>
      <c r="D54" s="76" t="s">
        <v>542</v>
      </c>
      <c r="E54" s="77" t="s">
        <v>213</v>
      </c>
      <c r="F54" s="83"/>
      <c r="G54" s="76" t="s">
        <v>160</v>
      </c>
      <c r="H54" s="76" t="s">
        <v>168</v>
      </c>
      <c r="I54" s="78"/>
      <c r="J54" s="78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0" t="s">
        <v>336</v>
      </c>
      <c r="AN54" s="79">
        <v>28278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79">
        <v>0</v>
      </c>
      <c r="BN54" s="79">
        <v>0</v>
      </c>
      <c r="BO54" s="79">
        <v>28278</v>
      </c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79">
        <v>0</v>
      </c>
      <c r="CQ54" s="79">
        <v>0</v>
      </c>
      <c r="CR54" s="79">
        <v>0</v>
      </c>
      <c r="CS54" s="82">
        <v>28278</v>
      </c>
    </row>
    <row r="55" spans="1:97" x14ac:dyDescent="0.25">
      <c r="A55" s="76" t="s">
        <v>23</v>
      </c>
      <c r="B55" s="76" t="s">
        <v>418</v>
      </c>
      <c r="C55" s="76" t="s">
        <v>507</v>
      </c>
      <c r="D55" s="76" t="s">
        <v>543</v>
      </c>
      <c r="E55" s="77" t="s">
        <v>213</v>
      </c>
      <c r="F55" s="83"/>
      <c r="G55" s="76" t="s">
        <v>160</v>
      </c>
      <c r="H55" s="76" t="s">
        <v>168</v>
      </c>
      <c r="I55" s="78"/>
      <c r="J55" s="78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0" t="s">
        <v>336</v>
      </c>
      <c r="AN55" s="79">
        <v>7837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79">
        <v>0</v>
      </c>
      <c r="BN55" s="79">
        <v>0</v>
      </c>
      <c r="BO55" s="79">
        <v>7837</v>
      </c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79">
        <v>0</v>
      </c>
      <c r="CQ55" s="79">
        <v>0</v>
      </c>
      <c r="CR55" s="79">
        <v>0</v>
      </c>
      <c r="CS55" s="82">
        <v>7837</v>
      </c>
    </row>
    <row r="56" spans="1:97" x14ac:dyDescent="0.25">
      <c r="A56" s="76" t="s">
        <v>23</v>
      </c>
      <c r="B56" s="76" t="s">
        <v>420</v>
      </c>
      <c r="C56" s="76" t="s">
        <v>507</v>
      </c>
      <c r="D56" s="76" t="s">
        <v>544</v>
      </c>
      <c r="E56" s="77" t="s">
        <v>213</v>
      </c>
      <c r="F56" s="83"/>
      <c r="G56" s="76" t="s">
        <v>160</v>
      </c>
      <c r="H56" s="76" t="s">
        <v>168</v>
      </c>
      <c r="I56" s="78"/>
      <c r="J56" s="78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0" t="s">
        <v>336</v>
      </c>
      <c r="AN56" s="79">
        <v>14191</v>
      </c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79">
        <v>0</v>
      </c>
      <c r="BN56" s="79">
        <v>0</v>
      </c>
      <c r="BO56" s="79">
        <v>22028</v>
      </c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79">
        <v>0</v>
      </c>
      <c r="CQ56" s="79">
        <v>0</v>
      </c>
      <c r="CR56" s="79">
        <v>0</v>
      </c>
      <c r="CS56" s="82">
        <v>14191</v>
      </c>
    </row>
    <row r="57" spans="1:97" x14ac:dyDescent="0.25">
      <c r="A57" s="76" t="s">
        <v>23</v>
      </c>
      <c r="B57" s="76" t="s">
        <v>409</v>
      </c>
      <c r="C57" s="76" t="s">
        <v>507</v>
      </c>
      <c r="D57" s="76" t="s">
        <v>545</v>
      </c>
      <c r="E57" s="77" t="s">
        <v>213</v>
      </c>
      <c r="F57" s="83"/>
      <c r="G57" s="76" t="s">
        <v>160</v>
      </c>
      <c r="H57" s="76" t="s">
        <v>168</v>
      </c>
      <c r="I57" s="78"/>
      <c r="J57" s="78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0" t="s">
        <v>336</v>
      </c>
      <c r="AN57" s="79">
        <v>42469</v>
      </c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79">
        <v>0</v>
      </c>
      <c r="BN57" s="79">
        <v>0</v>
      </c>
      <c r="BO57" s="79">
        <v>28278</v>
      </c>
      <c r="BP57" s="83"/>
      <c r="BQ57" s="83"/>
      <c r="BR57" s="83"/>
      <c r="BS57" s="83"/>
      <c r="BT57" s="83"/>
      <c r="BU57" s="83"/>
      <c r="BV57" s="79">
        <v>-548.12</v>
      </c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79">
        <v>0</v>
      </c>
      <c r="CQ57" s="79">
        <v>-548.12</v>
      </c>
      <c r="CR57" s="79">
        <v>0</v>
      </c>
      <c r="CS57" s="82">
        <v>27729.88</v>
      </c>
    </row>
    <row r="58" spans="1:97" x14ac:dyDescent="0.25">
      <c r="A58" s="76" t="s">
        <v>23</v>
      </c>
      <c r="B58" s="76" t="s">
        <v>421</v>
      </c>
      <c r="C58" s="76" t="s">
        <v>507</v>
      </c>
      <c r="D58" s="76" t="s">
        <v>546</v>
      </c>
      <c r="E58" s="77" t="s">
        <v>213</v>
      </c>
      <c r="F58" s="83"/>
      <c r="G58" s="76" t="s">
        <v>160</v>
      </c>
      <c r="H58" s="76" t="s">
        <v>168</v>
      </c>
      <c r="I58" s="78"/>
      <c r="J58" s="78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0" t="s">
        <v>336</v>
      </c>
      <c r="AN58" s="79">
        <v>7837</v>
      </c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79">
        <v>0</v>
      </c>
      <c r="BN58" s="79">
        <v>0</v>
      </c>
      <c r="BO58" s="79">
        <v>7837</v>
      </c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79">
        <v>0</v>
      </c>
      <c r="CQ58" s="79">
        <v>0</v>
      </c>
      <c r="CR58" s="79">
        <v>0</v>
      </c>
      <c r="CS58" s="82">
        <v>7837</v>
      </c>
    </row>
    <row r="59" spans="1:97" x14ac:dyDescent="0.25">
      <c r="A59" s="76" t="s">
        <v>23</v>
      </c>
      <c r="B59" s="76" t="s">
        <v>70</v>
      </c>
      <c r="C59" s="76" t="s">
        <v>507</v>
      </c>
      <c r="D59" s="76" t="s">
        <v>143</v>
      </c>
      <c r="E59" s="77" t="s">
        <v>211</v>
      </c>
      <c r="F59" s="76" t="s">
        <v>161</v>
      </c>
      <c r="G59" s="76" t="s">
        <v>160</v>
      </c>
      <c r="H59" s="76" t="s">
        <v>168</v>
      </c>
      <c r="I59" s="78">
        <v>43173</v>
      </c>
      <c r="J59" s="78">
        <v>43173</v>
      </c>
      <c r="K59" s="79">
        <v>18112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79">
        <v>0</v>
      </c>
      <c r="AK59" s="79">
        <v>0</v>
      </c>
      <c r="AL59" s="79">
        <v>18112</v>
      </c>
      <c r="AM59" s="81" t="s">
        <v>161</v>
      </c>
      <c r="AN59" s="79">
        <v>14908</v>
      </c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79">
        <v>-5555</v>
      </c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79">
        <v>-5555</v>
      </c>
      <c r="BN59" s="79">
        <v>0</v>
      </c>
      <c r="BO59" s="79">
        <v>27465</v>
      </c>
      <c r="BP59" s="81"/>
      <c r="BQ59" s="83"/>
      <c r="BR59" s="83"/>
      <c r="BS59" s="83"/>
      <c r="BT59" s="83"/>
      <c r="BU59" s="83"/>
      <c r="BV59" s="83"/>
      <c r="BW59" s="83"/>
      <c r="BX59" s="82">
        <v>-13578.01</v>
      </c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79">
        <v>0</v>
      </c>
      <c r="CQ59" s="79">
        <v>-13578.01</v>
      </c>
      <c r="CR59" s="79">
        <v>0</v>
      </c>
      <c r="CS59" s="82">
        <v>13886.99</v>
      </c>
    </row>
    <row r="60" spans="1:97" x14ac:dyDescent="0.25">
      <c r="A60" s="76" t="s">
        <v>23</v>
      </c>
      <c r="B60" s="76" t="s">
        <v>71</v>
      </c>
      <c r="C60" s="76" t="s">
        <v>507</v>
      </c>
      <c r="D60" s="76" t="s">
        <v>547</v>
      </c>
      <c r="E60" s="77" t="s">
        <v>213</v>
      </c>
      <c r="F60" s="83"/>
      <c r="G60" s="76" t="s">
        <v>160</v>
      </c>
      <c r="H60" s="76" t="s">
        <v>168</v>
      </c>
      <c r="I60" s="78"/>
      <c r="J60" s="78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0" t="s">
        <v>336</v>
      </c>
      <c r="AN60" s="79">
        <v>7837</v>
      </c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79">
        <v>0</v>
      </c>
      <c r="BN60" s="79">
        <v>0</v>
      </c>
      <c r="BO60" s="79">
        <v>7837</v>
      </c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79">
        <v>0</v>
      </c>
      <c r="CQ60" s="79">
        <v>0</v>
      </c>
      <c r="CR60" s="79">
        <v>0</v>
      </c>
      <c r="CS60" s="82">
        <v>7837</v>
      </c>
    </row>
    <row r="61" spans="1:97" x14ac:dyDescent="0.25">
      <c r="A61" s="76" t="s">
        <v>23</v>
      </c>
      <c r="B61" s="76" t="s">
        <v>423</v>
      </c>
      <c r="C61" s="76" t="s">
        <v>507</v>
      </c>
      <c r="D61" s="76" t="s">
        <v>548</v>
      </c>
      <c r="E61" s="77" t="s">
        <v>213</v>
      </c>
      <c r="F61" s="83"/>
      <c r="G61" s="76" t="s">
        <v>160</v>
      </c>
      <c r="H61" s="76" t="s">
        <v>168</v>
      </c>
      <c r="I61" s="78"/>
      <c r="J61" s="78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0" t="s">
        <v>336</v>
      </c>
      <c r="AN61" s="79">
        <v>7837</v>
      </c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79">
        <v>0</v>
      </c>
      <c r="BN61" s="79">
        <v>0</v>
      </c>
      <c r="BO61" s="79">
        <v>7837</v>
      </c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79">
        <v>0</v>
      </c>
      <c r="CQ61" s="79">
        <v>0</v>
      </c>
      <c r="CR61" s="79">
        <v>0</v>
      </c>
      <c r="CS61" s="82">
        <v>7837</v>
      </c>
    </row>
    <row r="62" spans="1:97" x14ac:dyDescent="0.25">
      <c r="A62" s="76" t="s">
        <v>23</v>
      </c>
      <c r="B62" s="76" t="s">
        <v>72</v>
      </c>
      <c r="C62" s="76" t="s">
        <v>507</v>
      </c>
      <c r="D62" s="76" t="s">
        <v>145</v>
      </c>
      <c r="E62" s="77" t="s">
        <v>211</v>
      </c>
      <c r="F62" s="76" t="s">
        <v>161</v>
      </c>
      <c r="G62" s="76" t="s">
        <v>160</v>
      </c>
      <c r="H62" s="76" t="s">
        <v>168</v>
      </c>
      <c r="I62" s="78">
        <v>43173</v>
      </c>
      <c r="J62" s="78">
        <v>43173</v>
      </c>
      <c r="K62" s="79">
        <v>8046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79">
        <v>0</v>
      </c>
      <c r="AK62" s="79">
        <v>0</v>
      </c>
      <c r="AL62" s="79">
        <v>8046</v>
      </c>
      <c r="AM62" s="81" t="s">
        <v>161</v>
      </c>
      <c r="AN62" s="79">
        <v>7631</v>
      </c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79">
        <v>-2167</v>
      </c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79">
        <v>-2167</v>
      </c>
      <c r="BN62" s="79">
        <v>0</v>
      </c>
      <c r="BO62" s="79">
        <v>13510</v>
      </c>
      <c r="BP62" s="81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79">
        <v>0</v>
      </c>
      <c r="CQ62" s="79">
        <v>0</v>
      </c>
      <c r="CR62" s="79">
        <v>0</v>
      </c>
      <c r="CS62" s="82">
        <v>13510</v>
      </c>
    </row>
    <row r="63" spans="1:97" x14ac:dyDescent="0.25">
      <c r="A63" s="76" t="s">
        <v>23</v>
      </c>
      <c r="B63" s="76" t="s">
        <v>72</v>
      </c>
      <c r="C63" s="76" t="s">
        <v>507</v>
      </c>
      <c r="D63" s="76" t="s">
        <v>145</v>
      </c>
      <c r="E63" s="77" t="s">
        <v>213</v>
      </c>
      <c r="F63" s="83"/>
      <c r="G63" s="76" t="s">
        <v>160</v>
      </c>
      <c r="H63" s="76" t="s">
        <v>168</v>
      </c>
      <c r="I63" s="78"/>
      <c r="J63" s="78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0" t="s">
        <v>336</v>
      </c>
      <c r="AN63" s="79">
        <v>7837</v>
      </c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79">
        <v>0</v>
      </c>
      <c r="BN63" s="79">
        <v>0</v>
      </c>
      <c r="BO63" s="79">
        <v>7837</v>
      </c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79">
        <v>0</v>
      </c>
      <c r="CQ63" s="79">
        <v>0</v>
      </c>
      <c r="CR63" s="79">
        <v>0</v>
      </c>
      <c r="CS63" s="82">
        <v>7837</v>
      </c>
    </row>
    <row r="64" spans="1:97" x14ac:dyDescent="0.25">
      <c r="A64" s="76" t="s">
        <v>23</v>
      </c>
      <c r="B64" s="76" t="s">
        <v>425</v>
      </c>
      <c r="C64" s="76" t="s">
        <v>507</v>
      </c>
      <c r="D64" s="76" t="s">
        <v>549</v>
      </c>
      <c r="E64" s="77" t="s">
        <v>213</v>
      </c>
      <c r="F64" s="83"/>
      <c r="G64" s="76" t="s">
        <v>160</v>
      </c>
      <c r="H64" s="76" t="s">
        <v>168</v>
      </c>
      <c r="I64" s="78"/>
      <c r="J64" s="78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0" t="s">
        <v>336</v>
      </c>
      <c r="AN64" s="79">
        <v>28278</v>
      </c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79">
        <v>0</v>
      </c>
      <c r="BN64" s="79">
        <v>0</v>
      </c>
      <c r="BO64" s="79">
        <v>28278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79">
        <v>0</v>
      </c>
      <c r="CQ64" s="79">
        <v>0</v>
      </c>
      <c r="CR64" s="79">
        <v>0</v>
      </c>
      <c r="CS64" s="82">
        <v>28278</v>
      </c>
    </row>
    <row r="65" spans="1:97" x14ac:dyDescent="0.25">
      <c r="A65" s="76" t="s">
        <v>23</v>
      </c>
      <c r="B65" s="76" t="s">
        <v>424</v>
      </c>
      <c r="C65" s="76" t="s">
        <v>507</v>
      </c>
      <c r="D65" s="76" t="s">
        <v>550</v>
      </c>
      <c r="E65" s="77" t="s">
        <v>213</v>
      </c>
      <c r="F65" s="83"/>
      <c r="G65" s="76" t="s">
        <v>160</v>
      </c>
      <c r="H65" s="76" t="s">
        <v>168</v>
      </c>
      <c r="I65" s="78"/>
      <c r="J65" s="78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0" t="s">
        <v>336</v>
      </c>
      <c r="AN65" s="79">
        <v>7837</v>
      </c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79">
        <v>0</v>
      </c>
      <c r="BN65" s="79">
        <v>0</v>
      </c>
      <c r="BO65" s="79">
        <v>7837</v>
      </c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79">
        <v>0</v>
      </c>
      <c r="CQ65" s="79">
        <v>0</v>
      </c>
      <c r="CR65" s="79">
        <v>0</v>
      </c>
      <c r="CS65" s="82">
        <v>7837</v>
      </c>
    </row>
    <row r="66" spans="1:97" x14ac:dyDescent="0.25">
      <c r="A66" s="76" t="s">
        <v>230</v>
      </c>
      <c r="B66" s="76" t="s">
        <v>34</v>
      </c>
      <c r="C66" s="76" t="s">
        <v>387</v>
      </c>
      <c r="D66" s="76" t="s">
        <v>111</v>
      </c>
      <c r="E66" s="77" t="s">
        <v>213</v>
      </c>
      <c r="F66" s="83"/>
      <c r="G66" s="76" t="s">
        <v>160</v>
      </c>
      <c r="H66" s="76" t="s">
        <v>168</v>
      </c>
      <c r="I66" s="78"/>
      <c r="J66" s="78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0" t="s">
        <v>336</v>
      </c>
      <c r="AN66" s="79">
        <v>75604</v>
      </c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79">
        <v>-10770</v>
      </c>
      <c r="BH66" s="83"/>
      <c r="BI66" s="82">
        <v>-9500</v>
      </c>
      <c r="BJ66" s="83"/>
      <c r="BK66" s="79">
        <v>-9500</v>
      </c>
      <c r="BL66" s="83"/>
      <c r="BM66" s="79">
        <v>-29770</v>
      </c>
      <c r="BN66" s="79">
        <v>0</v>
      </c>
      <c r="BO66" s="79">
        <v>45834</v>
      </c>
      <c r="BP66" s="80" t="s">
        <v>341</v>
      </c>
      <c r="BQ66" s="79">
        <v>118986</v>
      </c>
      <c r="BR66" s="83"/>
      <c r="BS66" s="83"/>
      <c r="BT66" s="83"/>
      <c r="BU66" s="79">
        <v>-27059</v>
      </c>
      <c r="BV66" s="83"/>
      <c r="BW66" s="83"/>
      <c r="BX66" s="83"/>
      <c r="BY66" s="83"/>
      <c r="BZ66" s="83"/>
      <c r="CA66" s="83"/>
      <c r="CB66" s="83"/>
      <c r="CC66" s="83"/>
      <c r="CD66" s="79">
        <v>-43386.98</v>
      </c>
      <c r="CE66" s="83"/>
      <c r="CF66" s="79">
        <v>-1446.81</v>
      </c>
      <c r="CG66" s="83"/>
      <c r="CH66" s="83"/>
      <c r="CI66" s="83"/>
      <c r="CJ66" s="83"/>
      <c r="CK66" s="83"/>
      <c r="CL66" s="82"/>
      <c r="CM66" s="83"/>
      <c r="CN66" s="83"/>
      <c r="CO66" s="83"/>
      <c r="CP66" s="79">
        <v>0</v>
      </c>
      <c r="CQ66" s="79">
        <v>-71892.790000000008</v>
      </c>
      <c r="CR66" s="79">
        <v>0</v>
      </c>
      <c r="CS66" s="82">
        <v>92927.209999999992</v>
      </c>
    </row>
    <row r="67" spans="1:97" x14ac:dyDescent="0.25">
      <c r="A67" s="76" t="s">
        <v>230</v>
      </c>
      <c r="B67" s="76" t="s">
        <v>301</v>
      </c>
      <c r="C67" s="76" t="s">
        <v>387</v>
      </c>
      <c r="D67" s="76" t="s">
        <v>302</v>
      </c>
      <c r="E67" s="77" t="s">
        <v>213</v>
      </c>
      <c r="F67" s="83"/>
      <c r="G67" s="76" t="s">
        <v>160</v>
      </c>
      <c r="H67" s="76" t="s">
        <v>168</v>
      </c>
      <c r="I67" s="78"/>
      <c r="J67" s="78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0" t="s">
        <v>336</v>
      </c>
      <c r="AN67" s="79">
        <v>6547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79">
        <v>0</v>
      </c>
      <c r="BN67" s="79">
        <v>0</v>
      </c>
      <c r="BO67" s="79">
        <v>6547</v>
      </c>
      <c r="BP67" s="80" t="s">
        <v>341</v>
      </c>
      <c r="BQ67" s="79">
        <v>13577</v>
      </c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79">
        <v>-1521.62</v>
      </c>
      <c r="CE67" s="83"/>
      <c r="CF67" s="79">
        <v>-456.94</v>
      </c>
      <c r="CG67" s="83"/>
      <c r="CH67" s="83"/>
      <c r="CI67" s="83"/>
      <c r="CJ67" s="83"/>
      <c r="CK67" s="83"/>
      <c r="CL67" s="83"/>
      <c r="CM67" s="83"/>
      <c r="CN67" s="83"/>
      <c r="CO67" s="83"/>
      <c r="CP67" s="79">
        <v>0</v>
      </c>
      <c r="CQ67" s="79">
        <v>-1978.56</v>
      </c>
      <c r="CR67" s="79">
        <v>0</v>
      </c>
      <c r="CS67" s="82">
        <v>18145.439999999999</v>
      </c>
    </row>
    <row r="68" spans="1:97" x14ac:dyDescent="0.25">
      <c r="A68" s="76" t="s">
        <v>230</v>
      </c>
      <c r="B68" s="76" t="s">
        <v>427</v>
      </c>
      <c r="C68" s="76" t="s">
        <v>387</v>
      </c>
      <c r="D68" s="76" t="s">
        <v>551</v>
      </c>
      <c r="E68" s="77" t="s">
        <v>213</v>
      </c>
      <c r="F68" s="83"/>
      <c r="G68" s="76" t="s">
        <v>160</v>
      </c>
      <c r="H68" s="76" t="s">
        <v>168</v>
      </c>
      <c r="I68" s="78"/>
      <c r="J68" s="78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0" t="s">
        <v>336</v>
      </c>
      <c r="AN68" s="79">
        <v>15527</v>
      </c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79">
        <v>-8904</v>
      </c>
      <c r="BH68" s="83"/>
      <c r="BI68" s="83"/>
      <c r="BJ68" s="83"/>
      <c r="BK68" s="83"/>
      <c r="BL68" s="83"/>
      <c r="BM68" s="79">
        <v>-8904</v>
      </c>
      <c r="BN68" s="79">
        <v>0</v>
      </c>
      <c r="BO68" s="79">
        <v>6623</v>
      </c>
      <c r="BP68" s="80" t="s">
        <v>341</v>
      </c>
      <c r="BQ68" s="79">
        <v>41952</v>
      </c>
      <c r="BR68" s="83"/>
      <c r="BS68" s="83"/>
      <c r="BT68" s="83"/>
      <c r="BU68" s="79">
        <v>-5972</v>
      </c>
      <c r="BV68" s="83"/>
      <c r="BW68" s="83"/>
      <c r="BX68" s="83"/>
      <c r="BY68" s="83"/>
      <c r="BZ68" s="83"/>
      <c r="CA68" s="83"/>
      <c r="CB68" s="83"/>
      <c r="CC68" s="83"/>
      <c r="CD68" s="79">
        <v>-27110.35</v>
      </c>
      <c r="CE68" s="83"/>
      <c r="CF68" s="79">
        <v>-5772.72</v>
      </c>
      <c r="CG68" s="83"/>
      <c r="CH68" s="83"/>
      <c r="CI68" s="83"/>
      <c r="CJ68" s="83"/>
      <c r="CK68" s="83"/>
      <c r="CL68" s="83"/>
      <c r="CM68" s="83"/>
      <c r="CN68" s="83"/>
      <c r="CO68" s="83"/>
      <c r="CP68" s="79">
        <v>0</v>
      </c>
      <c r="CQ68" s="79">
        <v>-38855.07</v>
      </c>
      <c r="CR68" s="79">
        <v>0</v>
      </c>
      <c r="CS68" s="82">
        <v>9719.93</v>
      </c>
    </row>
    <row r="69" spans="1:97" x14ac:dyDescent="0.25">
      <c r="A69" s="76" t="s">
        <v>230</v>
      </c>
      <c r="B69" s="76" t="s">
        <v>426</v>
      </c>
      <c r="C69" s="76" t="s">
        <v>387</v>
      </c>
      <c r="D69" s="76" t="s">
        <v>552</v>
      </c>
      <c r="E69" s="77" t="s">
        <v>213</v>
      </c>
      <c r="F69" s="83"/>
      <c r="G69" s="76" t="s">
        <v>160</v>
      </c>
      <c r="H69" s="76" t="s">
        <v>168</v>
      </c>
      <c r="I69" s="78"/>
      <c r="J69" s="78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0" t="s">
        <v>336</v>
      </c>
      <c r="AN69" s="79">
        <v>28967</v>
      </c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79">
        <v>0</v>
      </c>
      <c r="BN69" s="79">
        <v>0</v>
      </c>
      <c r="BO69" s="79">
        <v>28967</v>
      </c>
      <c r="BP69" s="80" t="s">
        <v>341</v>
      </c>
      <c r="BQ69" s="79">
        <v>115825</v>
      </c>
      <c r="BR69" s="83"/>
      <c r="BS69" s="83"/>
      <c r="BT69" s="83"/>
      <c r="BU69" s="79">
        <v>-19149</v>
      </c>
      <c r="BV69" s="83"/>
      <c r="BW69" s="83"/>
      <c r="BX69" s="83"/>
      <c r="BY69" s="83"/>
      <c r="BZ69" s="83"/>
      <c r="CA69" s="83"/>
      <c r="CB69" s="83"/>
      <c r="CC69" s="83"/>
      <c r="CD69" s="79">
        <v>-31223.410000000003</v>
      </c>
      <c r="CE69" s="83"/>
      <c r="CF69" s="79">
        <v>-10901.54</v>
      </c>
      <c r="CG69" s="83"/>
      <c r="CH69" s="83"/>
      <c r="CI69" s="83"/>
      <c r="CJ69" s="83"/>
      <c r="CK69" s="83"/>
      <c r="CL69" s="83"/>
      <c r="CM69" s="83"/>
      <c r="CN69" s="83"/>
      <c r="CO69" s="83"/>
      <c r="CP69" s="79">
        <v>0</v>
      </c>
      <c r="CQ69" s="79">
        <v>-61273.950000000004</v>
      </c>
      <c r="CR69" s="79">
        <v>0</v>
      </c>
      <c r="CS69" s="82">
        <v>83518.049999999988</v>
      </c>
    </row>
    <row r="70" spans="1:97" x14ac:dyDescent="0.25">
      <c r="A70" s="77" t="s">
        <v>445</v>
      </c>
      <c r="B70" s="76" t="s">
        <v>34</v>
      </c>
      <c r="C70" s="76" t="s">
        <v>446</v>
      </c>
      <c r="D70" s="76" t="s">
        <v>111</v>
      </c>
      <c r="E70" s="77" t="s">
        <v>213</v>
      </c>
      <c r="F70" s="70"/>
      <c r="G70" s="76" t="s">
        <v>160</v>
      </c>
      <c r="H70" s="76" t="s">
        <v>168</v>
      </c>
      <c r="I70" s="78"/>
      <c r="J70" s="78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80" t="s">
        <v>336</v>
      </c>
      <c r="AN70" s="79">
        <v>118642</v>
      </c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82"/>
      <c r="BJ70" s="79"/>
      <c r="BK70" s="79"/>
      <c r="BL70" s="79"/>
      <c r="BM70" s="79">
        <v>0</v>
      </c>
      <c r="BN70" s="79">
        <v>0</v>
      </c>
      <c r="BO70" s="79">
        <v>118642</v>
      </c>
      <c r="BP70" s="80"/>
      <c r="BQ70" s="83"/>
      <c r="BR70" s="79"/>
      <c r="BS70" s="79"/>
      <c r="BT70" s="79"/>
      <c r="BU70" s="79"/>
      <c r="BV70" s="79"/>
      <c r="BW70" s="79"/>
      <c r="BX70" s="82"/>
      <c r="BY70" s="79"/>
      <c r="BZ70" s="79"/>
      <c r="CA70" s="79"/>
      <c r="CB70" s="79"/>
      <c r="CC70" s="79"/>
      <c r="CD70" s="83"/>
      <c r="CE70" s="79"/>
      <c r="CF70" s="79"/>
      <c r="CG70" s="79"/>
      <c r="CH70" s="79"/>
      <c r="CI70" s="79"/>
      <c r="CJ70" s="79"/>
      <c r="CK70" s="79"/>
      <c r="CL70" s="82"/>
      <c r="CM70" s="79"/>
      <c r="CN70" s="79"/>
      <c r="CO70" s="79"/>
      <c r="CP70" s="79">
        <v>0</v>
      </c>
      <c r="CQ70" s="79">
        <v>0</v>
      </c>
      <c r="CR70" s="79">
        <v>0</v>
      </c>
      <c r="CS70" s="82">
        <v>118642</v>
      </c>
    </row>
    <row r="71" spans="1:97" x14ac:dyDescent="0.25">
      <c r="A71" s="76" t="s">
        <v>24</v>
      </c>
      <c r="B71" s="76" t="s">
        <v>73</v>
      </c>
      <c r="C71" s="76" t="s">
        <v>102</v>
      </c>
      <c r="D71" s="76" t="s">
        <v>146</v>
      </c>
      <c r="E71" s="77" t="s">
        <v>211</v>
      </c>
      <c r="F71" s="76" t="s">
        <v>161</v>
      </c>
      <c r="G71" s="76" t="s">
        <v>160</v>
      </c>
      <c r="H71" s="76" t="s">
        <v>168</v>
      </c>
      <c r="I71" s="78">
        <v>43173</v>
      </c>
      <c r="J71" s="78">
        <v>43173</v>
      </c>
      <c r="K71" s="79">
        <v>26400</v>
      </c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79">
        <v>0</v>
      </c>
      <c r="AK71" s="79">
        <v>0</v>
      </c>
      <c r="AL71" s="79">
        <v>26400</v>
      </c>
      <c r="AM71" s="81" t="s">
        <v>161</v>
      </c>
      <c r="AN71" s="79">
        <v>25550</v>
      </c>
      <c r="AO71" s="83"/>
      <c r="AP71" s="83"/>
      <c r="AQ71" s="79">
        <v>-14419</v>
      </c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79">
        <v>-14419</v>
      </c>
      <c r="BN71" s="79">
        <v>0</v>
      </c>
      <c r="BO71" s="79">
        <v>37531</v>
      </c>
      <c r="BP71" s="81"/>
      <c r="BQ71" s="83"/>
      <c r="BR71" s="79">
        <v>-9600</v>
      </c>
      <c r="BS71" s="83"/>
      <c r="BT71" s="79">
        <v>-2381</v>
      </c>
      <c r="BU71" s="79">
        <v>-19</v>
      </c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79">
        <v>-11981</v>
      </c>
      <c r="CQ71" s="79">
        <v>-19</v>
      </c>
      <c r="CR71" s="79">
        <v>0</v>
      </c>
      <c r="CS71" s="82">
        <v>25531</v>
      </c>
    </row>
    <row r="72" spans="1:97" x14ac:dyDescent="0.25">
      <c r="A72" s="76" t="s">
        <v>16</v>
      </c>
      <c r="B72" s="76" t="s">
        <v>34</v>
      </c>
      <c r="C72" s="76" t="s">
        <v>96</v>
      </c>
      <c r="D72" s="76" t="s">
        <v>111</v>
      </c>
      <c r="E72" s="77" t="s">
        <v>211</v>
      </c>
      <c r="F72" s="76" t="s">
        <v>161</v>
      </c>
      <c r="G72" s="76" t="s">
        <v>160</v>
      </c>
      <c r="H72" s="76" t="s">
        <v>168</v>
      </c>
      <c r="I72" s="78">
        <v>43168</v>
      </c>
      <c r="J72" s="78">
        <v>43168</v>
      </c>
      <c r="K72" s="79">
        <v>24563</v>
      </c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79">
        <v>0</v>
      </c>
      <c r="AK72" s="79">
        <v>0</v>
      </c>
      <c r="AL72" s="79">
        <v>24563</v>
      </c>
      <c r="AM72" s="81" t="s">
        <v>161</v>
      </c>
      <c r="AN72" s="79">
        <v>12250</v>
      </c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79">
        <v>0</v>
      </c>
      <c r="BN72" s="79">
        <v>0</v>
      </c>
      <c r="BO72" s="79">
        <v>36813</v>
      </c>
      <c r="BP72" s="81" t="s">
        <v>341</v>
      </c>
      <c r="BQ72" s="79">
        <v>9261</v>
      </c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79">
        <v>0</v>
      </c>
      <c r="CQ72" s="79">
        <v>0</v>
      </c>
      <c r="CR72" s="79">
        <v>0</v>
      </c>
      <c r="CS72" s="82">
        <v>46074</v>
      </c>
    </row>
    <row r="73" spans="1:97" x14ac:dyDescent="0.25">
      <c r="A73" s="76" t="s">
        <v>25</v>
      </c>
      <c r="B73" s="76" t="s">
        <v>34</v>
      </c>
      <c r="C73" s="76" t="s">
        <v>103</v>
      </c>
      <c r="D73" s="76" t="s">
        <v>111</v>
      </c>
      <c r="E73" s="77" t="s">
        <v>211</v>
      </c>
      <c r="F73" s="76" t="s">
        <v>161</v>
      </c>
      <c r="G73" s="76" t="s">
        <v>160</v>
      </c>
      <c r="H73" s="76" t="s">
        <v>168</v>
      </c>
      <c r="I73" s="78">
        <v>43173</v>
      </c>
      <c r="J73" s="78">
        <v>43173</v>
      </c>
      <c r="K73" s="79">
        <v>672568</v>
      </c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79">
        <v>0</v>
      </c>
      <c r="AK73" s="79">
        <v>0</v>
      </c>
      <c r="AL73" s="79">
        <v>672568</v>
      </c>
      <c r="AM73" s="81" t="s">
        <v>161</v>
      </c>
      <c r="AN73" s="79">
        <v>503586</v>
      </c>
      <c r="AO73" s="83"/>
      <c r="AP73" s="83"/>
      <c r="AQ73" s="83"/>
      <c r="AR73" s="83"/>
      <c r="AS73" s="83"/>
      <c r="AT73" s="83"/>
      <c r="AU73" s="83"/>
      <c r="AV73" s="83"/>
      <c r="AW73" s="79">
        <v>-89713</v>
      </c>
      <c r="AX73" s="83"/>
      <c r="AY73" s="79">
        <v>-42819</v>
      </c>
      <c r="AZ73" s="83"/>
      <c r="BA73" s="79">
        <v>-45718</v>
      </c>
      <c r="BB73" s="83"/>
      <c r="BC73" s="79">
        <v>-38516</v>
      </c>
      <c r="BD73" s="83"/>
      <c r="BE73" s="79">
        <v>-57368</v>
      </c>
      <c r="BF73" s="83"/>
      <c r="BG73" s="79">
        <v>-63018</v>
      </c>
      <c r="BH73" s="83"/>
      <c r="BI73" s="79">
        <v>-234948</v>
      </c>
      <c r="BJ73" s="83"/>
      <c r="BK73" s="79">
        <v>-70996</v>
      </c>
      <c r="BL73" s="83"/>
      <c r="BM73" s="79">
        <v>-643096</v>
      </c>
      <c r="BN73" s="79">
        <v>0</v>
      </c>
      <c r="BO73" s="79">
        <v>533058</v>
      </c>
      <c r="BP73" s="81" t="s">
        <v>341</v>
      </c>
      <c r="BQ73" s="79">
        <v>522118</v>
      </c>
      <c r="BR73" s="79">
        <v>-113861</v>
      </c>
      <c r="BS73" s="83"/>
      <c r="BT73" s="83"/>
      <c r="BU73" s="83"/>
      <c r="BV73" s="83"/>
      <c r="BW73" s="83"/>
      <c r="BX73" s="83"/>
      <c r="BY73" s="83"/>
      <c r="BZ73" s="79">
        <v>-239109.94</v>
      </c>
      <c r="CA73" s="83"/>
      <c r="CB73" s="79">
        <v>-69935.789999999994</v>
      </c>
      <c r="CC73" s="83"/>
      <c r="CD73" s="79">
        <v>-269475.26999999996</v>
      </c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79">
        <v>-113861</v>
      </c>
      <c r="CQ73" s="79">
        <v>-578521</v>
      </c>
      <c r="CR73" s="79">
        <v>0</v>
      </c>
      <c r="CS73" s="82">
        <v>362794</v>
      </c>
    </row>
    <row r="74" spans="1:97" x14ac:dyDescent="0.25">
      <c r="A74" s="76" t="s">
        <v>25</v>
      </c>
      <c r="B74" s="76" t="s">
        <v>34</v>
      </c>
      <c r="C74" s="76" t="s">
        <v>103</v>
      </c>
      <c r="D74" s="76" t="s">
        <v>111</v>
      </c>
      <c r="E74" s="77" t="s">
        <v>213</v>
      </c>
      <c r="F74" s="83"/>
      <c r="G74" s="76" t="s">
        <v>160</v>
      </c>
      <c r="H74" s="76" t="s">
        <v>168</v>
      </c>
      <c r="I74" s="78"/>
      <c r="J74" s="78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0" t="s">
        <v>336</v>
      </c>
      <c r="AN74" s="79">
        <v>184454</v>
      </c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79">
        <v>0</v>
      </c>
      <c r="BN74" s="79">
        <v>0</v>
      </c>
      <c r="BO74" s="79">
        <v>184454</v>
      </c>
      <c r="BP74" s="80" t="s">
        <v>341</v>
      </c>
      <c r="BQ74" s="79">
        <v>547261</v>
      </c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79">
        <v>0</v>
      </c>
      <c r="CQ74" s="79">
        <v>0</v>
      </c>
      <c r="CR74" s="79">
        <v>0</v>
      </c>
      <c r="CS74" s="82">
        <v>731715</v>
      </c>
    </row>
    <row r="75" spans="1:97" x14ac:dyDescent="0.25">
      <c r="A75" s="76" t="s">
        <v>399</v>
      </c>
      <c r="B75" s="76" t="s">
        <v>34</v>
      </c>
      <c r="C75" s="76" t="s">
        <v>402</v>
      </c>
      <c r="D75" s="76" t="s">
        <v>111</v>
      </c>
      <c r="E75" s="77" t="s">
        <v>213</v>
      </c>
      <c r="F75" s="83"/>
      <c r="G75" s="76" t="s">
        <v>160</v>
      </c>
      <c r="H75" s="76" t="s">
        <v>168</v>
      </c>
      <c r="I75" s="78"/>
      <c r="J75" s="78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0" t="s">
        <v>336</v>
      </c>
      <c r="AN75" s="79">
        <v>79283</v>
      </c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79">
        <v>0</v>
      </c>
      <c r="BN75" s="79">
        <v>0</v>
      </c>
      <c r="BO75" s="79">
        <v>79283</v>
      </c>
      <c r="BP75" s="80" t="s">
        <v>341</v>
      </c>
      <c r="BQ75" s="79">
        <v>147757</v>
      </c>
      <c r="BR75" s="83"/>
      <c r="BS75" s="83"/>
      <c r="BT75" s="83"/>
      <c r="BU75" s="83"/>
      <c r="BV75" s="79">
        <v>-19424</v>
      </c>
      <c r="BW75" s="83"/>
      <c r="BX75" s="83"/>
      <c r="BY75" s="83"/>
      <c r="BZ75" s="83"/>
      <c r="CA75" s="83"/>
      <c r="CB75" s="79">
        <v>-66159</v>
      </c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79">
        <v>0</v>
      </c>
      <c r="CQ75" s="79">
        <v>-85583</v>
      </c>
      <c r="CR75" s="79">
        <v>0</v>
      </c>
      <c r="CS75" s="82">
        <v>141457</v>
      </c>
    </row>
    <row r="76" spans="1:97" x14ac:dyDescent="0.25">
      <c r="A76" s="76" t="s">
        <v>17</v>
      </c>
      <c r="B76" s="76" t="s">
        <v>40</v>
      </c>
      <c r="C76" s="76" t="s">
        <v>403</v>
      </c>
      <c r="D76" s="76" t="s">
        <v>116</v>
      </c>
      <c r="E76" s="77" t="s">
        <v>213</v>
      </c>
      <c r="F76" s="83"/>
      <c r="G76" s="76" t="s">
        <v>160</v>
      </c>
      <c r="H76" s="76" t="s">
        <v>168</v>
      </c>
      <c r="I76" s="78"/>
      <c r="J76" s="78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0" t="s">
        <v>336</v>
      </c>
      <c r="AN76" s="79">
        <v>22493</v>
      </c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79">
        <v>-1539</v>
      </c>
      <c r="BJ76" s="83"/>
      <c r="BK76" s="79">
        <v>-20695</v>
      </c>
      <c r="BL76" s="83"/>
      <c r="BM76" s="79">
        <v>-22234</v>
      </c>
      <c r="BN76" s="79">
        <v>0</v>
      </c>
      <c r="BO76" s="79">
        <v>259</v>
      </c>
      <c r="BP76" s="80" t="s">
        <v>341</v>
      </c>
      <c r="BQ76" s="79">
        <v>46645</v>
      </c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79">
        <v>0</v>
      </c>
      <c r="CQ76" s="79">
        <v>0</v>
      </c>
      <c r="CR76" s="79">
        <v>0</v>
      </c>
      <c r="CS76" s="82">
        <v>46904</v>
      </c>
    </row>
    <row r="77" spans="1:97" x14ac:dyDescent="0.25">
      <c r="A77" s="76" t="s">
        <v>27</v>
      </c>
      <c r="B77" s="76" t="s">
        <v>76</v>
      </c>
      <c r="C77" s="76" t="s">
        <v>105</v>
      </c>
      <c r="D77" s="76" t="s">
        <v>149</v>
      </c>
      <c r="E77" s="77" t="s">
        <v>211</v>
      </c>
      <c r="F77" s="76" t="s">
        <v>161</v>
      </c>
      <c r="G77" s="76" t="s">
        <v>160</v>
      </c>
      <c r="H77" s="76" t="s">
        <v>168</v>
      </c>
      <c r="I77" s="78">
        <v>43173</v>
      </c>
      <c r="J77" s="78">
        <v>43173</v>
      </c>
      <c r="K77" s="79">
        <v>48559</v>
      </c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79">
        <v>0</v>
      </c>
      <c r="AK77" s="79">
        <v>0</v>
      </c>
      <c r="AL77" s="79">
        <v>48559</v>
      </c>
      <c r="AM77" s="81" t="s">
        <v>161</v>
      </c>
      <c r="AN77" s="79">
        <v>48286</v>
      </c>
      <c r="AO77" s="79">
        <v>-18280</v>
      </c>
      <c r="AP77" s="83"/>
      <c r="AQ77" s="83"/>
      <c r="AR77" s="83"/>
      <c r="AS77" s="83"/>
      <c r="AT77" s="83"/>
      <c r="AU77" s="79">
        <v>-4434</v>
      </c>
      <c r="AV77" s="83"/>
      <c r="AW77" s="83"/>
      <c r="AX77" s="83"/>
      <c r="AY77" s="83"/>
      <c r="AZ77" s="83"/>
      <c r="BA77" s="83"/>
      <c r="BB77" s="83"/>
      <c r="BC77" s="79">
        <v>-9710</v>
      </c>
      <c r="BD77" s="83"/>
      <c r="BE77" s="83"/>
      <c r="BF77" s="83"/>
      <c r="BG77" s="79">
        <v>-7454</v>
      </c>
      <c r="BH77" s="83"/>
      <c r="BI77" s="83"/>
      <c r="BJ77" s="83"/>
      <c r="BK77" s="83"/>
      <c r="BL77" s="83"/>
      <c r="BM77" s="79">
        <v>-39878</v>
      </c>
      <c r="BN77" s="79">
        <v>0</v>
      </c>
      <c r="BO77" s="79">
        <v>56967</v>
      </c>
      <c r="BP77" s="80" t="s">
        <v>341</v>
      </c>
      <c r="BQ77" s="79">
        <v>61738</v>
      </c>
      <c r="BR77" s="79">
        <v>-20388</v>
      </c>
      <c r="BS77" s="83"/>
      <c r="BT77" s="83"/>
      <c r="BU77" s="83"/>
      <c r="BV77" s="83"/>
      <c r="BW77" s="83"/>
      <c r="BX77" s="82">
        <v>-6011.5</v>
      </c>
      <c r="BY77" s="83"/>
      <c r="BZ77" s="83"/>
      <c r="CA77" s="83"/>
      <c r="CB77" s="79">
        <v>-0.45</v>
      </c>
      <c r="CC77" s="83"/>
      <c r="CD77" s="79">
        <v>-10164.709999999999</v>
      </c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79">
        <v>-20388</v>
      </c>
      <c r="CQ77" s="79">
        <v>-16176.66</v>
      </c>
      <c r="CR77" s="79">
        <v>0</v>
      </c>
      <c r="CS77" s="82">
        <v>82140.34</v>
      </c>
    </row>
    <row r="78" spans="1:97" x14ac:dyDescent="0.25">
      <c r="A78" s="76" t="s">
        <v>27</v>
      </c>
      <c r="B78" s="76" t="s">
        <v>77</v>
      </c>
      <c r="C78" s="76" t="s">
        <v>105</v>
      </c>
      <c r="D78" s="76" t="s">
        <v>150</v>
      </c>
      <c r="E78" s="77" t="s">
        <v>211</v>
      </c>
      <c r="F78" s="76" t="s">
        <v>161</v>
      </c>
      <c r="G78" s="76" t="s">
        <v>160</v>
      </c>
      <c r="H78" s="76" t="s">
        <v>168</v>
      </c>
      <c r="I78" s="78">
        <v>43173</v>
      </c>
      <c r="J78" s="78">
        <v>43173</v>
      </c>
      <c r="K78" s="79">
        <v>45071</v>
      </c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79">
        <v>0</v>
      </c>
      <c r="AK78" s="79">
        <v>0</v>
      </c>
      <c r="AL78" s="79">
        <v>45071</v>
      </c>
      <c r="AM78" s="81" t="s">
        <v>161</v>
      </c>
      <c r="AN78" s="79">
        <v>48103</v>
      </c>
      <c r="AO78" s="79">
        <v>-6413</v>
      </c>
      <c r="AP78" s="83"/>
      <c r="AQ78" s="83"/>
      <c r="AR78" s="83"/>
      <c r="AS78" s="83"/>
      <c r="AT78" s="83"/>
      <c r="AU78" s="79">
        <v>-2449</v>
      </c>
      <c r="AV78" s="83"/>
      <c r="AW78" s="83"/>
      <c r="AX78" s="83"/>
      <c r="AY78" s="83"/>
      <c r="AZ78" s="83"/>
      <c r="BA78" s="83"/>
      <c r="BB78" s="83"/>
      <c r="BC78" s="79">
        <v>-17620</v>
      </c>
      <c r="BD78" s="83"/>
      <c r="BE78" s="83"/>
      <c r="BF78" s="83"/>
      <c r="BG78" s="79">
        <v>-16615</v>
      </c>
      <c r="BH78" s="83"/>
      <c r="BI78" s="83"/>
      <c r="BJ78" s="83"/>
      <c r="BK78" s="79">
        <v>-7113</v>
      </c>
      <c r="BL78" s="83"/>
      <c r="BM78" s="79">
        <v>-50210</v>
      </c>
      <c r="BN78" s="79">
        <v>0</v>
      </c>
      <c r="BO78" s="79">
        <v>42964</v>
      </c>
      <c r="BP78" s="80" t="s">
        <v>341</v>
      </c>
      <c r="BQ78" s="79">
        <v>46929</v>
      </c>
      <c r="BR78" s="79">
        <v>-2410</v>
      </c>
      <c r="BS78" s="83"/>
      <c r="BT78" s="83"/>
      <c r="BU78" s="83"/>
      <c r="BV78" s="83"/>
      <c r="BW78" s="83"/>
      <c r="BX78" s="82">
        <v>-4021.03</v>
      </c>
      <c r="BY78" s="83"/>
      <c r="BZ78" s="83"/>
      <c r="CA78" s="83"/>
      <c r="CB78" s="79">
        <v>-2284.2799999999997</v>
      </c>
      <c r="CC78" s="83"/>
      <c r="CD78" s="79">
        <v>-23901.51</v>
      </c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79">
        <v>-2410</v>
      </c>
      <c r="CQ78" s="79">
        <v>-30206.82</v>
      </c>
      <c r="CR78" s="79">
        <v>0</v>
      </c>
      <c r="CS78" s="82">
        <v>57276.18</v>
      </c>
    </row>
    <row r="79" spans="1:97" x14ac:dyDescent="0.25">
      <c r="A79" s="76" t="s">
        <v>27</v>
      </c>
      <c r="B79" s="76" t="s">
        <v>78</v>
      </c>
      <c r="C79" s="76" t="s">
        <v>105</v>
      </c>
      <c r="D79" s="76" t="s">
        <v>151</v>
      </c>
      <c r="E79" s="77" t="s">
        <v>211</v>
      </c>
      <c r="F79" s="76" t="s">
        <v>161</v>
      </c>
      <c r="G79" s="76" t="s">
        <v>160</v>
      </c>
      <c r="H79" s="76" t="s">
        <v>168</v>
      </c>
      <c r="I79" s="78">
        <v>43173</v>
      </c>
      <c r="J79" s="78">
        <v>43173</v>
      </c>
      <c r="K79" s="79">
        <v>34841</v>
      </c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79">
        <v>0</v>
      </c>
      <c r="AK79" s="79">
        <v>0</v>
      </c>
      <c r="AL79" s="79">
        <v>34841</v>
      </c>
      <c r="AM79" s="81" t="s">
        <v>161</v>
      </c>
      <c r="AN79" s="79">
        <v>35628</v>
      </c>
      <c r="AO79" s="79">
        <v>-356</v>
      </c>
      <c r="AP79" s="83"/>
      <c r="AQ79" s="83"/>
      <c r="AR79" s="83"/>
      <c r="AS79" s="83"/>
      <c r="AT79" s="83"/>
      <c r="AU79" s="79">
        <v>0</v>
      </c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79">
        <v>-356</v>
      </c>
      <c r="BN79" s="79">
        <v>0</v>
      </c>
      <c r="BO79" s="79">
        <v>70113</v>
      </c>
      <c r="BP79" s="80" t="s">
        <v>341</v>
      </c>
      <c r="BQ79" s="79">
        <v>-64432</v>
      </c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79">
        <v>-3145.77</v>
      </c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79">
        <v>0</v>
      </c>
      <c r="CQ79" s="79">
        <v>-3145.77</v>
      </c>
      <c r="CR79" s="79">
        <v>0</v>
      </c>
      <c r="CS79" s="82">
        <v>2535.23</v>
      </c>
    </row>
    <row r="80" spans="1:97" x14ac:dyDescent="0.25">
      <c r="A80" s="76" t="s">
        <v>27</v>
      </c>
      <c r="B80" s="76" t="s">
        <v>34</v>
      </c>
      <c r="C80" s="76" t="s">
        <v>105</v>
      </c>
      <c r="D80" s="76" t="s">
        <v>111</v>
      </c>
      <c r="E80" s="77" t="s">
        <v>211</v>
      </c>
      <c r="F80" s="76" t="s">
        <v>161</v>
      </c>
      <c r="G80" s="76" t="s">
        <v>160</v>
      </c>
      <c r="H80" s="76" t="s">
        <v>168</v>
      </c>
      <c r="I80" s="78">
        <v>43173</v>
      </c>
      <c r="J80" s="78">
        <v>43173</v>
      </c>
      <c r="K80" s="79">
        <v>13936</v>
      </c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79">
        <v>0</v>
      </c>
      <c r="AK80" s="79">
        <v>0</v>
      </c>
      <c r="AL80" s="79">
        <v>13936</v>
      </c>
      <c r="AM80" s="83"/>
      <c r="AN80" s="79">
        <v>0</v>
      </c>
      <c r="AO80" s="83"/>
      <c r="AP80" s="83"/>
      <c r="AQ80" s="83"/>
      <c r="AR80" s="83"/>
      <c r="AS80" s="83"/>
      <c r="AT80" s="83"/>
      <c r="AU80" s="79">
        <v>-3163</v>
      </c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79">
        <v>-10773</v>
      </c>
      <c r="BL80" s="83"/>
      <c r="BM80" s="79">
        <v>-13936</v>
      </c>
      <c r="BN80" s="79">
        <v>0</v>
      </c>
      <c r="BO80" s="79">
        <v>0</v>
      </c>
      <c r="BP80" s="80" t="s">
        <v>336</v>
      </c>
      <c r="BQ80" s="79">
        <v>26989</v>
      </c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79">
        <v>0</v>
      </c>
      <c r="CQ80" s="79">
        <v>0</v>
      </c>
      <c r="CR80" s="79">
        <v>0</v>
      </c>
      <c r="CS80" s="82">
        <v>26989</v>
      </c>
    </row>
    <row r="81" spans="1:97" x14ac:dyDescent="0.25">
      <c r="A81" s="76" t="s">
        <v>27</v>
      </c>
      <c r="B81" s="76" t="s">
        <v>79</v>
      </c>
      <c r="C81" s="76" t="s">
        <v>105</v>
      </c>
      <c r="D81" s="76" t="s">
        <v>152</v>
      </c>
      <c r="E81" s="77" t="s">
        <v>211</v>
      </c>
      <c r="F81" s="76" t="s">
        <v>161</v>
      </c>
      <c r="G81" s="76" t="s">
        <v>160</v>
      </c>
      <c r="H81" s="76" t="s">
        <v>168</v>
      </c>
      <c r="I81" s="78">
        <v>43173</v>
      </c>
      <c r="J81" s="78">
        <v>43173</v>
      </c>
      <c r="K81" s="79">
        <v>46861</v>
      </c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79">
        <v>0</v>
      </c>
      <c r="AK81" s="79">
        <v>0</v>
      </c>
      <c r="AL81" s="79">
        <v>46861</v>
      </c>
      <c r="AM81" s="81" t="s">
        <v>161</v>
      </c>
      <c r="AN81" s="79">
        <v>23115</v>
      </c>
      <c r="AO81" s="79">
        <v>-19944</v>
      </c>
      <c r="AP81" s="83"/>
      <c r="AQ81" s="83"/>
      <c r="AR81" s="83"/>
      <c r="AS81" s="83"/>
      <c r="AT81" s="83"/>
      <c r="AU81" s="79">
        <v>-99</v>
      </c>
      <c r="AV81" s="83"/>
      <c r="AW81" s="83"/>
      <c r="AX81" s="83"/>
      <c r="AY81" s="79">
        <v>198</v>
      </c>
      <c r="AZ81" s="83"/>
      <c r="BA81" s="83"/>
      <c r="BB81" s="83"/>
      <c r="BC81" s="79">
        <v>-14850</v>
      </c>
      <c r="BD81" s="83"/>
      <c r="BE81" s="83"/>
      <c r="BF81" s="83"/>
      <c r="BG81" s="79">
        <v>-4912</v>
      </c>
      <c r="BH81" s="83"/>
      <c r="BI81" s="83"/>
      <c r="BJ81" s="83"/>
      <c r="BK81" s="79">
        <v>-3104</v>
      </c>
      <c r="BL81" s="83"/>
      <c r="BM81" s="79">
        <v>-42711</v>
      </c>
      <c r="BN81" s="79">
        <v>0</v>
      </c>
      <c r="BO81" s="79">
        <v>27265</v>
      </c>
      <c r="BP81" s="80" t="s">
        <v>341</v>
      </c>
      <c r="BQ81" s="79">
        <v>45486</v>
      </c>
      <c r="BR81" s="79">
        <v>-1552</v>
      </c>
      <c r="BS81" s="83"/>
      <c r="BT81" s="83"/>
      <c r="BU81" s="83"/>
      <c r="BV81" s="83"/>
      <c r="BW81" s="83"/>
      <c r="BX81" s="82">
        <v>-5761.6</v>
      </c>
      <c r="BY81" s="83"/>
      <c r="BZ81" s="83"/>
      <c r="CA81" s="83"/>
      <c r="CB81" s="79">
        <v>-1554.64</v>
      </c>
      <c r="CC81" s="83"/>
      <c r="CD81" s="79">
        <v>-6533.04</v>
      </c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79">
        <v>-1552</v>
      </c>
      <c r="CQ81" s="79">
        <v>-13849.28</v>
      </c>
      <c r="CR81" s="79">
        <v>0</v>
      </c>
      <c r="CS81" s="82">
        <v>57349.72</v>
      </c>
    </row>
    <row r="82" spans="1:97" x14ac:dyDescent="0.25">
      <c r="A82" s="76" t="s">
        <v>27</v>
      </c>
      <c r="B82" s="76" t="s">
        <v>80</v>
      </c>
      <c r="C82" s="76" t="s">
        <v>105</v>
      </c>
      <c r="D82" s="76" t="s">
        <v>205</v>
      </c>
      <c r="E82" s="77" t="s">
        <v>211</v>
      </c>
      <c r="F82" s="76" t="s">
        <v>161</v>
      </c>
      <c r="G82" s="76" t="s">
        <v>160</v>
      </c>
      <c r="H82" s="76" t="s">
        <v>168</v>
      </c>
      <c r="I82" s="78">
        <v>43173</v>
      </c>
      <c r="J82" s="78">
        <v>43173</v>
      </c>
      <c r="K82" s="79">
        <v>38420</v>
      </c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79">
        <v>0</v>
      </c>
      <c r="AK82" s="79">
        <v>0</v>
      </c>
      <c r="AL82" s="79">
        <v>38420</v>
      </c>
      <c r="AM82" s="81" t="s">
        <v>161</v>
      </c>
      <c r="AN82" s="79">
        <v>43420</v>
      </c>
      <c r="AO82" s="79">
        <v>-4727</v>
      </c>
      <c r="AP82" s="83"/>
      <c r="AQ82" s="83"/>
      <c r="AR82" s="83"/>
      <c r="AS82" s="83"/>
      <c r="AT82" s="83"/>
      <c r="AU82" s="79">
        <v>-2000</v>
      </c>
      <c r="AV82" s="83"/>
      <c r="AW82" s="83"/>
      <c r="AX82" s="83"/>
      <c r="AY82" s="83"/>
      <c r="AZ82" s="83"/>
      <c r="BA82" s="83"/>
      <c r="BB82" s="83"/>
      <c r="BC82" s="79">
        <v>-25291</v>
      </c>
      <c r="BD82" s="83"/>
      <c r="BE82" s="83"/>
      <c r="BF82" s="83"/>
      <c r="BG82" s="79">
        <v>-15581</v>
      </c>
      <c r="BH82" s="83"/>
      <c r="BI82" s="83"/>
      <c r="BJ82" s="83"/>
      <c r="BK82" s="79">
        <v>-10387</v>
      </c>
      <c r="BL82" s="83"/>
      <c r="BM82" s="79">
        <v>-57986</v>
      </c>
      <c r="BN82" s="79">
        <v>0</v>
      </c>
      <c r="BO82" s="79">
        <v>23854</v>
      </c>
      <c r="BP82" s="80" t="s">
        <v>341</v>
      </c>
      <c r="BQ82" s="79">
        <v>43427</v>
      </c>
      <c r="BR82" s="79">
        <v>-5193</v>
      </c>
      <c r="BS82" s="83"/>
      <c r="BT82" s="83"/>
      <c r="BU82" s="83"/>
      <c r="BV82" s="83"/>
      <c r="BW82" s="83"/>
      <c r="BX82" s="82">
        <v>-10222.86</v>
      </c>
      <c r="BY82" s="83"/>
      <c r="BZ82" s="83"/>
      <c r="CA82" s="83"/>
      <c r="CB82" s="79">
        <v>-5201.8999999999996</v>
      </c>
      <c r="CC82" s="83"/>
      <c r="CD82" s="79">
        <v>-15543.05</v>
      </c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79">
        <v>-5193</v>
      </c>
      <c r="CQ82" s="79">
        <v>-30967.809999999998</v>
      </c>
      <c r="CR82" s="79">
        <v>0</v>
      </c>
      <c r="CS82" s="82">
        <v>31120.190000000002</v>
      </c>
    </row>
    <row r="83" spans="1:97" x14ac:dyDescent="0.25">
      <c r="A83" s="76" t="s">
        <v>27</v>
      </c>
      <c r="B83" s="76" t="s">
        <v>81</v>
      </c>
      <c r="C83" s="76" t="s">
        <v>105</v>
      </c>
      <c r="D83" s="76" t="s">
        <v>153</v>
      </c>
      <c r="E83" s="77" t="s">
        <v>211</v>
      </c>
      <c r="F83" s="76" t="s">
        <v>161</v>
      </c>
      <c r="G83" s="76" t="s">
        <v>160</v>
      </c>
      <c r="H83" s="76" t="s">
        <v>168</v>
      </c>
      <c r="I83" s="78">
        <v>43173</v>
      </c>
      <c r="J83" s="78">
        <v>43173</v>
      </c>
      <c r="K83" s="79">
        <v>48265</v>
      </c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>
        <v>0</v>
      </c>
      <c r="AK83" s="79">
        <v>0</v>
      </c>
      <c r="AL83" s="79">
        <v>48265</v>
      </c>
      <c r="AM83" s="81" t="s">
        <v>161</v>
      </c>
      <c r="AN83" s="79">
        <v>26494</v>
      </c>
      <c r="AO83" s="79">
        <v>-13126</v>
      </c>
      <c r="AP83" s="79"/>
      <c r="AQ83" s="79"/>
      <c r="AR83" s="79"/>
      <c r="AS83" s="79"/>
      <c r="AT83" s="79"/>
      <c r="AU83" s="79">
        <v>0</v>
      </c>
      <c r="AV83" s="79"/>
      <c r="AW83" s="79"/>
      <c r="AX83" s="79"/>
      <c r="AY83" s="79"/>
      <c r="AZ83" s="79"/>
      <c r="BA83" s="79"/>
      <c r="BB83" s="79"/>
      <c r="BC83" s="79">
        <v>-12099</v>
      </c>
      <c r="BD83" s="79"/>
      <c r="BE83" s="79"/>
      <c r="BF83" s="79"/>
      <c r="BG83" s="79">
        <v>-4373</v>
      </c>
      <c r="BH83" s="79"/>
      <c r="BI83" s="79"/>
      <c r="BJ83" s="79"/>
      <c r="BK83" s="79">
        <v>-2649</v>
      </c>
      <c r="BL83" s="79"/>
      <c r="BM83" s="79">
        <v>-32247</v>
      </c>
      <c r="BN83" s="79">
        <v>0</v>
      </c>
      <c r="BO83" s="79">
        <v>42512</v>
      </c>
      <c r="BP83" s="80" t="s">
        <v>341</v>
      </c>
      <c r="BQ83" s="79">
        <v>28997</v>
      </c>
      <c r="BR83" s="79">
        <v>-1325</v>
      </c>
      <c r="BS83" s="79"/>
      <c r="BT83" s="79"/>
      <c r="BU83" s="79"/>
      <c r="BV83" s="79"/>
      <c r="BW83" s="79"/>
      <c r="BX83" s="82">
        <v>-2283</v>
      </c>
      <c r="BY83" s="79"/>
      <c r="BZ83" s="79"/>
      <c r="CA83" s="79"/>
      <c r="CB83" s="79">
        <v>-1326.68</v>
      </c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>
        <v>-1325</v>
      </c>
      <c r="CQ83" s="79">
        <v>-3609.6800000000003</v>
      </c>
      <c r="CR83" s="79">
        <v>0</v>
      </c>
      <c r="CS83" s="82">
        <v>66574.320000000007</v>
      </c>
    </row>
    <row r="84" spans="1:97" x14ac:dyDescent="0.25">
      <c r="A84" s="76" t="s">
        <v>27</v>
      </c>
      <c r="B84" s="76" t="s">
        <v>82</v>
      </c>
      <c r="C84" s="76" t="s">
        <v>105</v>
      </c>
      <c r="D84" s="76" t="s">
        <v>154</v>
      </c>
      <c r="E84" s="77" t="s">
        <v>211</v>
      </c>
      <c r="F84" s="76" t="s">
        <v>161</v>
      </c>
      <c r="G84" s="76" t="s">
        <v>160</v>
      </c>
      <c r="H84" s="76" t="s">
        <v>168</v>
      </c>
      <c r="I84" s="78">
        <v>43173</v>
      </c>
      <c r="J84" s="78">
        <v>43173</v>
      </c>
      <c r="K84" s="79">
        <v>82077</v>
      </c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79">
        <v>0</v>
      </c>
      <c r="AK84" s="79">
        <v>0</v>
      </c>
      <c r="AL84" s="79">
        <v>82077</v>
      </c>
      <c r="AM84" s="81" t="s">
        <v>161</v>
      </c>
      <c r="AN84" s="79">
        <v>67727</v>
      </c>
      <c r="AO84" s="79">
        <v>-2263</v>
      </c>
      <c r="AP84" s="83"/>
      <c r="AQ84" s="83"/>
      <c r="AR84" s="83"/>
      <c r="AS84" s="83"/>
      <c r="AT84" s="83"/>
      <c r="AU84" s="79">
        <v>-4210</v>
      </c>
      <c r="AV84" s="83"/>
      <c r="AW84" s="83"/>
      <c r="AX84" s="83"/>
      <c r="AY84" s="83"/>
      <c r="AZ84" s="83"/>
      <c r="BA84" s="83"/>
      <c r="BB84" s="83"/>
      <c r="BC84" s="79">
        <v>-55495</v>
      </c>
      <c r="BD84" s="83"/>
      <c r="BE84" s="83"/>
      <c r="BF84" s="83"/>
      <c r="BG84" s="79">
        <v>-32574</v>
      </c>
      <c r="BH84" s="83"/>
      <c r="BI84" s="83"/>
      <c r="BJ84" s="83"/>
      <c r="BK84" s="79">
        <v>-23713</v>
      </c>
      <c r="BL84" s="83"/>
      <c r="BM84" s="79">
        <v>-118255</v>
      </c>
      <c r="BN84" s="79">
        <v>0</v>
      </c>
      <c r="BO84" s="79">
        <v>31549</v>
      </c>
      <c r="BP84" s="80" t="s">
        <v>341</v>
      </c>
      <c r="BQ84" s="79">
        <v>103765</v>
      </c>
      <c r="BR84" s="79">
        <v>-10519</v>
      </c>
      <c r="BS84" s="83"/>
      <c r="BT84" s="83"/>
      <c r="BU84" s="83"/>
      <c r="BV84" s="83"/>
      <c r="BW84" s="83"/>
      <c r="BX84" s="82">
        <v>-17373.59</v>
      </c>
      <c r="BY84" s="83"/>
      <c r="BZ84" s="83"/>
      <c r="CA84" s="83"/>
      <c r="CB84" s="79">
        <v>-3656.41</v>
      </c>
      <c r="CC84" s="83"/>
      <c r="CD84" s="79">
        <v>-29037.360000000001</v>
      </c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79">
        <v>-10519</v>
      </c>
      <c r="CQ84" s="79">
        <v>-50067.360000000001</v>
      </c>
      <c r="CR84" s="79">
        <v>0</v>
      </c>
      <c r="CS84" s="82">
        <v>74727.64</v>
      </c>
    </row>
    <row r="85" spans="1:97" x14ac:dyDescent="0.25">
      <c r="A85" s="76" t="s">
        <v>30</v>
      </c>
      <c r="B85" s="76" t="s">
        <v>86</v>
      </c>
      <c r="C85" s="76" t="s">
        <v>404</v>
      </c>
      <c r="D85" s="76" t="s">
        <v>157</v>
      </c>
      <c r="E85" s="77" t="s">
        <v>213</v>
      </c>
      <c r="F85" s="83"/>
      <c r="G85" s="76" t="s">
        <v>160</v>
      </c>
      <c r="H85" s="76" t="s">
        <v>168</v>
      </c>
      <c r="I85" s="78"/>
      <c r="J85" s="78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0" t="s">
        <v>336</v>
      </c>
      <c r="AN85" s="79">
        <v>22254</v>
      </c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79">
        <v>-22254</v>
      </c>
      <c r="BL85" s="83"/>
      <c r="BM85" s="79">
        <v>-22254</v>
      </c>
      <c r="BN85" s="79">
        <v>0</v>
      </c>
      <c r="BO85" s="79">
        <v>0</v>
      </c>
      <c r="BP85" s="80" t="s">
        <v>341</v>
      </c>
      <c r="BQ85" s="79">
        <v>34435</v>
      </c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79">
        <v>0</v>
      </c>
      <c r="CQ85" s="79">
        <v>0</v>
      </c>
      <c r="CR85" s="79">
        <v>0</v>
      </c>
      <c r="CS85" s="82">
        <v>34435</v>
      </c>
    </row>
    <row r="86" spans="1:97" x14ac:dyDescent="0.25">
      <c r="A86" s="76" t="s">
        <v>30</v>
      </c>
      <c r="B86" s="76" t="s">
        <v>34</v>
      </c>
      <c r="C86" s="76" t="s">
        <v>207</v>
      </c>
      <c r="D86" s="76" t="s">
        <v>111</v>
      </c>
      <c r="E86" s="77" t="s">
        <v>211</v>
      </c>
      <c r="F86" s="76" t="s">
        <v>161</v>
      </c>
      <c r="G86" s="76" t="s">
        <v>160</v>
      </c>
      <c r="H86" s="76" t="s">
        <v>168</v>
      </c>
      <c r="I86" s="78">
        <v>43173</v>
      </c>
      <c r="J86" s="78">
        <v>43173</v>
      </c>
      <c r="K86" s="79">
        <v>133177</v>
      </c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79">
        <v>0</v>
      </c>
      <c r="AK86" s="79">
        <v>0</v>
      </c>
      <c r="AL86" s="79">
        <v>133177</v>
      </c>
      <c r="AM86" s="81" t="s">
        <v>161</v>
      </c>
      <c r="AN86" s="79">
        <v>126000</v>
      </c>
      <c r="AO86" s="83"/>
      <c r="AP86" s="83"/>
      <c r="AQ86" s="83"/>
      <c r="AR86" s="83"/>
      <c r="AS86" s="83"/>
      <c r="AT86" s="83"/>
      <c r="AU86" s="83"/>
      <c r="AV86" s="83"/>
      <c r="AW86" s="79">
        <v>-16785</v>
      </c>
      <c r="AX86" s="83"/>
      <c r="AY86" s="79">
        <v>-6000</v>
      </c>
      <c r="AZ86" s="83"/>
      <c r="BA86" s="79">
        <v>-8137</v>
      </c>
      <c r="BB86" s="83"/>
      <c r="BC86" s="79">
        <v>-2034</v>
      </c>
      <c r="BD86" s="83"/>
      <c r="BE86" s="79">
        <v>-16160</v>
      </c>
      <c r="BF86" s="83"/>
      <c r="BG86" s="79">
        <v>-16276</v>
      </c>
      <c r="BH86" s="83"/>
      <c r="BI86" s="79">
        <v>-8026</v>
      </c>
      <c r="BJ86" s="83"/>
      <c r="BK86" s="83"/>
      <c r="BL86" s="83"/>
      <c r="BM86" s="79">
        <v>-73418</v>
      </c>
      <c r="BN86" s="79">
        <v>0</v>
      </c>
      <c r="BO86" s="79">
        <v>185759</v>
      </c>
      <c r="BP86" s="81"/>
      <c r="BQ86" s="83"/>
      <c r="BR86" s="79">
        <v>-44912.800000000003</v>
      </c>
      <c r="BS86" s="83"/>
      <c r="BT86" s="83"/>
      <c r="BU86" s="83"/>
      <c r="BV86" s="83"/>
      <c r="BW86" s="83"/>
      <c r="BX86" s="82">
        <v>-27425.99</v>
      </c>
      <c r="BY86" s="83"/>
      <c r="BZ86" s="79">
        <v>-23457.99</v>
      </c>
      <c r="CA86" s="83"/>
      <c r="CB86" s="79">
        <v>-2185.9899999999998</v>
      </c>
      <c r="CC86" s="83"/>
      <c r="CD86" s="79">
        <v>-22585.23</v>
      </c>
      <c r="CE86" s="83"/>
      <c r="CF86" s="79">
        <v>-3690.38</v>
      </c>
      <c r="CG86" s="83"/>
      <c r="CH86" s="83"/>
      <c r="CI86" s="83"/>
      <c r="CJ86" s="83"/>
      <c r="CK86" s="83"/>
      <c r="CL86" s="83"/>
      <c r="CM86" s="83"/>
      <c r="CN86" s="83"/>
      <c r="CO86" s="83"/>
      <c r="CP86" s="79">
        <v>-44912.800000000003</v>
      </c>
      <c r="CQ86" s="79">
        <v>-79345.58</v>
      </c>
      <c r="CR86" s="79">
        <v>0</v>
      </c>
      <c r="CS86" s="82">
        <v>61500.619999999995</v>
      </c>
    </row>
    <row r="87" spans="1:97" x14ac:dyDescent="0.25">
      <c r="A87" s="76" t="s">
        <v>30</v>
      </c>
      <c r="B87" s="76" t="s">
        <v>84</v>
      </c>
      <c r="C87" s="76" t="s">
        <v>207</v>
      </c>
      <c r="D87" s="76" t="s">
        <v>156</v>
      </c>
      <c r="E87" s="77" t="s">
        <v>211</v>
      </c>
      <c r="F87" s="76" t="s">
        <v>161</v>
      </c>
      <c r="G87" s="76" t="s">
        <v>160</v>
      </c>
      <c r="H87" s="76" t="s">
        <v>168</v>
      </c>
      <c r="I87" s="78">
        <v>43173</v>
      </c>
      <c r="J87" s="78">
        <v>43173</v>
      </c>
      <c r="K87" s="79">
        <v>30000</v>
      </c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79">
        <v>0</v>
      </c>
      <c r="AK87" s="79">
        <v>0</v>
      </c>
      <c r="AL87" s="79">
        <v>30000</v>
      </c>
      <c r="AM87" s="81" t="s">
        <v>161</v>
      </c>
      <c r="AN87" s="79">
        <v>30000</v>
      </c>
      <c r="AO87" s="83"/>
      <c r="AP87" s="83"/>
      <c r="AQ87" s="83"/>
      <c r="AR87" s="83"/>
      <c r="AS87" s="83"/>
      <c r="AT87" s="83"/>
      <c r="AU87" s="83"/>
      <c r="AV87" s="83"/>
      <c r="AW87" s="79">
        <v>-2127</v>
      </c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79">
        <v>-5665</v>
      </c>
      <c r="BL87" s="83"/>
      <c r="BM87" s="79">
        <v>-7792</v>
      </c>
      <c r="BN87" s="79">
        <v>0</v>
      </c>
      <c r="BO87" s="79">
        <v>52208</v>
      </c>
      <c r="BP87" s="81" t="s">
        <v>341</v>
      </c>
      <c r="BQ87" s="79">
        <v>10000</v>
      </c>
      <c r="BR87" s="83"/>
      <c r="BS87" s="83"/>
      <c r="BT87" s="83"/>
      <c r="BU87" s="83"/>
      <c r="BV87" s="79">
        <v>-18114.240000000002</v>
      </c>
      <c r="BW87" s="83"/>
      <c r="BX87" s="82">
        <v>-125</v>
      </c>
      <c r="BY87" s="83"/>
      <c r="BZ87" s="79">
        <v>-795.49</v>
      </c>
      <c r="CA87" s="83"/>
      <c r="CB87" s="79">
        <v>-2002.23</v>
      </c>
      <c r="CC87" s="83"/>
      <c r="CD87" s="83"/>
      <c r="CE87" s="83"/>
      <c r="CF87" s="79">
        <v>-75</v>
      </c>
      <c r="CG87" s="83"/>
      <c r="CH87" s="83"/>
      <c r="CI87" s="83"/>
      <c r="CJ87" s="83"/>
      <c r="CK87" s="83"/>
      <c r="CL87" s="83"/>
      <c r="CM87" s="83"/>
      <c r="CN87" s="83"/>
      <c r="CO87" s="83"/>
      <c r="CP87" s="79">
        <v>0</v>
      </c>
      <c r="CQ87" s="79">
        <v>-21111.960000000003</v>
      </c>
      <c r="CR87" s="79">
        <v>0</v>
      </c>
      <c r="CS87" s="82">
        <v>41096.039999999994</v>
      </c>
    </row>
    <row r="88" spans="1:97" x14ac:dyDescent="0.25">
      <c r="A88" s="76" t="s">
        <v>30</v>
      </c>
      <c r="B88" s="76" t="s">
        <v>84</v>
      </c>
      <c r="C88" s="76" t="s">
        <v>404</v>
      </c>
      <c r="D88" s="76" t="s">
        <v>156</v>
      </c>
      <c r="E88" s="77" t="s">
        <v>213</v>
      </c>
      <c r="F88" s="83"/>
      <c r="G88" s="76" t="s">
        <v>160</v>
      </c>
      <c r="H88" s="76" t="s">
        <v>168</v>
      </c>
      <c r="I88" s="78"/>
      <c r="J88" s="78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0" t="s">
        <v>336</v>
      </c>
      <c r="AN88" s="79">
        <v>10597</v>
      </c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79">
        <v>-10068</v>
      </c>
      <c r="BL88" s="83"/>
      <c r="BM88" s="79">
        <v>-10068</v>
      </c>
      <c r="BN88" s="79">
        <v>0</v>
      </c>
      <c r="BO88" s="79">
        <v>529</v>
      </c>
      <c r="BP88" s="80" t="s">
        <v>341</v>
      </c>
      <c r="BQ88" s="79">
        <v>10761</v>
      </c>
      <c r="BR88" s="83"/>
      <c r="BS88" s="83"/>
      <c r="BT88" s="83"/>
      <c r="BU88" s="83"/>
      <c r="BV88" s="79">
        <v>-5245.71</v>
      </c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79">
        <v>0</v>
      </c>
      <c r="CQ88" s="79">
        <v>-5245.71</v>
      </c>
      <c r="CR88" s="79">
        <v>0</v>
      </c>
      <c r="CS88" s="82">
        <v>6044.29</v>
      </c>
    </row>
    <row r="89" spans="1:97" x14ac:dyDescent="0.25">
      <c r="A89" s="76" t="s">
        <v>30</v>
      </c>
      <c r="B89" s="76" t="s">
        <v>85</v>
      </c>
      <c r="C89" s="76" t="s">
        <v>207</v>
      </c>
      <c r="D89" s="76" t="s">
        <v>206</v>
      </c>
      <c r="E89" s="77" t="s">
        <v>211</v>
      </c>
      <c r="F89" s="76" t="s">
        <v>161</v>
      </c>
      <c r="G89" s="76" t="s">
        <v>160</v>
      </c>
      <c r="H89" s="76" t="s">
        <v>168</v>
      </c>
      <c r="I89" s="78">
        <v>43173</v>
      </c>
      <c r="J89" s="78">
        <v>43173</v>
      </c>
      <c r="K89" s="79">
        <v>18620</v>
      </c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79">
        <v>0</v>
      </c>
      <c r="AK89" s="79">
        <v>0</v>
      </c>
      <c r="AL89" s="79">
        <v>18620</v>
      </c>
      <c r="AM89" s="81" t="s">
        <v>161</v>
      </c>
      <c r="AN89" s="79">
        <v>19558</v>
      </c>
      <c r="AO89" s="83"/>
      <c r="AP89" s="83"/>
      <c r="AQ89" s="83"/>
      <c r="AR89" s="83"/>
      <c r="AS89" s="83"/>
      <c r="AT89" s="83"/>
      <c r="AU89" s="83"/>
      <c r="AV89" s="83"/>
      <c r="AW89" s="79">
        <v>-3644</v>
      </c>
      <c r="AX89" s="83"/>
      <c r="AY89" s="79">
        <v>-2397</v>
      </c>
      <c r="AZ89" s="83"/>
      <c r="BA89" s="79">
        <v>-1802</v>
      </c>
      <c r="BB89" s="83"/>
      <c r="BC89" s="79">
        <v>-2331</v>
      </c>
      <c r="BD89" s="83"/>
      <c r="BE89" s="79">
        <v>-2845</v>
      </c>
      <c r="BF89" s="83"/>
      <c r="BG89" s="79">
        <v>-3137</v>
      </c>
      <c r="BH89" s="83"/>
      <c r="BI89" s="79">
        <v>-744</v>
      </c>
      <c r="BJ89" s="83"/>
      <c r="BK89" s="83"/>
      <c r="BL89" s="83"/>
      <c r="BM89" s="79">
        <v>-16900</v>
      </c>
      <c r="BN89" s="79">
        <v>0</v>
      </c>
      <c r="BO89" s="79">
        <v>21278</v>
      </c>
      <c r="BP89" s="81"/>
      <c r="BQ89" s="83"/>
      <c r="BR89" s="79">
        <v>-8010</v>
      </c>
      <c r="BS89" s="83"/>
      <c r="BT89" s="83"/>
      <c r="BU89" s="83"/>
      <c r="BV89" s="79">
        <v>-976.02</v>
      </c>
      <c r="BW89" s="83"/>
      <c r="BX89" s="83"/>
      <c r="BY89" s="83"/>
      <c r="BZ89" s="79">
        <v>-10432.48</v>
      </c>
      <c r="CA89" s="83"/>
      <c r="CB89" s="83"/>
      <c r="CC89" s="83"/>
      <c r="CD89" s="79">
        <v>-1750.99</v>
      </c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79">
        <v>-8010</v>
      </c>
      <c r="CQ89" s="79">
        <v>-13159.49</v>
      </c>
      <c r="CR89" s="79">
        <v>0</v>
      </c>
      <c r="CS89" s="82">
        <v>108.51000000000204</v>
      </c>
    </row>
    <row r="90" spans="1:97" x14ac:dyDescent="0.25">
      <c r="A90" s="76" t="s">
        <v>30</v>
      </c>
      <c r="B90" s="76" t="s">
        <v>85</v>
      </c>
      <c r="C90" s="76" t="s">
        <v>404</v>
      </c>
      <c r="D90" s="76" t="s">
        <v>206</v>
      </c>
      <c r="E90" s="77" t="s">
        <v>213</v>
      </c>
      <c r="F90" s="83"/>
      <c r="G90" s="76" t="s">
        <v>160</v>
      </c>
      <c r="H90" s="76" t="s">
        <v>168</v>
      </c>
      <c r="I90" s="78"/>
      <c r="J90" s="78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0" t="s">
        <v>336</v>
      </c>
      <c r="AN90" s="79">
        <v>31791</v>
      </c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79">
        <v>-3315</v>
      </c>
      <c r="BJ90" s="83"/>
      <c r="BK90" s="83"/>
      <c r="BL90" s="83"/>
      <c r="BM90" s="79">
        <v>-3315</v>
      </c>
      <c r="BN90" s="79">
        <v>0</v>
      </c>
      <c r="BO90" s="79">
        <v>28476</v>
      </c>
      <c r="BP90" s="80" t="s">
        <v>341</v>
      </c>
      <c r="BQ90" s="79">
        <v>32283</v>
      </c>
      <c r="BR90" s="83"/>
      <c r="BS90" s="83"/>
      <c r="BT90" s="83"/>
      <c r="BU90" s="83"/>
      <c r="BV90" s="79">
        <v>-3372.06</v>
      </c>
      <c r="BW90" s="83"/>
      <c r="BX90" s="83"/>
      <c r="BY90" s="83"/>
      <c r="BZ90" s="83"/>
      <c r="CA90" s="83"/>
      <c r="CB90" s="79">
        <v>-5547.0499999999993</v>
      </c>
      <c r="CC90" s="83"/>
      <c r="CD90" s="79">
        <v>-525.55999999999995</v>
      </c>
      <c r="CE90" s="83"/>
      <c r="CF90" s="79">
        <v>-3841.9300000000003</v>
      </c>
      <c r="CG90" s="83"/>
      <c r="CH90" s="83"/>
      <c r="CI90" s="83"/>
      <c r="CJ90" s="83"/>
      <c r="CK90" s="83"/>
      <c r="CL90" s="83"/>
      <c r="CM90" s="83"/>
      <c r="CN90" s="83"/>
      <c r="CO90" s="83"/>
      <c r="CP90" s="79">
        <v>0</v>
      </c>
      <c r="CQ90" s="79">
        <v>-13286.599999999999</v>
      </c>
      <c r="CR90" s="79">
        <v>0</v>
      </c>
      <c r="CS90" s="82">
        <v>47472.4</v>
      </c>
    </row>
    <row r="91" spans="1:97" x14ac:dyDescent="0.25">
      <c r="A91" s="77" t="s">
        <v>224</v>
      </c>
      <c r="B91" s="76" t="s">
        <v>34</v>
      </c>
      <c r="C91" s="76" t="s">
        <v>225</v>
      </c>
      <c r="D91" s="76" t="s">
        <v>111</v>
      </c>
      <c r="E91" s="77" t="s">
        <v>211</v>
      </c>
      <c r="F91" s="76" t="s">
        <v>161</v>
      </c>
      <c r="G91" s="76" t="s">
        <v>160</v>
      </c>
      <c r="H91" s="76" t="s">
        <v>168</v>
      </c>
      <c r="I91" s="78">
        <v>43173</v>
      </c>
      <c r="J91" s="78">
        <v>43173</v>
      </c>
      <c r="K91" s="79">
        <v>60894</v>
      </c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79">
        <v>0</v>
      </c>
      <c r="AK91" s="79">
        <v>0</v>
      </c>
      <c r="AL91" s="79">
        <v>60894</v>
      </c>
      <c r="AM91" s="81" t="s">
        <v>161</v>
      </c>
      <c r="AN91" s="79">
        <v>75000</v>
      </c>
      <c r="AO91" s="83"/>
      <c r="AP91" s="83"/>
      <c r="AQ91" s="83"/>
      <c r="AR91" s="83"/>
      <c r="AS91" s="83"/>
      <c r="AT91" s="83"/>
      <c r="AU91" s="79">
        <v>-53675</v>
      </c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79">
        <v>-53675</v>
      </c>
      <c r="BN91" s="79">
        <v>0</v>
      </c>
      <c r="BO91" s="79">
        <v>82219</v>
      </c>
      <c r="BP91" s="81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79">
        <v>0</v>
      </c>
      <c r="CQ91" s="79">
        <v>0</v>
      </c>
      <c r="CR91" s="79">
        <v>0</v>
      </c>
      <c r="CS91" s="82">
        <v>82219</v>
      </c>
    </row>
    <row r="92" spans="1:97" x14ac:dyDescent="0.25">
      <c r="A92" s="76" t="s">
        <v>224</v>
      </c>
      <c r="B92" s="76" t="s">
        <v>34</v>
      </c>
      <c r="C92" s="76" t="s">
        <v>405</v>
      </c>
      <c r="D92" s="76" t="s">
        <v>111</v>
      </c>
      <c r="E92" s="77" t="s">
        <v>213</v>
      </c>
      <c r="F92" s="83"/>
      <c r="G92" s="76" t="s">
        <v>160</v>
      </c>
      <c r="H92" s="76" t="s">
        <v>168</v>
      </c>
      <c r="I92" s="78"/>
      <c r="J92" s="78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0" t="s">
        <v>336</v>
      </c>
      <c r="AN92" s="79">
        <v>369455</v>
      </c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79">
        <v>0</v>
      </c>
      <c r="BN92" s="79">
        <v>0</v>
      </c>
      <c r="BO92" s="79">
        <v>158910</v>
      </c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79">
        <v>-59151.519999999997</v>
      </c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79">
        <v>0</v>
      </c>
      <c r="CQ92" s="79">
        <v>-59151.519999999997</v>
      </c>
      <c r="CR92" s="79">
        <v>0</v>
      </c>
      <c r="CS92" s="82">
        <v>99758.48000000001</v>
      </c>
    </row>
    <row r="93" spans="1:97" x14ac:dyDescent="0.25">
      <c r="A93" s="76" t="s">
        <v>224</v>
      </c>
      <c r="B93" s="76" t="s">
        <v>318</v>
      </c>
      <c r="C93" s="76" t="s">
        <v>405</v>
      </c>
      <c r="D93" s="76" t="s">
        <v>288</v>
      </c>
      <c r="E93" s="77" t="s">
        <v>213</v>
      </c>
      <c r="F93" s="83"/>
      <c r="G93" s="76" t="s">
        <v>160</v>
      </c>
      <c r="H93" s="76" t="s">
        <v>168</v>
      </c>
      <c r="I93" s="78"/>
      <c r="J93" s="78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0" t="s">
        <v>336</v>
      </c>
      <c r="AN93" s="79">
        <v>50000</v>
      </c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79">
        <v>0</v>
      </c>
      <c r="BN93" s="79">
        <v>0</v>
      </c>
      <c r="BO93" s="79">
        <v>50000</v>
      </c>
      <c r="BP93" s="80" t="s">
        <v>341</v>
      </c>
      <c r="BQ93" s="79">
        <v>50000</v>
      </c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79">
        <v>0</v>
      </c>
      <c r="CQ93" s="79">
        <v>0</v>
      </c>
      <c r="CR93" s="79">
        <v>0</v>
      </c>
      <c r="CS93" s="82">
        <v>100000</v>
      </c>
    </row>
    <row r="94" spans="1:97" x14ac:dyDescent="0.25">
      <c r="A94" s="76" t="s">
        <v>224</v>
      </c>
      <c r="B94" s="76" t="s">
        <v>428</v>
      </c>
      <c r="C94" s="76" t="s">
        <v>405</v>
      </c>
      <c r="D94" s="76" t="s">
        <v>553</v>
      </c>
      <c r="E94" s="77" t="s">
        <v>213</v>
      </c>
      <c r="F94" s="83"/>
      <c r="G94" s="76" t="s">
        <v>160</v>
      </c>
      <c r="H94" s="76" t="s">
        <v>168</v>
      </c>
      <c r="I94" s="78"/>
      <c r="J94" s="78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0" t="s">
        <v>336</v>
      </c>
      <c r="AN94" s="79">
        <v>50000</v>
      </c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79">
        <v>0</v>
      </c>
      <c r="BN94" s="79">
        <v>0</v>
      </c>
      <c r="BO94" s="79">
        <v>50000</v>
      </c>
      <c r="BP94" s="80" t="s">
        <v>341</v>
      </c>
      <c r="BQ94" s="79">
        <v>50000</v>
      </c>
      <c r="BR94" s="83"/>
      <c r="BS94" s="83"/>
      <c r="BT94" s="83"/>
      <c r="BU94" s="83"/>
      <c r="BV94" s="83"/>
      <c r="BW94" s="83"/>
      <c r="BX94" s="83"/>
      <c r="BY94" s="83"/>
      <c r="BZ94" s="79">
        <v>-18443.88</v>
      </c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79">
        <v>0</v>
      </c>
      <c r="CQ94" s="79">
        <v>-18443.88</v>
      </c>
      <c r="CR94" s="79">
        <v>0</v>
      </c>
      <c r="CS94" s="82">
        <v>81556.12</v>
      </c>
    </row>
    <row r="95" spans="1:97" x14ac:dyDescent="0.25">
      <c r="A95" s="76" t="s">
        <v>224</v>
      </c>
      <c r="B95" s="76" t="s">
        <v>320</v>
      </c>
      <c r="C95" s="76" t="s">
        <v>405</v>
      </c>
      <c r="D95" s="76" t="s">
        <v>290</v>
      </c>
      <c r="E95" s="77" t="s">
        <v>213</v>
      </c>
      <c r="F95" s="83"/>
      <c r="G95" s="76" t="s">
        <v>160</v>
      </c>
      <c r="H95" s="76" t="s">
        <v>168</v>
      </c>
      <c r="I95" s="78"/>
      <c r="J95" s="78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0" t="s">
        <v>336</v>
      </c>
      <c r="AN95" s="79">
        <v>50000</v>
      </c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79">
        <v>0</v>
      </c>
      <c r="BN95" s="79">
        <v>0</v>
      </c>
      <c r="BO95" s="79">
        <v>50000</v>
      </c>
      <c r="BP95" s="80" t="s">
        <v>341</v>
      </c>
      <c r="BQ95" s="79">
        <v>50000</v>
      </c>
      <c r="BR95" s="83"/>
      <c r="BS95" s="83"/>
      <c r="BT95" s="83"/>
      <c r="BU95" s="83"/>
      <c r="BV95" s="83"/>
      <c r="BW95" s="83"/>
      <c r="BX95" s="83"/>
      <c r="BY95" s="83"/>
      <c r="BZ95" s="79">
        <v>-7765.29</v>
      </c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79">
        <v>0</v>
      </c>
      <c r="CQ95" s="79">
        <v>-7765.29</v>
      </c>
      <c r="CR95" s="79">
        <v>0</v>
      </c>
      <c r="CS95" s="82">
        <v>92234.71</v>
      </c>
    </row>
    <row r="96" spans="1:97" x14ac:dyDescent="0.25">
      <c r="A96" s="76" t="s">
        <v>400</v>
      </c>
      <c r="B96" s="76" t="s">
        <v>429</v>
      </c>
      <c r="C96" s="76" t="s">
        <v>406</v>
      </c>
      <c r="D96" s="76" t="s">
        <v>554</v>
      </c>
      <c r="E96" s="77" t="s">
        <v>213</v>
      </c>
      <c r="F96" s="83"/>
      <c r="G96" s="76" t="s">
        <v>160</v>
      </c>
      <c r="H96" s="76" t="s">
        <v>168</v>
      </c>
      <c r="I96" s="78"/>
      <c r="J96" s="78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0" t="s">
        <v>336</v>
      </c>
      <c r="AN96" s="79">
        <v>69390</v>
      </c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79">
        <v>-36000</v>
      </c>
      <c r="BH96" s="83"/>
      <c r="BI96" s="83"/>
      <c r="BJ96" s="83"/>
      <c r="BK96" s="79">
        <v>-32190</v>
      </c>
      <c r="BL96" s="83"/>
      <c r="BM96" s="79">
        <v>-68190</v>
      </c>
      <c r="BN96" s="79">
        <v>0</v>
      </c>
      <c r="BO96" s="79">
        <v>1200</v>
      </c>
      <c r="BP96" s="83"/>
      <c r="BQ96" s="83"/>
      <c r="BR96" s="79">
        <v>-1200</v>
      </c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79">
        <v>-1200</v>
      </c>
      <c r="CQ96" s="79">
        <v>0</v>
      </c>
      <c r="CR96" s="79">
        <v>0</v>
      </c>
      <c r="CS96" s="82">
        <v>0</v>
      </c>
    </row>
    <row r="97" spans="1:97" x14ac:dyDescent="0.25">
      <c r="A97" s="76" t="s">
        <v>18</v>
      </c>
      <c r="B97" s="77" t="s">
        <v>43</v>
      </c>
      <c r="C97" s="76" t="s">
        <v>407</v>
      </c>
      <c r="D97" s="76" t="s">
        <v>119</v>
      </c>
      <c r="E97" s="77" t="s">
        <v>213</v>
      </c>
      <c r="F97" s="83"/>
      <c r="G97" s="76" t="s">
        <v>160</v>
      </c>
      <c r="H97" s="76" t="s">
        <v>168</v>
      </c>
      <c r="I97" s="78"/>
      <c r="J97" s="78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0" t="s">
        <v>336</v>
      </c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79">
        <v>0</v>
      </c>
      <c r="BN97" s="79">
        <v>0</v>
      </c>
      <c r="BO97" s="79">
        <v>0</v>
      </c>
      <c r="BP97" s="80" t="s">
        <v>336</v>
      </c>
      <c r="BQ97" s="79">
        <v>22600</v>
      </c>
      <c r="BR97" s="83"/>
      <c r="BS97" s="83"/>
      <c r="BT97" s="83"/>
      <c r="BU97" s="83"/>
      <c r="BV97" s="83"/>
      <c r="BW97" s="83"/>
      <c r="BX97" s="82">
        <v>-8292.89</v>
      </c>
      <c r="BY97" s="83"/>
      <c r="BZ97" s="79">
        <v>-5550</v>
      </c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79">
        <v>0</v>
      </c>
      <c r="CQ97" s="79">
        <v>-13842.89</v>
      </c>
      <c r="CR97" s="79">
        <v>0</v>
      </c>
      <c r="CS97" s="82">
        <v>8757.11</v>
      </c>
    </row>
    <row r="98" spans="1:97" x14ac:dyDescent="0.25">
      <c r="A98" s="76" t="s">
        <v>18</v>
      </c>
      <c r="B98" s="76" t="s">
        <v>42</v>
      </c>
      <c r="C98" s="76" t="s">
        <v>407</v>
      </c>
      <c r="D98" s="76" t="s">
        <v>118</v>
      </c>
      <c r="E98" s="77" t="s">
        <v>213</v>
      </c>
      <c r="F98" s="83"/>
      <c r="G98" s="76" t="s">
        <v>160</v>
      </c>
      <c r="H98" s="76" t="s">
        <v>168</v>
      </c>
      <c r="I98" s="78"/>
      <c r="J98" s="78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0" t="s">
        <v>336</v>
      </c>
      <c r="AN98" s="79">
        <v>10235</v>
      </c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79">
        <v>-6240</v>
      </c>
      <c r="BH98" s="83"/>
      <c r="BI98" s="79">
        <v>-3995</v>
      </c>
      <c r="BJ98" s="83"/>
      <c r="BK98" s="83"/>
      <c r="BL98" s="83"/>
      <c r="BM98" s="79">
        <v>-10235</v>
      </c>
      <c r="BN98" s="79">
        <v>0</v>
      </c>
      <c r="BO98" s="79">
        <v>0</v>
      </c>
      <c r="BP98" s="80" t="s">
        <v>336</v>
      </c>
      <c r="BQ98" s="79">
        <v>15230</v>
      </c>
      <c r="BR98" s="83"/>
      <c r="BS98" s="83"/>
      <c r="BT98" s="83"/>
      <c r="BU98" s="83"/>
      <c r="BV98" s="83"/>
      <c r="BW98" s="83"/>
      <c r="BX98" s="82">
        <v>-500</v>
      </c>
      <c r="BY98" s="83"/>
      <c r="BZ98" s="83"/>
      <c r="CA98" s="83"/>
      <c r="CB98" s="83"/>
      <c r="CC98" s="83"/>
      <c r="CD98" s="83"/>
      <c r="CE98" s="83"/>
      <c r="CF98" s="79">
        <v>-8871.36</v>
      </c>
      <c r="CG98" s="83"/>
      <c r="CH98" s="83"/>
      <c r="CI98" s="83"/>
      <c r="CJ98" s="83"/>
      <c r="CK98" s="83"/>
      <c r="CL98" s="83"/>
      <c r="CM98" s="83"/>
      <c r="CN98" s="83"/>
      <c r="CO98" s="83"/>
      <c r="CP98" s="79">
        <v>0</v>
      </c>
      <c r="CQ98" s="79">
        <v>-9371.36</v>
      </c>
      <c r="CR98" s="79">
        <v>0</v>
      </c>
      <c r="CS98" s="82">
        <v>5858.6399999999994</v>
      </c>
    </row>
    <row r="99" spans="1:97" x14ac:dyDescent="0.25">
      <c r="A99" s="76" t="s">
        <v>18</v>
      </c>
      <c r="B99" s="76" t="s">
        <v>41</v>
      </c>
      <c r="C99" s="76" t="s">
        <v>407</v>
      </c>
      <c r="D99" s="76" t="s">
        <v>117</v>
      </c>
      <c r="E99" s="77" t="s">
        <v>213</v>
      </c>
      <c r="F99" s="83"/>
      <c r="G99" s="76" t="s">
        <v>160</v>
      </c>
      <c r="H99" s="76" t="s">
        <v>168</v>
      </c>
      <c r="I99" s="78"/>
      <c r="J99" s="78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0" t="s">
        <v>336</v>
      </c>
      <c r="AN99" s="79">
        <v>5000</v>
      </c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79">
        <v>-2700</v>
      </c>
      <c r="BH99" s="83"/>
      <c r="BI99" s="79">
        <v>-2300</v>
      </c>
      <c r="BJ99" s="83"/>
      <c r="BK99" s="83"/>
      <c r="BL99" s="83"/>
      <c r="BM99" s="79">
        <v>-5000</v>
      </c>
      <c r="BN99" s="79">
        <v>0</v>
      </c>
      <c r="BO99" s="79">
        <v>0</v>
      </c>
      <c r="BP99" s="80" t="s">
        <v>458</v>
      </c>
      <c r="BQ99" s="79">
        <v>6195</v>
      </c>
      <c r="BR99" s="83"/>
      <c r="BS99" s="83"/>
      <c r="BT99" s="83"/>
      <c r="BU99" s="83"/>
      <c r="BV99" s="83"/>
      <c r="BW99" s="83"/>
      <c r="BX99" s="83"/>
      <c r="BY99" s="83"/>
      <c r="BZ99" s="79">
        <v>-1200</v>
      </c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79">
        <v>0</v>
      </c>
      <c r="CQ99" s="79">
        <v>-1200</v>
      </c>
      <c r="CR99" s="79">
        <v>0</v>
      </c>
      <c r="CS99" s="82">
        <v>4995</v>
      </c>
    </row>
    <row r="100" spans="1:97" x14ac:dyDescent="0.25">
      <c r="A100" s="76" t="s">
        <v>18</v>
      </c>
      <c r="B100" s="76" t="s">
        <v>34</v>
      </c>
      <c r="C100" s="76" t="s">
        <v>407</v>
      </c>
      <c r="D100" s="76" t="s">
        <v>111</v>
      </c>
      <c r="E100" s="77" t="s">
        <v>213</v>
      </c>
      <c r="F100" s="83"/>
      <c r="G100" s="76" t="s">
        <v>160</v>
      </c>
      <c r="H100" s="76" t="s">
        <v>168</v>
      </c>
      <c r="I100" s="78"/>
      <c r="J100" s="78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0" t="s">
        <v>336</v>
      </c>
      <c r="AN100" s="79">
        <v>24200</v>
      </c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79">
        <v>-14000</v>
      </c>
      <c r="BH100" s="83"/>
      <c r="BI100" s="83"/>
      <c r="BJ100" s="83"/>
      <c r="BK100" s="79">
        <v>-10000</v>
      </c>
      <c r="BL100" s="83"/>
      <c r="BM100" s="79">
        <v>-24000</v>
      </c>
      <c r="BN100" s="79">
        <v>0</v>
      </c>
      <c r="BO100" s="79">
        <v>200</v>
      </c>
      <c r="BP100" s="80" t="s">
        <v>336</v>
      </c>
      <c r="BQ100" s="79">
        <v>79800</v>
      </c>
      <c r="BR100" s="83"/>
      <c r="BS100" s="83"/>
      <c r="BT100" s="83"/>
      <c r="BU100" s="83"/>
      <c r="BV100" s="83"/>
      <c r="BW100" s="83"/>
      <c r="BX100" s="82">
        <v>-48350</v>
      </c>
      <c r="BY100" s="83"/>
      <c r="BZ100" s="79">
        <v>-175</v>
      </c>
      <c r="CA100" s="83"/>
      <c r="CB100" s="83"/>
      <c r="CC100" s="83"/>
      <c r="CD100" s="83"/>
      <c r="CE100" s="83"/>
      <c r="CF100" s="79">
        <v>-28175</v>
      </c>
      <c r="CG100" s="83"/>
      <c r="CH100" s="83"/>
      <c r="CI100" s="83"/>
      <c r="CJ100" s="83"/>
      <c r="CK100" s="83"/>
      <c r="CL100" s="83"/>
      <c r="CM100" s="83"/>
      <c r="CN100" s="83"/>
      <c r="CO100" s="83"/>
      <c r="CP100" s="79">
        <v>0</v>
      </c>
      <c r="CQ100" s="79">
        <v>-76700</v>
      </c>
      <c r="CR100" s="79">
        <v>0</v>
      </c>
      <c r="CS100" s="82">
        <v>3300</v>
      </c>
    </row>
    <row r="101" spans="1:97" x14ac:dyDescent="0.25">
      <c r="A101" s="76" t="s">
        <v>18</v>
      </c>
      <c r="B101" s="76" t="s">
        <v>430</v>
      </c>
      <c r="C101" s="76" t="s">
        <v>407</v>
      </c>
      <c r="D101" s="76" t="s">
        <v>555</v>
      </c>
      <c r="E101" s="77" t="s">
        <v>213</v>
      </c>
      <c r="F101" s="83"/>
      <c r="G101" s="76" t="s">
        <v>160</v>
      </c>
      <c r="H101" s="76" t="s">
        <v>168</v>
      </c>
      <c r="I101" s="78"/>
      <c r="J101" s="78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0" t="s">
        <v>336</v>
      </c>
      <c r="AN101" s="79">
        <v>10000</v>
      </c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79">
        <v>-8445</v>
      </c>
      <c r="BJ101" s="83"/>
      <c r="BK101" s="83"/>
      <c r="BL101" s="83"/>
      <c r="BM101" s="79">
        <v>-8445</v>
      </c>
      <c r="BN101" s="79">
        <v>0</v>
      </c>
      <c r="BO101" s="79">
        <v>1555</v>
      </c>
      <c r="BP101" s="80" t="s">
        <v>336</v>
      </c>
      <c r="BQ101" s="79">
        <v>26600</v>
      </c>
      <c r="BR101" s="83"/>
      <c r="BS101" s="83"/>
      <c r="BT101" s="83"/>
      <c r="BU101" s="83"/>
      <c r="BV101" s="83"/>
      <c r="BW101" s="83"/>
      <c r="BX101" s="82">
        <v>-17301.54</v>
      </c>
      <c r="BY101" s="83"/>
      <c r="BZ101" s="79">
        <v>-2975</v>
      </c>
      <c r="CA101" s="83"/>
      <c r="CB101" s="83"/>
      <c r="CC101" s="83"/>
      <c r="CD101" s="83"/>
      <c r="CE101" s="83"/>
      <c r="CF101" s="79">
        <v>-2975</v>
      </c>
      <c r="CG101" s="83"/>
      <c r="CH101" s="83"/>
      <c r="CI101" s="83"/>
      <c r="CJ101" s="83"/>
      <c r="CK101" s="83"/>
      <c r="CL101" s="83"/>
      <c r="CM101" s="83"/>
      <c r="CN101" s="83"/>
      <c r="CO101" s="83"/>
      <c r="CP101" s="79">
        <v>0</v>
      </c>
      <c r="CQ101" s="79">
        <v>-23251.54</v>
      </c>
      <c r="CR101" s="79">
        <v>0</v>
      </c>
      <c r="CS101" s="82">
        <v>4903.4599999999991</v>
      </c>
    </row>
    <row r="102" spans="1:97" x14ac:dyDescent="0.25">
      <c r="A102" s="76" t="s">
        <v>19</v>
      </c>
      <c r="B102" s="76" t="s">
        <v>34</v>
      </c>
      <c r="C102" s="76" t="s">
        <v>98</v>
      </c>
      <c r="D102" s="76" t="s">
        <v>111</v>
      </c>
      <c r="E102" s="77" t="s">
        <v>211</v>
      </c>
      <c r="F102" s="76" t="s">
        <v>161</v>
      </c>
      <c r="G102" s="76" t="s">
        <v>160</v>
      </c>
      <c r="H102" s="76" t="s">
        <v>168</v>
      </c>
      <c r="I102" s="78">
        <v>43168</v>
      </c>
      <c r="J102" s="78">
        <v>43168</v>
      </c>
      <c r="K102" s="79">
        <v>281696</v>
      </c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79">
        <v>0</v>
      </c>
      <c r="AK102" s="79">
        <v>0</v>
      </c>
      <c r="AL102" s="79">
        <v>281696</v>
      </c>
      <c r="AM102" s="83"/>
      <c r="AN102" s="83"/>
      <c r="AO102" s="83"/>
      <c r="AP102" s="83"/>
      <c r="AQ102" s="83"/>
      <c r="AR102" s="83"/>
      <c r="AS102" s="83"/>
      <c r="AT102" s="83"/>
      <c r="AU102" s="79">
        <v>-114000</v>
      </c>
      <c r="AV102" s="83"/>
      <c r="AW102" s="83"/>
      <c r="AX102" s="83"/>
      <c r="AY102" s="83"/>
      <c r="AZ102" s="83"/>
      <c r="BA102" s="79">
        <v>-1088</v>
      </c>
      <c r="BB102" s="83"/>
      <c r="BC102" s="83"/>
      <c r="BD102" s="83"/>
      <c r="BE102" s="83"/>
      <c r="BF102" s="83"/>
      <c r="BG102" s="83"/>
      <c r="BH102" s="83"/>
      <c r="BI102" s="83"/>
      <c r="BJ102" s="83"/>
      <c r="BK102" s="79">
        <v>-40800</v>
      </c>
      <c r="BL102" s="83"/>
      <c r="BM102" s="79">
        <v>-155888</v>
      </c>
      <c r="BN102" s="79">
        <v>0</v>
      </c>
      <c r="BO102" s="79">
        <v>125808</v>
      </c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79">
        <v>0</v>
      </c>
      <c r="CQ102" s="79">
        <v>0</v>
      </c>
      <c r="CR102" s="79">
        <v>0</v>
      </c>
      <c r="CS102" s="82">
        <v>125808</v>
      </c>
    </row>
    <row r="103" spans="1:97" x14ac:dyDescent="0.25">
      <c r="A103" s="76" t="s">
        <v>19</v>
      </c>
      <c r="B103" s="76" t="s">
        <v>34</v>
      </c>
      <c r="C103" s="76" t="s">
        <v>388</v>
      </c>
      <c r="D103" s="76" t="s">
        <v>111</v>
      </c>
      <c r="E103" s="77" t="s">
        <v>213</v>
      </c>
      <c r="F103" s="83"/>
      <c r="G103" s="76" t="s">
        <v>160</v>
      </c>
      <c r="H103" s="76" t="s">
        <v>168</v>
      </c>
      <c r="I103" s="78"/>
      <c r="J103" s="78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0" t="s">
        <v>336</v>
      </c>
      <c r="AN103" s="79">
        <v>12846</v>
      </c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79">
        <v>0</v>
      </c>
      <c r="BN103" s="79">
        <v>0</v>
      </c>
      <c r="BO103" s="79">
        <v>12846</v>
      </c>
      <c r="BP103" s="80" t="s">
        <v>341</v>
      </c>
      <c r="BQ103" s="79">
        <v>328200</v>
      </c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79">
        <v>-51339.61</v>
      </c>
      <c r="CG103" s="83"/>
      <c r="CH103" s="83"/>
      <c r="CI103" s="83"/>
      <c r="CJ103" s="83"/>
      <c r="CK103" s="83"/>
      <c r="CL103" s="83"/>
      <c r="CM103" s="83"/>
      <c r="CN103" s="83"/>
      <c r="CO103" s="83"/>
      <c r="CP103" s="79">
        <v>0</v>
      </c>
      <c r="CQ103" s="79">
        <v>-51339.61</v>
      </c>
      <c r="CR103" s="79">
        <v>0</v>
      </c>
      <c r="CS103" s="82">
        <v>289706.39</v>
      </c>
    </row>
    <row r="104" spans="1:97" x14ac:dyDescent="0.25">
      <c r="A104" s="76" t="s">
        <v>32</v>
      </c>
      <c r="B104" s="76" t="s">
        <v>34</v>
      </c>
      <c r="C104" s="76" t="s">
        <v>408</v>
      </c>
      <c r="D104" s="76" t="s">
        <v>111</v>
      </c>
      <c r="E104" s="77" t="s">
        <v>213</v>
      </c>
      <c r="F104" s="83"/>
      <c r="G104" s="76" t="s">
        <v>160</v>
      </c>
      <c r="H104" s="76" t="s">
        <v>168</v>
      </c>
      <c r="I104" s="78"/>
      <c r="J104" s="78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0" t="s">
        <v>336</v>
      </c>
      <c r="AN104" s="79">
        <v>52626</v>
      </c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79">
        <v>0</v>
      </c>
      <c r="BN104" s="79">
        <v>0</v>
      </c>
      <c r="BO104" s="79">
        <v>52626</v>
      </c>
      <c r="BP104" s="80" t="s">
        <v>341</v>
      </c>
      <c r="BQ104" s="79">
        <v>57750</v>
      </c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79">
        <v>0</v>
      </c>
      <c r="CQ104" s="79">
        <v>0</v>
      </c>
      <c r="CR104" s="79">
        <v>0</v>
      </c>
      <c r="CS104" s="82">
        <v>110376</v>
      </c>
    </row>
    <row r="105" spans="1:97" x14ac:dyDescent="0.25">
      <c r="A105" s="76" t="s">
        <v>32</v>
      </c>
      <c r="B105" s="76" t="s">
        <v>88</v>
      </c>
      <c r="C105" s="76" t="s">
        <v>109</v>
      </c>
      <c r="D105" s="76" t="s">
        <v>159</v>
      </c>
      <c r="E105" s="77" t="s">
        <v>211</v>
      </c>
      <c r="F105" s="76" t="s">
        <v>161</v>
      </c>
      <c r="G105" s="76" t="s">
        <v>160</v>
      </c>
      <c r="H105" s="76" t="s">
        <v>168</v>
      </c>
      <c r="I105" s="78">
        <v>43173</v>
      </c>
      <c r="J105" s="78">
        <v>43173</v>
      </c>
      <c r="K105" s="79">
        <v>50000</v>
      </c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>
        <v>-15210</v>
      </c>
      <c r="AE105" s="79"/>
      <c r="AF105" s="79">
        <v>-6376</v>
      </c>
      <c r="AG105" s="79"/>
      <c r="AH105" s="79">
        <v>-2700</v>
      </c>
      <c r="AI105" s="79"/>
      <c r="AJ105" s="79">
        <v>-24286</v>
      </c>
      <c r="AK105" s="79">
        <v>0</v>
      </c>
      <c r="AL105" s="79">
        <v>25714</v>
      </c>
      <c r="AM105" s="80" t="s">
        <v>161</v>
      </c>
      <c r="AN105" s="79">
        <v>52626</v>
      </c>
      <c r="AO105" s="79"/>
      <c r="AP105" s="79"/>
      <c r="AQ105" s="79"/>
      <c r="AR105" s="79"/>
      <c r="AS105" s="79">
        <v>-25714</v>
      </c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>
        <v>-35822</v>
      </c>
      <c r="BF105" s="79"/>
      <c r="BG105" s="79"/>
      <c r="BH105" s="79"/>
      <c r="BI105" s="79"/>
      <c r="BJ105" s="79"/>
      <c r="BK105" s="79"/>
      <c r="BL105" s="79"/>
      <c r="BM105" s="79">
        <v>-25714</v>
      </c>
      <c r="BN105" s="79">
        <v>0</v>
      </c>
      <c r="BO105" s="79">
        <v>0</v>
      </c>
      <c r="BP105" s="80"/>
      <c r="BQ105" s="79"/>
      <c r="BR105" s="79"/>
      <c r="BS105" s="79"/>
      <c r="BT105" s="79"/>
      <c r="BU105" s="79"/>
      <c r="BV105" s="79"/>
      <c r="BW105" s="79"/>
      <c r="BX105" s="82">
        <v>-2310.13</v>
      </c>
      <c r="BY105" s="83"/>
      <c r="BZ105" s="79">
        <v>-8626.18</v>
      </c>
      <c r="CA105" s="83"/>
      <c r="CB105" s="79">
        <v>-5867.69</v>
      </c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>
        <v>0</v>
      </c>
      <c r="CQ105" s="79">
        <v>0</v>
      </c>
      <c r="CR105" s="79">
        <v>0</v>
      </c>
      <c r="CS105" s="82">
        <v>0</v>
      </c>
    </row>
    <row r="106" spans="1:97" x14ac:dyDescent="0.25">
      <c r="A106" s="76" t="s">
        <v>21</v>
      </c>
      <c r="B106" s="76" t="s">
        <v>48</v>
      </c>
      <c r="C106" s="76" t="s">
        <v>389</v>
      </c>
      <c r="D106" s="76" t="s">
        <v>124</v>
      </c>
      <c r="E106" s="77" t="s">
        <v>213</v>
      </c>
      <c r="F106" s="83"/>
      <c r="G106" s="76" t="s">
        <v>160</v>
      </c>
      <c r="H106" s="76" t="s">
        <v>168</v>
      </c>
      <c r="I106" s="78"/>
      <c r="J106" s="78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0" t="s">
        <v>336</v>
      </c>
      <c r="AN106" s="79">
        <v>25000</v>
      </c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79">
        <v>-5005</v>
      </c>
      <c r="BH106" s="83"/>
      <c r="BI106" s="82">
        <v>-5416.12</v>
      </c>
      <c r="BJ106" s="83"/>
      <c r="BK106" s="79">
        <v>-3637.09</v>
      </c>
      <c r="BL106" s="83"/>
      <c r="BM106" s="79">
        <v>-14058.21</v>
      </c>
      <c r="BN106" s="79">
        <v>0</v>
      </c>
      <c r="BO106" s="79">
        <v>10941.79</v>
      </c>
      <c r="BP106" s="80" t="s">
        <v>341</v>
      </c>
      <c r="BQ106" s="79">
        <v>50000</v>
      </c>
      <c r="BR106" s="83"/>
      <c r="BS106" s="83"/>
      <c r="BT106" s="83"/>
      <c r="BU106" s="83"/>
      <c r="BV106" s="79">
        <v>-10941.79</v>
      </c>
      <c r="BW106" s="83"/>
      <c r="BX106" s="82">
        <v>-28355.64</v>
      </c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2"/>
      <c r="CM106" s="83"/>
      <c r="CN106" s="83"/>
      <c r="CO106" s="83"/>
      <c r="CP106" s="79">
        <v>0</v>
      </c>
      <c r="CQ106" s="79">
        <v>-39297.43</v>
      </c>
      <c r="CR106" s="79">
        <v>0</v>
      </c>
      <c r="CS106" s="82">
        <v>21644.36</v>
      </c>
    </row>
    <row r="107" spans="1:97" x14ac:dyDescent="0.25">
      <c r="A107" s="76" t="s">
        <v>21</v>
      </c>
      <c r="B107" s="76" t="s">
        <v>34</v>
      </c>
      <c r="C107" s="76" t="s">
        <v>389</v>
      </c>
      <c r="D107" s="76" t="s">
        <v>111</v>
      </c>
      <c r="E107" s="77" t="s">
        <v>213</v>
      </c>
      <c r="F107" s="83"/>
      <c r="G107" s="76" t="s">
        <v>160</v>
      </c>
      <c r="H107" s="76" t="s">
        <v>168</v>
      </c>
      <c r="I107" s="78"/>
      <c r="J107" s="78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0" t="s">
        <v>336</v>
      </c>
      <c r="AN107" s="79">
        <v>184749</v>
      </c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2">
        <v>-485.42</v>
      </c>
      <c r="BJ107" s="83"/>
      <c r="BK107" s="79">
        <v>-77000</v>
      </c>
      <c r="BL107" s="83"/>
      <c r="BM107" s="79">
        <v>-77485.42</v>
      </c>
      <c r="BN107" s="79">
        <v>0</v>
      </c>
      <c r="BO107" s="79">
        <v>107263.58</v>
      </c>
      <c r="BP107" s="80" t="s">
        <v>341</v>
      </c>
      <c r="BQ107" s="79">
        <v>1285203</v>
      </c>
      <c r="BR107" s="83"/>
      <c r="BS107" s="83"/>
      <c r="BT107" s="83"/>
      <c r="BU107" s="83"/>
      <c r="BV107" s="79">
        <v>-21293.39</v>
      </c>
      <c r="BW107" s="83"/>
      <c r="BX107" s="82">
        <v>-140338.26</v>
      </c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2"/>
      <c r="CM107" s="83"/>
      <c r="CN107" s="83"/>
      <c r="CO107" s="83"/>
      <c r="CP107" s="79">
        <v>0</v>
      </c>
      <c r="CQ107" s="79">
        <v>-161631.65000000002</v>
      </c>
      <c r="CR107" s="79">
        <v>0</v>
      </c>
      <c r="CS107" s="82">
        <v>1230834.9300000002</v>
      </c>
    </row>
    <row r="108" spans="1:97" x14ac:dyDescent="0.25">
      <c r="A108" s="76" t="s">
        <v>21</v>
      </c>
      <c r="B108" s="76" t="s">
        <v>46</v>
      </c>
      <c r="C108" s="76" t="s">
        <v>389</v>
      </c>
      <c r="D108" s="76" t="s">
        <v>122</v>
      </c>
      <c r="E108" s="77" t="s">
        <v>213</v>
      </c>
      <c r="F108" s="83"/>
      <c r="G108" s="76" t="s">
        <v>160</v>
      </c>
      <c r="H108" s="76" t="s">
        <v>168</v>
      </c>
      <c r="I108" s="78"/>
      <c r="J108" s="78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0" t="s">
        <v>336</v>
      </c>
      <c r="AN108" s="79">
        <v>25000</v>
      </c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79">
        <v>-13115</v>
      </c>
      <c r="BH108" s="83"/>
      <c r="BI108" s="82">
        <v>-6815.53</v>
      </c>
      <c r="BJ108" s="83"/>
      <c r="BK108" s="79">
        <v>-441.86</v>
      </c>
      <c r="BL108" s="83"/>
      <c r="BM108" s="79">
        <v>-20372.39</v>
      </c>
      <c r="BN108" s="79">
        <v>0</v>
      </c>
      <c r="BO108" s="79">
        <v>4627.6100000000006</v>
      </c>
      <c r="BP108" s="80" t="s">
        <v>341</v>
      </c>
      <c r="BQ108" s="79">
        <v>50000</v>
      </c>
      <c r="BR108" s="83"/>
      <c r="BS108" s="83"/>
      <c r="BT108" s="83"/>
      <c r="BU108" s="83"/>
      <c r="BV108" s="79">
        <v>-4627.6099999999997</v>
      </c>
      <c r="BW108" s="83"/>
      <c r="BX108" s="82">
        <v>-7954.63</v>
      </c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2"/>
      <c r="CM108" s="83"/>
      <c r="CN108" s="83"/>
      <c r="CO108" s="83"/>
      <c r="CP108" s="79">
        <v>0</v>
      </c>
      <c r="CQ108" s="79">
        <v>-12582.24</v>
      </c>
      <c r="CR108" s="79">
        <v>0</v>
      </c>
      <c r="CS108" s="82">
        <v>42045.37</v>
      </c>
    </row>
    <row r="109" spans="1:97" x14ac:dyDescent="0.25">
      <c r="A109" s="76" t="s">
        <v>33</v>
      </c>
      <c r="B109" s="76" t="s">
        <v>34</v>
      </c>
      <c r="C109" s="76" t="s">
        <v>204</v>
      </c>
      <c r="D109" s="76" t="s">
        <v>111</v>
      </c>
      <c r="E109" s="77" t="s">
        <v>211</v>
      </c>
      <c r="F109" s="76" t="s">
        <v>161</v>
      </c>
      <c r="G109" s="76" t="s">
        <v>160</v>
      </c>
      <c r="H109" s="76" t="s">
        <v>168</v>
      </c>
      <c r="I109" s="78">
        <v>43173</v>
      </c>
      <c r="J109" s="78">
        <v>43173</v>
      </c>
      <c r="K109" s="79">
        <v>41517</v>
      </c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79">
        <v>-25686</v>
      </c>
      <c r="AI109" s="83"/>
      <c r="AJ109" s="79">
        <v>-25686</v>
      </c>
      <c r="AK109" s="79">
        <v>0</v>
      </c>
      <c r="AL109" s="79">
        <v>15831</v>
      </c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79">
        <v>0</v>
      </c>
      <c r="BN109" s="79">
        <v>0</v>
      </c>
      <c r="BO109" s="79">
        <v>15831</v>
      </c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79">
        <v>0</v>
      </c>
      <c r="CQ109" s="79">
        <v>0</v>
      </c>
      <c r="CR109" s="79">
        <v>0</v>
      </c>
      <c r="CS109" s="82">
        <v>15831</v>
      </c>
    </row>
  </sheetData>
  <mergeCells count="39">
    <mergeCell ref="CP1:CR1"/>
    <mergeCell ref="CB1:CC1"/>
    <mergeCell ref="CD1:CE1"/>
    <mergeCell ref="CF1:CG1"/>
    <mergeCell ref="CH1:CI1"/>
    <mergeCell ref="CJ1:CK1"/>
    <mergeCell ref="BV1:BW1"/>
    <mergeCell ref="BX1:BY1"/>
    <mergeCell ref="BZ1:CA1"/>
    <mergeCell ref="CL1:CM1"/>
    <mergeCell ref="CN1:CO1"/>
    <mergeCell ref="AU1:AV1"/>
    <mergeCell ref="AW1:AX1"/>
    <mergeCell ref="BI1:BJ1"/>
    <mergeCell ref="BK1:BL1"/>
    <mergeCell ref="BT1:BU1"/>
    <mergeCell ref="BR1:BS1"/>
    <mergeCell ref="BM1:BN1"/>
    <mergeCell ref="AY1:AZ1"/>
    <mergeCell ref="BA1:BB1"/>
    <mergeCell ref="BC1:BD1"/>
    <mergeCell ref="BE1:BF1"/>
    <mergeCell ref="BG1:BH1"/>
    <mergeCell ref="L1:M1"/>
    <mergeCell ref="N1:O1"/>
    <mergeCell ref="AO1:AP1"/>
    <mergeCell ref="AQ1:AR1"/>
    <mergeCell ref="AS1:AT1"/>
    <mergeCell ref="P1:Q1"/>
    <mergeCell ref="R1:S1"/>
    <mergeCell ref="T1:U1"/>
    <mergeCell ref="V1:W1"/>
    <mergeCell ref="AJ1:AK1"/>
    <mergeCell ref="X1:Y1"/>
    <mergeCell ref="Z1:AA1"/>
    <mergeCell ref="AB1:AC1"/>
    <mergeCell ref="AD1:AE1"/>
    <mergeCell ref="AF1:AG1"/>
    <mergeCell ref="AH1:A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AQ440"/>
  <sheetViews>
    <sheetView tabSelected="1" zoomScale="85" zoomScaleNormal="85" workbookViewId="0">
      <pane xSplit="5" ySplit="1" topLeftCell="BP128" activePane="bottomRight" state="frozen"/>
      <selection pane="topRight" activeCell="F1" sqref="F1"/>
      <selection pane="bottomLeft" activeCell="A2" sqref="A2"/>
      <selection pane="bottomRight" activeCell="D152" sqref="D152"/>
    </sheetView>
  </sheetViews>
  <sheetFormatPr defaultColWidth="0" defaultRowHeight="12.75" outlineLevelCol="1" x14ac:dyDescent="0.2"/>
  <cols>
    <col min="1" max="1" width="17.5703125" style="228" bestFit="1" customWidth="1"/>
    <col min="2" max="2" width="17.28515625" style="228" bestFit="1" customWidth="1"/>
    <col min="3" max="3" width="31.7109375" style="228" bestFit="1" customWidth="1"/>
    <col min="4" max="4" width="39.42578125" style="228" bestFit="1" customWidth="1"/>
    <col min="5" max="5" width="30.5703125" style="228" bestFit="1" customWidth="1"/>
    <col min="6" max="11" width="10" style="228" customWidth="1"/>
    <col min="12" max="12" width="39" style="228" customWidth="1"/>
    <col min="13" max="13" width="23.7109375" style="292" customWidth="1"/>
    <col min="14" max="14" width="11.5703125" style="292" customWidth="1"/>
    <col min="15" max="15" width="10.5703125" style="292" customWidth="1"/>
    <col min="16" max="16" width="11.5703125" style="292" customWidth="1"/>
    <col min="17" max="17" width="20.7109375" style="292" customWidth="1"/>
    <col min="18" max="18" width="31.28515625" style="293" customWidth="1"/>
    <col min="19" max="19" width="39.28515625" style="292" customWidth="1" collapsed="1"/>
    <col min="20" max="21" width="11.5703125" style="292" customWidth="1"/>
    <col min="22" max="22" width="14.85546875" style="292" customWidth="1"/>
    <col min="23" max="23" width="12.42578125" style="292" customWidth="1"/>
    <col min="24" max="24" width="14.42578125" style="292" customWidth="1"/>
    <col min="25" max="25" width="14.140625" style="292" customWidth="1"/>
    <col min="26" max="26" width="11.85546875" style="292" customWidth="1"/>
    <col min="27" max="27" width="13" style="292" customWidth="1"/>
    <col min="28" max="28" width="11.5703125" style="292" customWidth="1"/>
    <col min="29" max="29" width="13.140625" style="292" customWidth="1"/>
    <col min="30" max="31" width="11.5703125" style="292" customWidth="1"/>
    <col min="32" max="32" width="20.7109375" style="292" customWidth="1"/>
    <col min="33" max="35" width="23.7109375" style="292" customWidth="1" collapsed="1"/>
    <col min="36" max="38" width="11.5703125" style="292" customWidth="1"/>
    <col min="39" max="39" width="14.85546875" style="292" customWidth="1"/>
    <col min="40" max="40" width="13.42578125" style="292" customWidth="1"/>
    <col min="41" max="41" width="14.42578125" style="292" customWidth="1"/>
    <col min="42" max="42" width="14.140625" style="292" customWidth="1"/>
    <col min="43" max="43" width="11.85546875" style="292" customWidth="1"/>
    <col min="44" max="44" width="13" style="292" customWidth="1"/>
    <col min="45" max="45" width="11.5703125" style="292" customWidth="1"/>
    <col min="46" max="48" width="13.140625" style="292" customWidth="1"/>
    <col min="49" max="49" width="20.7109375" style="292" customWidth="1"/>
    <col min="50" max="52" width="23.7109375" style="292" customWidth="1" collapsed="1"/>
    <col min="53" max="53" width="13.140625" style="292" customWidth="1"/>
    <col min="54" max="54" width="11.5703125" style="292" customWidth="1"/>
    <col min="55" max="55" width="15.5703125" style="292" customWidth="1"/>
    <col min="56" max="56" width="14.85546875" style="292" customWidth="1"/>
    <col min="57" max="57" width="15.140625" style="292" customWidth="1"/>
    <col min="58" max="58" width="14.42578125" style="292" customWidth="1" outlineLevel="1"/>
    <col min="59" max="59" width="14.140625" style="292" customWidth="1" outlineLevel="1"/>
    <col min="60" max="60" width="13.28515625" style="292" customWidth="1" outlineLevel="1"/>
    <col min="61" max="61" width="13" style="292" customWidth="1" outlineLevel="1"/>
    <col min="62" max="62" width="11.5703125" style="292" customWidth="1" outlineLevel="1"/>
    <col min="63" max="64" width="13.140625" style="292" customWidth="1" outlineLevel="1"/>
    <col min="65" max="65" width="13.85546875" style="292" customWidth="1"/>
    <col min="66" max="68" width="23.7109375" style="292" customWidth="1" collapsed="1"/>
    <col min="69" max="77" width="13.85546875" style="292" customWidth="1"/>
    <col min="78" max="79" width="13.85546875" style="292" hidden="1" customWidth="1"/>
    <col min="80" max="80" width="12" style="292" hidden="1" customWidth="1"/>
    <col min="81" max="81" width="13.85546875" style="292" customWidth="1"/>
    <col min="82" max="84" width="13.85546875" style="292" hidden="1" customWidth="1"/>
    <col min="85" max="85" width="16.140625" style="228" hidden="1" customWidth="1"/>
    <col min="86" max="91" width="0" style="228" hidden="1" customWidth="1"/>
    <col min="92" max="16267" width="10" style="228" hidden="1"/>
    <col min="16268" max="16384" width="0" style="228" hidden="1"/>
  </cols>
  <sheetData>
    <row r="1" spans="1:84" ht="26.25" thickBot="1" x14ac:dyDescent="0.25">
      <c r="A1" s="62" t="s">
        <v>0</v>
      </c>
      <c r="B1" s="62" t="s">
        <v>110</v>
      </c>
      <c r="C1" s="63" t="s">
        <v>1</v>
      </c>
      <c r="D1" s="63" t="s">
        <v>2</v>
      </c>
      <c r="E1" s="63" t="s">
        <v>3</v>
      </c>
      <c r="F1" s="62" t="s">
        <v>727</v>
      </c>
      <c r="G1" s="1" t="s">
        <v>733</v>
      </c>
      <c r="H1" s="1" t="s">
        <v>730</v>
      </c>
      <c r="I1" s="1" t="s">
        <v>731</v>
      </c>
      <c r="J1" s="1" t="s">
        <v>732</v>
      </c>
      <c r="K1" s="1" t="s">
        <v>734</v>
      </c>
      <c r="L1" s="63" t="s">
        <v>685</v>
      </c>
      <c r="M1" s="64" t="s">
        <v>556</v>
      </c>
      <c r="N1" s="222" t="s">
        <v>180</v>
      </c>
      <c r="O1" s="222" t="s">
        <v>181</v>
      </c>
      <c r="P1" s="222" t="s">
        <v>182</v>
      </c>
      <c r="Q1" s="64" t="s">
        <v>184</v>
      </c>
      <c r="R1" s="64" t="s">
        <v>557</v>
      </c>
      <c r="S1" s="64" t="s">
        <v>558</v>
      </c>
      <c r="T1" s="222" t="s">
        <v>171</v>
      </c>
      <c r="U1" s="222" t="s">
        <v>172</v>
      </c>
      <c r="V1" s="61" t="s">
        <v>173</v>
      </c>
      <c r="W1" s="96" t="s">
        <v>174</v>
      </c>
      <c r="X1" s="222" t="s">
        <v>175</v>
      </c>
      <c r="Y1" s="222" t="s">
        <v>176</v>
      </c>
      <c r="Z1" s="222" t="s">
        <v>177</v>
      </c>
      <c r="AA1" s="222" t="s">
        <v>178</v>
      </c>
      <c r="AB1" s="222" t="s">
        <v>179</v>
      </c>
      <c r="AC1" s="222" t="s">
        <v>180</v>
      </c>
      <c r="AD1" s="222" t="s">
        <v>181</v>
      </c>
      <c r="AE1" s="222" t="s">
        <v>182</v>
      </c>
      <c r="AF1" s="64" t="s">
        <v>292</v>
      </c>
      <c r="AG1" s="64" t="s">
        <v>559</v>
      </c>
      <c r="AH1" s="64" t="s">
        <v>560</v>
      </c>
      <c r="AI1" s="64" t="s">
        <v>626</v>
      </c>
      <c r="AJ1" s="222" t="s">
        <v>171</v>
      </c>
      <c r="AK1" s="344" t="s">
        <v>172</v>
      </c>
      <c r="AL1" s="345"/>
      <c r="AM1" s="61" t="s">
        <v>173</v>
      </c>
      <c r="AN1" s="96" t="s">
        <v>174</v>
      </c>
      <c r="AO1" s="222" t="s">
        <v>175</v>
      </c>
      <c r="AP1" s="222" t="s">
        <v>176</v>
      </c>
      <c r="AQ1" s="222" t="s">
        <v>177</v>
      </c>
      <c r="AR1" s="222" t="s">
        <v>178</v>
      </c>
      <c r="AS1" s="222" t="s">
        <v>179</v>
      </c>
      <c r="AT1" s="222" t="s">
        <v>180</v>
      </c>
      <c r="AU1" s="222" t="s">
        <v>181</v>
      </c>
      <c r="AV1" s="222" t="s">
        <v>182</v>
      </c>
      <c r="AW1" s="64" t="s">
        <v>449</v>
      </c>
      <c r="AX1" s="64" t="s">
        <v>686</v>
      </c>
      <c r="AY1" s="64" t="s">
        <v>687</v>
      </c>
      <c r="AZ1" s="64" t="s">
        <v>688</v>
      </c>
      <c r="BA1" s="96" t="s">
        <v>171</v>
      </c>
      <c r="BB1" s="222" t="s">
        <v>172</v>
      </c>
      <c r="BC1" s="61" t="s">
        <v>173</v>
      </c>
      <c r="BD1" s="96" t="s">
        <v>174</v>
      </c>
      <c r="BE1" s="222" t="s">
        <v>175</v>
      </c>
      <c r="BF1" s="222" t="s">
        <v>176</v>
      </c>
      <c r="BG1" s="222" t="s">
        <v>177</v>
      </c>
      <c r="BH1" s="222" t="s">
        <v>178</v>
      </c>
      <c r="BI1" s="222" t="s">
        <v>179</v>
      </c>
      <c r="BJ1" s="222" t="s">
        <v>180</v>
      </c>
      <c r="BK1" s="222" t="s">
        <v>181</v>
      </c>
      <c r="BL1" s="222" t="s">
        <v>182</v>
      </c>
      <c r="BM1" s="128" t="s">
        <v>689</v>
      </c>
      <c r="BN1" s="64" t="s">
        <v>806</v>
      </c>
      <c r="BO1" s="64" t="s">
        <v>805</v>
      </c>
      <c r="BP1" s="222" t="s">
        <v>807</v>
      </c>
      <c r="BQ1" s="61" t="s">
        <v>171</v>
      </c>
      <c r="BR1" s="226" t="s">
        <v>172</v>
      </c>
      <c r="BS1" s="61" t="s">
        <v>173</v>
      </c>
      <c r="BT1" s="226" t="s">
        <v>174</v>
      </c>
      <c r="BU1" s="61" t="s">
        <v>175</v>
      </c>
      <c r="BV1" s="226" t="s">
        <v>176</v>
      </c>
      <c r="BW1" s="61" t="s">
        <v>177</v>
      </c>
      <c r="BX1" s="226" t="s">
        <v>178</v>
      </c>
      <c r="BY1" s="61" t="s">
        <v>179</v>
      </c>
      <c r="BZ1" s="226" t="s">
        <v>180</v>
      </c>
      <c r="CA1" s="61" t="s">
        <v>181</v>
      </c>
      <c r="CB1" s="61" t="s">
        <v>182</v>
      </c>
      <c r="CC1" s="61" t="s">
        <v>741</v>
      </c>
      <c r="CD1" s="127"/>
      <c r="CE1" s="127"/>
      <c r="CF1" s="127"/>
    </row>
    <row r="2" spans="1:84" x14ac:dyDescent="0.2">
      <c r="A2" s="229" t="s">
        <v>9</v>
      </c>
      <c r="B2" s="230" t="s">
        <v>34</v>
      </c>
      <c r="C2" s="231" t="s">
        <v>90</v>
      </c>
      <c r="D2" s="231" t="s">
        <v>111</v>
      </c>
      <c r="E2" s="230" t="s">
        <v>198</v>
      </c>
      <c r="F2" s="232" t="s">
        <v>707</v>
      </c>
      <c r="G2" s="233" t="str">
        <f t="shared" ref="G2:G12" si="0">IF(M2&gt;0, "1", "0")</f>
        <v>0</v>
      </c>
      <c r="H2" s="233" t="str">
        <f t="shared" ref="H2:H12" si="1">IF(S2&gt;0, "1", "0")</f>
        <v>0</v>
      </c>
      <c r="I2" s="233" t="str">
        <f t="shared" ref="I2:I12" si="2">IF(AI2&gt;0, "1", "0")</f>
        <v>0</v>
      </c>
      <c r="J2" s="233" t="str">
        <f t="shared" ref="J2:J12" si="3">IF(AZ2&gt;0, "1", "0")</f>
        <v>0</v>
      </c>
      <c r="K2" s="233" t="str">
        <f t="shared" ref="K2:K12" si="4">CONCATENATE(G2,H2,I2,J2)</f>
        <v>0000</v>
      </c>
      <c r="L2" s="234" t="str">
        <f t="shared" ref="L2:L12" si="5">A2&amp;B2&amp;E2</f>
        <v>0030N/AAccountability Pathways 19-20</v>
      </c>
      <c r="M2" s="235"/>
      <c r="N2" s="235"/>
      <c r="O2" s="235"/>
      <c r="P2" s="235"/>
      <c r="Q2" s="235">
        <f t="shared" ref="Q2:Q12" si="6">SUM(M2:P2)</f>
        <v>0</v>
      </c>
      <c r="R2" s="235"/>
      <c r="S2" s="235">
        <v>0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>
        <f t="shared" ref="AF2:AF12" si="7">SUM(Q2:AE2)</f>
        <v>0</v>
      </c>
      <c r="AG2" s="235"/>
      <c r="AH2" s="235">
        <v>0</v>
      </c>
      <c r="AI2" s="235"/>
      <c r="AJ2" s="235"/>
      <c r="AK2" s="235"/>
      <c r="AL2" s="235"/>
      <c r="AM2" s="235"/>
      <c r="AN2" s="235">
        <v>0</v>
      </c>
      <c r="AO2" s="235">
        <v>0</v>
      </c>
      <c r="AP2" s="235"/>
      <c r="AQ2" s="235"/>
      <c r="AR2" s="235"/>
      <c r="AS2" s="235"/>
      <c r="AT2" s="236">
        <v>0</v>
      </c>
      <c r="AU2" s="236">
        <v>0</v>
      </c>
      <c r="AV2" s="236">
        <v>0</v>
      </c>
      <c r="AW2" s="237">
        <f t="shared" ref="AW2:AW12" si="8">SUM(AF2:AV2)</f>
        <v>0</v>
      </c>
      <c r="AX2" s="238">
        <v>0</v>
      </c>
      <c r="AY2" s="238">
        <v>0</v>
      </c>
      <c r="AZ2" s="237"/>
      <c r="BA2" s="239">
        <v>0</v>
      </c>
      <c r="BB2" s="235">
        <v>0</v>
      </c>
      <c r="BC2" s="235">
        <v>0</v>
      </c>
      <c r="BD2" s="235">
        <v>0</v>
      </c>
      <c r="BE2" s="235"/>
      <c r="BF2" s="235"/>
      <c r="BG2" s="235">
        <v>0</v>
      </c>
      <c r="BH2" s="235">
        <v>0</v>
      </c>
      <c r="BI2" s="235">
        <v>0</v>
      </c>
      <c r="BJ2" s="236"/>
      <c r="BK2" s="236"/>
      <c r="BL2" s="236"/>
      <c r="BM2" s="240">
        <f t="shared" ref="BM2:BM10" si="9">SUM(AW2:BL2)</f>
        <v>0</v>
      </c>
      <c r="BN2" s="238"/>
      <c r="BO2" s="238"/>
      <c r="BP2" s="236"/>
      <c r="BQ2" s="241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3">
        <f>SUM(BM2:CB2)</f>
        <v>0</v>
      </c>
      <c r="CD2" s="244"/>
      <c r="CE2" s="244"/>
      <c r="CF2" s="244"/>
    </row>
    <row r="3" spans="1:84" x14ac:dyDescent="0.2">
      <c r="A3" s="245" t="s">
        <v>13</v>
      </c>
      <c r="B3" s="246" t="s">
        <v>36</v>
      </c>
      <c r="C3" s="246" t="s">
        <v>94</v>
      </c>
      <c r="D3" s="246" t="s">
        <v>113</v>
      </c>
      <c r="E3" s="247" t="s">
        <v>196</v>
      </c>
      <c r="F3" s="247" t="s">
        <v>707</v>
      </c>
      <c r="G3" s="233" t="str">
        <f t="shared" si="0"/>
        <v>1</v>
      </c>
      <c r="H3" s="233" t="str">
        <f t="shared" si="1"/>
        <v>0</v>
      </c>
      <c r="I3" s="233" t="str">
        <f t="shared" si="2"/>
        <v>0</v>
      </c>
      <c r="J3" s="233" t="str">
        <f t="shared" si="3"/>
        <v>0</v>
      </c>
      <c r="K3" s="233" t="str">
        <f t="shared" si="4"/>
        <v>1000</v>
      </c>
      <c r="L3" s="247" t="str">
        <f t="shared" si="5"/>
        <v>01202752Accountability Pathways 17-18</v>
      </c>
      <c r="M3" s="225">
        <v>22050</v>
      </c>
      <c r="N3" s="225"/>
      <c r="O3" s="225"/>
      <c r="P3" s="225"/>
      <c r="Q3" s="225">
        <f t="shared" si="6"/>
        <v>22050</v>
      </c>
      <c r="R3" s="225"/>
      <c r="S3" s="225">
        <v>0</v>
      </c>
      <c r="T3" s="225">
        <v>-20307</v>
      </c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>
        <f t="shared" si="7"/>
        <v>1743</v>
      </c>
      <c r="AG3" s="225"/>
      <c r="AH3" s="225">
        <v>0</v>
      </c>
      <c r="AI3" s="225"/>
      <c r="AJ3" s="225"/>
      <c r="AK3" s="225"/>
      <c r="AL3" s="225"/>
      <c r="AM3" s="225"/>
      <c r="AN3" s="225">
        <v>0</v>
      </c>
      <c r="AO3" s="225">
        <v>0</v>
      </c>
      <c r="AP3" s="225"/>
      <c r="AQ3" s="225"/>
      <c r="AR3" s="225"/>
      <c r="AS3" s="225"/>
      <c r="AT3" s="248">
        <v>0</v>
      </c>
      <c r="AU3" s="248">
        <v>0</v>
      </c>
      <c r="AV3" s="248">
        <v>0</v>
      </c>
      <c r="AW3" s="227">
        <f t="shared" si="8"/>
        <v>1743</v>
      </c>
      <c r="AX3" s="249">
        <v>0</v>
      </c>
      <c r="AY3" s="225">
        <v>0</v>
      </c>
      <c r="AZ3" s="227"/>
      <c r="BA3" s="250">
        <v>0</v>
      </c>
      <c r="BB3" s="225">
        <v>0</v>
      </c>
      <c r="BC3" s="225">
        <v>0</v>
      </c>
      <c r="BD3" s="225">
        <v>0</v>
      </c>
      <c r="BE3" s="225"/>
      <c r="BF3" s="225"/>
      <c r="BG3" s="225">
        <v>0</v>
      </c>
      <c r="BH3" s="225">
        <v>0</v>
      </c>
      <c r="BI3" s="225">
        <v>0</v>
      </c>
      <c r="BJ3" s="248"/>
      <c r="BK3" s="248"/>
      <c r="BL3" s="248"/>
      <c r="BM3" s="248">
        <f t="shared" si="9"/>
        <v>1743</v>
      </c>
      <c r="BN3" s="249"/>
      <c r="BO3" s="225"/>
      <c r="BP3" s="248"/>
      <c r="BQ3" s="249"/>
      <c r="BR3" s="225"/>
      <c r="BS3" s="225"/>
      <c r="BT3" s="225"/>
      <c r="BU3" s="225"/>
      <c r="BV3" s="225"/>
      <c r="BW3" s="225"/>
      <c r="BX3" s="225"/>
      <c r="BY3" s="225">
        <v>-350</v>
      </c>
      <c r="BZ3" s="225"/>
      <c r="CA3" s="225"/>
      <c r="CB3" s="225"/>
      <c r="CC3" s="227">
        <f t="shared" ref="CC3:CC66" si="10">SUM(BM3:CB3)</f>
        <v>1393</v>
      </c>
      <c r="CD3" s="244"/>
      <c r="CE3" s="244"/>
      <c r="CF3" s="244"/>
    </row>
    <row r="4" spans="1:84" x14ac:dyDescent="0.2">
      <c r="A4" s="245" t="s">
        <v>15</v>
      </c>
      <c r="B4" s="246" t="s">
        <v>391</v>
      </c>
      <c r="C4" s="246" t="s">
        <v>296</v>
      </c>
      <c r="D4" s="246" t="s">
        <v>624</v>
      </c>
      <c r="E4" s="247" t="s">
        <v>197</v>
      </c>
      <c r="F4" s="247" t="s">
        <v>707</v>
      </c>
      <c r="G4" s="233" t="str">
        <f t="shared" si="0"/>
        <v>0</v>
      </c>
      <c r="H4" s="233" t="str">
        <f t="shared" si="1"/>
        <v>1</v>
      </c>
      <c r="I4" s="233" t="str">
        <f t="shared" si="2"/>
        <v>0</v>
      </c>
      <c r="J4" s="233" t="str">
        <f t="shared" si="3"/>
        <v>0</v>
      </c>
      <c r="K4" s="233" t="str">
        <f t="shared" si="4"/>
        <v>0100</v>
      </c>
      <c r="L4" s="247" t="str">
        <f t="shared" si="5"/>
        <v>01801458Accountability Pathways 18-19</v>
      </c>
      <c r="M4" s="225">
        <v>0</v>
      </c>
      <c r="N4" s="225"/>
      <c r="O4" s="225"/>
      <c r="P4" s="225"/>
      <c r="Q4" s="225">
        <f t="shared" si="6"/>
        <v>0</v>
      </c>
      <c r="R4" s="225"/>
      <c r="S4" s="225">
        <v>80000</v>
      </c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>
        <f t="shared" si="7"/>
        <v>80000</v>
      </c>
      <c r="AG4" s="225"/>
      <c r="AH4" s="225">
        <v>0</v>
      </c>
      <c r="AI4" s="225"/>
      <c r="AJ4" s="225"/>
      <c r="AK4" s="225"/>
      <c r="AL4" s="225"/>
      <c r="AM4" s="225">
        <v>-33979.33</v>
      </c>
      <c r="AN4" s="225">
        <v>0</v>
      </c>
      <c r="AO4" s="225">
        <v>-46020.67</v>
      </c>
      <c r="AP4" s="225"/>
      <c r="AQ4" s="225"/>
      <c r="AR4" s="225"/>
      <c r="AS4" s="225"/>
      <c r="AT4" s="248">
        <v>0</v>
      </c>
      <c r="AU4" s="248">
        <v>0</v>
      </c>
      <c r="AV4" s="248">
        <v>0</v>
      </c>
      <c r="AW4" s="227">
        <f t="shared" si="8"/>
        <v>0</v>
      </c>
      <c r="AX4" s="249">
        <v>0</v>
      </c>
      <c r="AY4" s="225">
        <v>0</v>
      </c>
      <c r="AZ4" s="227"/>
      <c r="BA4" s="250">
        <v>0</v>
      </c>
      <c r="BB4" s="225">
        <v>0</v>
      </c>
      <c r="BC4" s="225">
        <v>0</v>
      </c>
      <c r="BD4" s="225">
        <v>0</v>
      </c>
      <c r="BE4" s="225"/>
      <c r="BF4" s="225"/>
      <c r="BG4" s="225">
        <v>0</v>
      </c>
      <c r="BH4" s="225">
        <v>0</v>
      </c>
      <c r="BI4" s="225">
        <v>0</v>
      </c>
      <c r="BJ4" s="248"/>
      <c r="BK4" s="248"/>
      <c r="BL4" s="248"/>
      <c r="BM4" s="248">
        <f t="shared" si="9"/>
        <v>0</v>
      </c>
      <c r="BN4" s="249"/>
      <c r="BO4" s="225"/>
      <c r="BP4" s="248"/>
      <c r="BQ4" s="249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7">
        <f t="shared" si="10"/>
        <v>0</v>
      </c>
      <c r="CD4" s="244"/>
      <c r="CE4" s="244"/>
      <c r="CF4" s="244"/>
    </row>
    <row r="5" spans="1:84" x14ac:dyDescent="0.2">
      <c r="A5" s="251" t="s">
        <v>23</v>
      </c>
      <c r="B5" s="247" t="s">
        <v>34</v>
      </c>
      <c r="C5" s="246" t="s">
        <v>507</v>
      </c>
      <c r="D5" s="246" t="s">
        <v>111</v>
      </c>
      <c r="E5" s="247" t="s">
        <v>198</v>
      </c>
      <c r="F5" s="247" t="s">
        <v>707</v>
      </c>
      <c r="G5" s="233" t="str">
        <f t="shared" si="0"/>
        <v>0</v>
      </c>
      <c r="H5" s="233" t="str">
        <f t="shared" si="1"/>
        <v>0</v>
      </c>
      <c r="I5" s="233" t="str">
        <f t="shared" si="2"/>
        <v>0</v>
      </c>
      <c r="J5" s="233" t="str">
        <f t="shared" si="3"/>
        <v>0</v>
      </c>
      <c r="K5" s="233" t="str">
        <f t="shared" si="4"/>
        <v>0000</v>
      </c>
      <c r="L5" s="247" t="str">
        <f t="shared" si="5"/>
        <v>0880N/AAccountability Pathways 19-20</v>
      </c>
      <c r="M5" s="225"/>
      <c r="N5" s="225"/>
      <c r="O5" s="225"/>
      <c r="P5" s="225"/>
      <c r="Q5" s="225">
        <f t="shared" si="6"/>
        <v>0</v>
      </c>
      <c r="R5" s="225"/>
      <c r="S5" s="225">
        <v>0</v>
      </c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>
        <f t="shared" si="7"/>
        <v>0</v>
      </c>
      <c r="AG5" s="225"/>
      <c r="AH5" s="225">
        <v>0</v>
      </c>
      <c r="AI5" s="225"/>
      <c r="AJ5" s="225"/>
      <c r="AK5" s="225"/>
      <c r="AL5" s="225"/>
      <c r="AM5" s="225"/>
      <c r="AN5" s="225">
        <v>0</v>
      </c>
      <c r="AO5" s="225">
        <v>0</v>
      </c>
      <c r="AP5" s="225"/>
      <c r="AQ5" s="225"/>
      <c r="AR5" s="225"/>
      <c r="AS5" s="225"/>
      <c r="AT5" s="248">
        <v>0</v>
      </c>
      <c r="AU5" s="248">
        <v>0</v>
      </c>
      <c r="AV5" s="248">
        <v>0</v>
      </c>
      <c r="AW5" s="227">
        <f t="shared" si="8"/>
        <v>0</v>
      </c>
      <c r="AX5" s="249">
        <v>0</v>
      </c>
      <c r="AY5" s="225">
        <v>0</v>
      </c>
      <c r="AZ5" s="227"/>
      <c r="BA5" s="250">
        <v>0</v>
      </c>
      <c r="BB5" s="225">
        <v>0</v>
      </c>
      <c r="BC5" s="225">
        <v>0</v>
      </c>
      <c r="BD5" s="225">
        <v>0</v>
      </c>
      <c r="BE5" s="225"/>
      <c r="BF5" s="225"/>
      <c r="BG5" s="225">
        <v>0</v>
      </c>
      <c r="BH5" s="225">
        <v>0</v>
      </c>
      <c r="BI5" s="225">
        <v>0</v>
      </c>
      <c r="BJ5" s="248"/>
      <c r="BK5" s="248"/>
      <c r="BL5" s="248"/>
      <c r="BM5" s="248">
        <f t="shared" si="9"/>
        <v>0</v>
      </c>
      <c r="BN5" s="249"/>
      <c r="BO5" s="225"/>
      <c r="BP5" s="248"/>
      <c r="BQ5" s="249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7">
        <f t="shared" si="10"/>
        <v>0</v>
      </c>
      <c r="CD5" s="244"/>
      <c r="CE5" s="244"/>
      <c r="CF5" s="244"/>
    </row>
    <row r="6" spans="1:84" x14ac:dyDescent="0.2">
      <c r="A6" s="251" t="s">
        <v>431</v>
      </c>
      <c r="B6" s="247" t="s">
        <v>438</v>
      </c>
      <c r="C6" s="246" t="s">
        <v>508</v>
      </c>
      <c r="D6" s="246" t="s">
        <v>522</v>
      </c>
      <c r="E6" s="247" t="s">
        <v>198</v>
      </c>
      <c r="F6" s="247" t="s">
        <v>707</v>
      </c>
      <c r="G6" s="233" t="str">
        <f t="shared" si="0"/>
        <v>0</v>
      </c>
      <c r="H6" s="233" t="str">
        <f t="shared" si="1"/>
        <v>0</v>
      </c>
      <c r="I6" s="233" t="str">
        <f t="shared" si="2"/>
        <v>0</v>
      </c>
      <c r="J6" s="233" t="str">
        <f t="shared" si="3"/>
        <v>0</v>
      </c>
      <c r="K6" s="233" t="str">
        <f t="shared" si="4"/>
        <v>0000</v>
      </c>
      <c r="L6" s="247" t="str">
        <f t="shared" si="5"/>
        <v>09003863Accountability Pathways 19-20</v>
      </c>
      <c r="M6" s="225"/>
      <c r="N6" s="225"/>
      <c r="O6" s="225"/>
      <c r="P6" s="225"/>
      <c r="Q6" s="225">
        <f t="shared" si="6"/>
        <v>0</v>
      </c>
      <c r="R6" s="225"/>
      <c r="S6" s="225">
        <v>0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>
        <f t="shared" si="7"/>
        <v>0</v>
      </c>
      <c r="AG6" s="225"/>
      <c r="AH6" s="225">
        <v>0</v>
      </c>
      <c r="AI6" s="225"/>
      <c r="AJ6" s="225"/>
      <c r="AK6" s="225"/>
      <c r="AL6" s="225"/>
      <c r="AM6" s="225"/>
      <c r="AN6" s="225">
        <v>0</v>
      </c>
      <c r="AO6" s="225">
        <v>0</v>
      </c>
      <c r="AP6" s="225"/>
      <c r="AQ6" s="225"/>
      <c r="AR6" s="225"/>
      <c r="AS6" s="225"/>
      <c r="AT6" s="248">
        <v>0</v>
      </c>
      <c r="AU6" s="248">
        <v>0</v>
      </c>
      <c r="AV6" s="248">
        <v>0</v>
      </c>
      <c r="AW6" s="227">
        <f t="shared" si="8"/>
        <v>0</v>
      </c>
      <c r="AX6" s="249">
        <v>0</v>
      </c>
      <c r="AY6" s="225">
        <v>0</v>
      </c>
      <c r="AZ6" s="227"/>
      <c r="BA6" s="250">
        <v>0</v>
      </c>
      <c r="BB6" s="225">
        <v>0</v>
      </c>
      <c r="BC6" s="225">
        <v>0</v>
      </c>
      <c r="BD6" s="225">
        <v>0</v>
      </c>
      <c r="BE6" s="225"/>
      <c r="BF6" s="225"/>
      <c r="BG6" s="225">
        <v>0</v>
      </c>
      <c r="BH6" s="225">
        <v>0</v>
      </c>
      <c r="BI6" s="225">
        <v>0</v>
      </c>
      <c r="BJ6" s="248"/>
      <c r="BK6" s="248"/>
      <c r="BL6" s="248"/>
      <c r="BM6" s="248">
        <f t="shared" si="9"/>
        <v>0</v>
      </c>
      <c r="BN6" s="249"/>
      <c r="BO6" s="225"/>
      <c r="BP6" s="248"/>
      <c r="BQ6" s="249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7">
        <f t="shared" si="10"/>
        <v>0</v>
      </c>
      <c r="CD6" s="244"/>
      <c r="CE6" s="244"/>
      <c r="CF6" s="244"/>
    </row>
    <row r="7" spans="1:84" x14ac:dyDescent="0.2">
      <c r="A7" s="251" t="s">
        <v>29</v>
      </c>
      <c r="B7" s="247" t="s">
        <v>34</v>
      </c>
      <c r="C7" s="246" t="s">
        <v>107</v>
      </c>
      <c r="D7" s="246" t="s">
        <v>111</v>
      </c>
      <c r="E7" s="247" t="s">
        <v>198</v>
      </c>
      <c r="F7" s="247" t="s">
        <v>707</v>
      </c>
      <c r="G7" s="233" t="str">
        <f t="shared" si="0"/>
        <v>0</v>
      </c>
      <c r="H7" s="233" t="str">
        <f t="shared" si="1"/>
        <v>0</v>
      </c>
      <c r="I7" s="233" t="str">
        <f t="shared" si="2"/>
        <v>0</v>
      </c>
      <c r="J7" s="233" t="str">
        <f t="shared" si="3"/>
        <v>0</v>
      </c>
      <c r="K7" s="233" t="str">
        <f t="shared" si="4"/>
        <v>0000</v>
      </c>
      <c r="L7" s="247" t="str">
        <f t="shared" si="5"/>
        <v>1620N/AAccountability Pathways 19-20</v>
      </c>
      <c r="M7" s="225"/>
      <c r="N7" s="225"/>
      <c r="O7" s="225"/>
      <c r="P7" s="225"/>
      <c r="Q7" s="225">
        <f t="shared" si="6"/>
        <v>0</v>
      </c>
      <c r="R7" s="225"/>
      <c r="S7" s="225">
        <v>0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>
        <f t="shared" si="7"/>
        <v>0</v>
      </c>
      <c r="AG7" s="225"/>
      <c r="AH7" s="225">
        <v>0</v>
      </c>
      <c r="AI7" s="225"/>
      <c r="AJ7" s="225"/>
      <c r="AK7" s="225"/>
      <c r="AL7" s="225"/>
      <c r="AM7" s="225"/>
      <c r="AN7" s="225">
        <v>0</v>
      </c>
      <c r="AO7" s="225">
        <v>0</v>
      </c>
      <c r="AP7" s="225"/>
      <c r="AQ7" s="225"/>
      <c r="AR7" s="225"/>
      <c r="AS7" s="225"/>
      <c r="AT7" s="248">
        <v>0</v>
      </c>
      <c r="AU7" s="248">
        <v>0</v>
      </c>
      <c r="AV7" s="248">
        <v>0</v>
      </c>
      <c r="AW7" s="227">
        <f t="shared" si="8"/>
        <v>0</v>
      </c>
      <c r="AX7" s="249">
        <v>0</v>
      </c>
      <c r="AY7" s="225">
        <v>0</v>
      </c>
      <c r="AZ7" s="227"/>
      <c r="BA7" s="250">
        <v>0</v>
      </c>
      <c r="BB7" s="225">
        <v>0</v>
      </c>
      <c r="BC7" s="225">
        <v>0</v>
      </c>
      <c r="BD7" s="225">
        <v>0</v>
      </c>
      <c r="BE7" s="225"/>
      <c r="BF7" s="225"/>
      <c r="BG7" s="225">
        <v>0</v>
      </c>
      <c r="BH7" s="225">
        <v>0</v>
      </c>
      <c r="BI7" s="225">
        <v>0</v>
      </c>
      <c r="BJ7" s="248"/>
      <c r="BK7" s="248"/>
      <c r="BL7" s="248"/>
      <c r="BM7" s="248">
        <f t="shared" si="9"/>
        <v>0</v>
      </c>
      <c r="BN7" s="249"/>
      <c r="BO7" s="225"/>
      <c r="BP7" s="248"/>
      <c r="BQ7" s="249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7">
        <f t="shared" si="10"/>
        <v>0</v>
      </c>
      <c r="CD7" s="244"/>
      <c r="CE7" s="244"/>
      <c r="CF7" s="244"/>
    </row>
    <row r="8" spans="1:84" x14ac:dyDescent="0.2">
      <c r="A8" s="251" t="s">
        <v>19</v>
      </c>
      <c r="B8" s="247" t="s">
        <v>34</v>
      </c>
      <c r="C8" s="246" t="s">
        <v>98</v>
      </c>
      <c r="D8" s="246" t="s">
        <v>111</v>
      </c>
      <c r="E8" s="247" t="s">
        <v>198</v>
      </c>
      <c r="F8" s="247" t="s">
        <v>707</v>
      </c>
      <c r="G8" s="233" t="str">
        <f t="shared" si="0"/>
        <v>0</v>
      </c>
      <c r="H8" s="233" t="str">
        <f t="shared" si="1"/>
        <v>0</v>
      </c>
      <c r="I8" s="233" t="str">
        <f t="shared" si="2"/>
        <v>0</v>
      </c>
      <c r="J8" s="233" t="str">
        <f t="shared" si="3"/>
        <v>0</v>
      </c>
      <c r="K8" s="233" t="str">
        <f t="shared" si="4"/>
        <v>0000</v>
      </c>
      <c r="L8" s="247" t="str">
        <f t="shared" si="5"/>
        <v>2690N/AAccountability Pathways 19-20</v>
      </c>
      <c r="M8" s="225"/>
      <c r="N8" s="225"/>
      <c r="O8" s="225"/>
      <c r="P8" s="225"/>
      <c r="Q8" s="225">
        <f t="shared" si="6"/>
        <v>0</v>
      </c>
      <c r="R8" s="225"/>
      <c r="S8" s="225">
        <v>0</v>
      </c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>
        <f t="shared" si="7"/>
        <v>0</v>
      </c>
      <c r="AG8" s="225"/>
      <c r="AH8" s="225">
        <v>0</v>
      </c>
      <c r="AI8" s="225"/>
      <c r="AJ8" s="225"/>
      <c r="AK8" s="225"/>
      <c r="AL8" s="225"/>
      <c r="AM8" s="225"/>
      <c r="AN8" s="225">
        <v>0</v>
      </c>
      <c r="AO8" s="225">
        <v>0</v>
      </c>
      <c r="AP8" s="225"/>
      <c r="AQ8" s="225"/>
      <c r="AR8" s="225"/>
      <c r="AS8" s="225"/>
      <c r="AT8" s="248">
        <v>0</v>
      </c>
      <c r="AU8" s="248">
        <v>0</v>
      </c>
      <c r="AV8" s="248">
        <v>0</v>
      </c>
      <c r="AW8" s="227">
        <f t="shared" si="8"/>
        <v>0</v>
      </c>
      <c r="AX8" s="249">
        <v>0</v>
      </c>
      <c r="AY8" s="225">
        <v>0</v>
      </c>
      <c r="AZ8" s="227"/>
      <c r="BA8" s="250">
        <v>0</v>
      </c>
      <c r="BB8" s="225">
        <v>0</v>
      </c>
      <c r="BC8" s="225">
        <v>0</v>
      </c>
      <c r="BD8" s="225">
        <v>0</v>
      </c>
      <c r="BE8" s="225"/>
      <c r="BF8" s="225"/>
      <c r="BG8" s="225">
        <v>0</v>
      </c>
      <c r="BH8" s="225">
        <v>0</v>
      </c>
      <c r="BI8" s="225">
        <v>0</v>
      </c>
      <c r="BJ8" s="248"/>
      <c r="BK8" s="248"/>
      <c r="BL8" s="248"/>
      <c r="BM8" s="248">
        <f t="shared" si="9"/>
        <v>0</v>
      </c>
      <c r="BN8" s="249"/>
      <c r="BO8" s="225"/>
      <c r="BP8" s="248"/>
      <c r="BQ8" s="249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7">
        <f t="shared" si="10"/>
        <v>0</v>
      </c>
      <c r="CD8" s="244"/>
      <c r="CE8" s="244"/>
      <c r="CF8" s="244"/>
    </row>
    <row r="9" spans="1:84" x14ac:dyDescent="0.2">
      <c r="A9" s="245" t="s">
        <v>21</v>
      </c>
      <c r="B9" s="246" t="s">
        <v>48</v>
      </c>
      <c r="C9" s="246" t="s">
        <v>100</v>
      </c>
      <c r="D9" s="246" t="s">
        <v>124</v>
      </c>
      <c r="E9" s="247" t="s">
        <v>196</v>
      </c>
      <c r="F9" s="247" t="s">
        <v>707</v>
      </c>
      <c r="G9" s="233" t="str">
        <f t="shared" si="0"/>
        <v>1</v>
      </c>
      <c r="H9" s="233" t="str">
        <f t="shared" si="1"/>
        <v>0</v>
      </c>
      <c r="I9" s="233" t="str">
        <f t="shared" si="2"/>
        <v>0</v>
      </c>
      <c r="J9" s="233" t="str">
        <f t="shared" si="3"/>
        <v>0</v>
      </c>
      <c r="K9" s="233" t="str">
        <f t="shared" si="4"/>
        <v>1000</v>
      </c>
      <c r="L9" s="247" t="str">
        <f t="shared" si="5"/>
        <v>31201384Accountability Pathways 17-18</v>
      </c>
      <c r="M9" s="225">
        <v>30000</v>
      </c>
      <c r="N9" s="225"/>
      <c r="O9" s="225"/>
      <c r="P9" s="225"/>
      <c r="Q9" s="225">
        <f t="shared" si="6"/>
        <v>30000</v>
      </c>
      <c r="R9" s="225"/>
      <c r="S9" s="225">
        <v>0</v>
      </c>
      <c r="T9" s="225"/>
      <c r="U9" s="225"/>
      <c r="V9" s="225"/>
      <c r="W9" s="225"/>
      <c r="X9" s="225">
        <v>-839</v>
      </c>
      <c r="Y9" s="225">
        <v>-754</v>
      </c>
      <c r="Z9" s="225">
        <v>-610</v>
      </c>
      <c r="AA9" s="225">
        <v>-112</v>
      </c>
      <c r="AB9" s="225"/>
      <c r="AC9" s="225">
        <v>-9286</v>
      </c>
      <c r="AD9" s="225">
        <v>-7665.57</v>
      </c>
      <c r="AE9" s="225">
        <v>-89.69</v>
      </c>
      <c r="AF9" s="225">
        <f t="shared" si="7"/>
        <v>10643.74</v>
      </c>
      <c r="AG9" s="225"/>
      <c r="AH9" s="225">
        <v>0</v>
      </c>
      <c r="AI9" s="225"/>
      <c r="AJ9" s="225"/>
      <c r="AK9" s="225"/>
      <c r="AL9" s="225"/>
      <c r="AM9" s="225">
        <v>-10643.74</v>
      </c>
      <c r="AN9" s="225">
        <v>0</v>
      </c>
      <c r="AO9" s="225">
        <v>0</v>
      </c>
      <c r="AP9" s="225"/>
      <c r="AQ9" s="225"/>
      <c r="AR9" s="225"/>
      <c r="AS9" s="225"/>
      <c r="AT9" s="248">
        <v>0</v>
      </c>
      <c r="AU9" s="248">
        <v>0</v>
      </c>
      <c r="AV9" s="248">
        <v>0</v>
      </c>
      <c r="AW9" s="227">
        <f t="shared" si="8"/>
        <v>0</v>
      </c>
      <c r="AX9" s="249">
        <v>0</v>
      </c>
      <c r="AY9" s="225">
        <v>0</v>
      </c>
      <c r="AZ9" s="227"/>
      <c r="BA9" s="250">
        <v>0</v>
      </c>
      <c r="BB9" s="225">
        <v>0</v>
      </c>
      <c r="BC9" s="225">
        <v>0</v>
      </c>
      <c r="BD9" s="225">
        <v>0</v>
      </c>
      <c r="BE9" s="225"/>
      <c r="BF9" s="225"/>
      <c r="BG9" s="225">
        <v>0</v>
      </c>
      <c r="BH9" s="225">
        <v>0</v>
      </c>
      <c r="BI9" s="225">
        <v>0</v>
      </c>
      <c r="BJ9" s="248"/>
      <c r="BK9" s="248"/>
      <c r="BL9" s="248"/>
      <c r="BM9" s="248">
        <f t="shared" si="9"/>
        <v>0</v>
      </c>
      <c r="BN9" s="249"/>
      <c r="BO9" s="225"/>
      <c r="BP9" s="248"/>
      <c r="BQ9" s="249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7">
        <f t="shared" si="10"/>
        <v>0</v>
      </c>
      <c r="CD9" s="244"/>
      <c r="CE9" s="244"/>
      <c r="CF9" s="244"/>
    </row>
    <row r="10" spans="1:84" x14ac:dyDescent="0.2">
      <c r="A10" s="251" t="s">
        <v>14</v>
      </c>
      <c r="B10" s="247" t="s">
        <v>37</v>
      </c>
      <c r="C10" s="246" t="s">
        <v>95</v>
      </c>
      <c r="D10" s="246" t="s">
        <v>114</v>
      </c>
      <c r="E10" s="247" t="s">
        <v>474</v>
      </c>
      <c r="F10" s="247" t="s">
        <v>708</v>
      </c>
      <c r="G10" s="233" t="str">
        <f t="shared" si="0"/>
        <v>0</v>
      </c>
      <c r="H10" s="233" t="str">
        <f t="shared" si="1"/>
        <v>0</v>
      </c>
      <c r="I10" s="233" t="str">
        <f t="shared" si="2"/>
        <v>0</v>
      </c>
      <c r="J10" s="233" t="str">
        <f t="shared" si="3"/>
        <v>0</v>
      </c>
      <c r="K10" s="233" t="str">
        <f t="shared" si="4"/>
        <v>0000</v>
      </c>
      <c r="L10" s="247" t="str">
        <f t="shared" si="5"/>
        <v>01238123AEC Pilot</v>
      </c>
      <c r="M10" s="225"/>
      <c r="N10" s="225"/>
      <c r="O10" s="225"/>
      <c r="P10" s="225"/>
      <c r="Q10" s="225">
        <f t="shared" si="6"/>
        <v>0</v>
      </c>
      <c r="R10" s="225"/>
      <c r="S10" s="225">
        <v>0</v>
      </c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>
        <f t="shared" si="7"/>
        <v>0</v>
      </c>
      <c r="AG10" s="225"/>
      <c r="AH10" s="225">
        <v>40000</v>
      </c>
      <c r="AI10" s="225"/>
      <c r="AJ10" s="225"/>
      <c r="AK10" s="225"/>
      <c r="AL10" s="225"/>
      <c r="AM10" s="225"/>
      <c r="AN10" s="225">
        <v>0</v>
      </c>
      <c r="AO10" s="225">
        <v>0</v>
      </c>
      <c r="AP10" s="225"/>
      <c r="AQ10" s="225"/>
      <c r="AR10" s="225"/>
      <c r="AS10" s="225"/>
      <c r="AT10" s="248">
        <v>0</v>
      </c>
      <c r="AU10" s="248">
        <v>0</v>
      </c>
      <c r="AV10" s="248">
        <v>0</v>
      </c>
      <c r="AW10" s="227">
        <f t="shared" si="8"/>
        <v>40000</v>
      </c>
      <c r="AX10" s="249">
        <v>5083</v>
      </c>
      <c r="AY10" s="225">
        <v>0</v>
      </c>
      <c r="AZ10" s="227"/>
      <c r="BA10" s="250">
        <v>0</v>
      </c>
      <c r="BB10" s="225">
        <v>0</v>
      </c>
      <c r="BC10" s="225">
        <v>0</v>
      </c>
      <c r="BD10" s="225">
        <v>0</v>
      </c>
      <c r="BE10" s="225"/>
      <c r="BF10" s="225"/>
      <c r="BG10" s="225">
        <v>0</v>
      </c>
      <c r="BH10" s="225">
        <v>0</v>
      </c>
      <c r="BI10" s="225">
        <v>0</v>
      </c>
      <c r="BJ10" s="248"/>
      <c r="BK10" s="248" t="s">
        <v>701</v>
      </c>
      <c r="BL10" s="248">
        <v>-11435.96</v>
      </c>
      <c r="BM10" s="248">
        <f t="shared" si="9"/>
        <v>33647.040000000001</v>
      </c>
      <c r="BN10" s="249"/>
      <c r="BO10" s="225"/>
      <c r="BP10" s="248"/>
      <c r="BQ10" s="249">
        <v>-16194.39</v>
      </c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7">
        <f t="shared" si="10"/>
        <v>17452.650000000001</v>
      </c>
      <c r="CD10" s="244"/>
      <c r="CE10" s="244"/>
      <c r="CF10" s="244"/>
    </row>
    <row r="11" spans="1:84" x14ac:dyDescent="0.2">
      <c r="A11" s="251" t="s">
        <v>455</v>
      </c>
      <c r="B11" s="247" t="s">
        <v>459</v>
      </c>
      <c r="C11" s="246" t="s">
        <v>700</v>
      </c>
      <c r="D11" s="246" t="s">
        <v>461</v>
      </c>
      <c r="E11" s="247" t="s">
        <v>474</v>
      </c>
      <c r="F11" s="247" t="s">
        <v>708</v>
      </c>
      <c r="G11" s="233" t="str">
        <f t="shared" si="0"/>
        <v>0</v>
      </c>
      <c r="H11" s="233" t="str">
        <f t="shared" si="1"/>
        <v>1</v>
      </c>
      <c r="I11" s="233" t="str">
        <f t="shared" si="2"/>
        <v>0</v>
      </c>
      <c r="J11" s="233" t="str">
        <f t="shared" si="3"/>
        <v>0</v>
      </c>
      <c r="K11" s="233" t="str">
        <f t="shared" si="4"/>
        <v>0100</v>
      </c>
      <c r="L11" s="247" t="str">
        <f t="shared" si="5"/>
        <v>04800125AEC Pilot</v>
      </c>
      <c r="M11" s="225"/>
      <c r="N11" s="225"/>
      <c r="O11" s="225"/>
      <c r="P11" s="225"/>
      <c r="Q11" s="225">
        <f t="shared" si="6"/>
        <v>0</v>
      </c>
      <c r="R11" s="225"/>
      <c r="S11" s="225">
        <v>4450</v>
      </c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>
        <f t="shared" si="7"/>
        <v>4450</v>
      </c>
      <c r="AG11" s="225"/>
      <c r="AH11" s="225">
        <v>39935</v>
      </c>
      <c r="AI11" s="225"/>
      <c r="AJ11" s="225"/>
      <c r="AK11" s="225"/>
      <c r="AL11" s="225"/>
      <c r="AM11" s="225"/>
      <c r="AN11" s="225">
        <v>0</v>
      </c>
      <c r="AO11" s="225">
        <v>0</v>
      </c>
      <c r="AP11" s="225"/>
      <c r="AQ11" s="225"/>
      <c r="AR11" s="225"/>
      <c r="AS11" s="225">
        <v>-4450</v>
      </c>
      <c r="AT11" s="248">
        <v>-4583.75</v>
      </c>
      <c r="AU11" s="248">
        <v>0</v>
      </c>
      <c r="AV11" s="248">
        <v>-2033</v>
      </c>
      <c r="AW11" s="227">
        <f t="shared" si="8"/>
        <v>33318.25</v>
      </c>
      <c r="AX11" s="249">
        <v>0</v>
      </c>
      <c r="AY11" s="225">
        <v>0</v>
      </c>
      <c r="AZ11" s="227"/>
      <c r="BA11" s="250">
        <v>0</v>
      </c>
      <c r="BB11" s="225">
        <v>-5473</v>
      </c>
      <c r="BC11" s="225">
        <v>0</v>
      </c>
      <c r="BD11" s="225">
        <v>0</v>
      </c>
      <c r="BE11" s="225"/>
      <c r="BF11" s="225"/>
      <c r="BG11" s="225">
        <v>0</v>
      </c>
      <c r="BH11" s="225">
        <v>-3800</v>
      </c>
      <c r="BI11" s="225">
        <v>0</v>
      </c>
      <c r="BJ11" s="248"/>
      <c r="BK11" s="248" t="s">
        <v>701</v>
      </c>
      <c r="BL11" s="248">
        <v>-9105.5</v>
      </c>
      <c r="BM11" s="248">
        <f t="shared" ref="BM11:BM18" si="11">SUM(AW11:BL11)</f>
        <v>14939.75</v>
      </c>
      <c r="BN11" s="249"/>
      <c r="BO11" s="225"/>
      <c r="BP11" s="248"/>
      <c r="BQ11" s="249"/>
      <c r="BR11" s="225"/>
      <c r="BS11" s="225"/>
      <c r="BT11" s="225">
        <v>-14863.6</v>
      </c>
      <c r="BU11" s="225" t="s">
        <v>701</v>
      </c>
      <c r="BV11" s="225"/>
      <c r="BW11" s="225"/>
      <c r="BX11" s="225"/>
      <c r="BY11" s="225"/>
      <c r="BZ11" s="225"/>
      <c r="CA11" s="225"/>
      <c r="CB11" s="225"/>
      <c r="CC11" s="227">
        <f t="shared" si="10"/>
        <v>76.149999999999636</v>
      </c>
      <c r="CD11" s="244"/>
      <c r="CE11" s="244"/>
      <c r="CF11" s="244"/>
    </row>
    <row r="12" spans="1:84" x14ac:dyDescent="0.2">
      <c r="A12" s="251" t="s">
        <v>401</v>
      </c>
      <c r="B12" s="247" t="s">
        <v>464</v>
      </c>
      <c r="C12" s="246" t="s">
        <v>525</v>
      </c>
      <c r="D12" s="246" t="s">
        <v>463</v>
      </c>
      <c r="E12" s="247" t="s">
        <v>474</v>
      </c>
      <c r="F12" s="247" t="s">
        <v>708</v>
      </c>
      <c r="G12" s="233" t="str">
        <f t="shared" si="0"/>
        <v>0</v>
      </c>
      <c r="H12" s="233" t="str">
        <f t="shared" si="1"/>
        <v>1</v>
      </c>
      <c r="I12" s="233" t="str">
        <f t="shared" si="2"/>
        <v>0</v>
      </c>
      <c r="J12" s="233" t="str">
        <f t="shared" si="3"/>
        <v>0</v>
      </c>
      <c r="K12" s="233" t="str">
        <f t="shared" si="4"/>
        <v>0100</v>
      </c>
      <c r="L12" s="247" t="str">
        <f t="shared" si="5"/>
        <v>09100205AEC Pilot</v>
      </c>
      <c r="M12" s="225"/>
      <c r="N12" s="225"/>
      <c r="O12" s="225"/>
      <c r="P12" s="225"/>
      <c r="Q12" s="225">
        <f t="shared" si="6"/>
        <v>0</v>
      </c>
      <c r="R12" s="225"/>
      <c r="S12" s="225">
        <v>8311</v>
      </c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>
        <f t="shared" si="7"/>
        <v>8311</v>
      </c>
      <c r="AG12" s="225"/>
      <c r="AH12" s="225">
        <v>39629</v>
      </c>
      <c r="AI12" s="225"/>
      <c r="AJ12" s="225"/>
      <c r="AK12" s="225"/>
      <c r="AL12" s="225"/>
      <c r="AM12" s="225"/>
      <c r="AN12" s="225">
        <v>0</v>
      </c>
      <c r="AO12" s="225">
        <v>0</v>
      </c>
      <c r="AP12" s="225">
        <v>-185.57</v>
      </c>
      <c r="AQ12" s="225"/>
      <c r="AR12" s="225"/>
      <c r="AS12" s="225"/>
      <c r="AT12" s="248">
        <v>0</v>
      </c>
      <c r="AU12" s="248">
        <v>0</v>
      </c>
      <c r="AV12" s="248">
        <v>-6692.35</v>
      </c>
      <c r="AW12" s="227">
        <f t="shared" si="8"/>
        <v>41062.080000000002</v>
      </c>
      <c r="AX12" s="249">
        <v>15000</v>
      </c>
      <c r="AY12" s="225">
        <v>0</v>
      </c>
      <c r="AZ12" s="227"/>
      <c r="BA12" s="250">
        <v>0</v>
      </c>
      <c r="BB12" s="225">
        <v>0</v>
      </c>
      <c r="BC12" s="225">
        <v>0</v>
      </c>
      <c r="BD12" s="225">
        <v>0</v>
      </c>
      <c r="BE12" s="225"/>
      <c r="BF12" s="225"/>
      <c r="BG12" s="225">
        <v>0</v>
      </c>
      <c r="BH12" s="225">
        <v>0</v>
      </c>
      <c r="BI12" s="225">
        <v>0</v>
      </c>
      <c r="BJ12" s="248">
        <v>-38871.440000000002</v>
      </c>
      <c r="BK12" s="248"/>
      <c r="BL12" s="248">
        <v>-15757.56</v>
      </c>
      <c r="BM12" s="248">
        <f t="shared" si="11"/>
        <v>1433.08</v>
      </c>
      <c r="BN12" s="249"/>
      <c r="BO12" s="225"/>
      <c r="BP12" s="248"/>
      <c r="BQ12" s="249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7">
        <f t="shared" si="10"/>
        <v>1433.08</v>
      </c>
      <c r="CD12" s="244"/>
      <c r="CE12" s="244"/>
      <c r="CF12" s="244"/>
    </row>
    <row r="13" spans="1:84" x14ac:dyDescent="0.2">
      <c r="A13" s="251" t="s">
        <v>25</v>
      </c>
      <c r="B13" s="247" t="s">
        <v>648</v>
      </c>
      <c r="C13" s="246" t="s">
        <v>103</v>
      </c>
      <c r="D13" s="246" t="s">
        <v>659</v>
      </c>
      <c r="E13" s="247" t="s">
        <v>474</v>
      </c>
      <c r="F13" s="247"/>
      <c r="G13" s="233"/>
      <c r="H13" s="233"/>
      <c r="I13" s="233"/>
      <c r="J13" s="233"/>
      <c r="K13" s="233"/>
      <c r="L13" s="247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48"/>
      <c r="AU13" s="248"/>
      <c r="AV13" s="248"/>
      <c r="AW13" s="227"/>
      <c r="AX13" s="249">
        <v>11000</v>
      </c>
      <c r="AY13" s="225"/>
      <c r="AZ13" s="227"/>
      <c r="BA13" s="250"/>
      <c r="BB13" s="225"/>
      <c r="BC13" s="225"/>
      <c r="BD13" s="225"/>
      <c r="BE13" s="225"/>
      <c r="BF13" s="225"/>
      <c r="BG13" s="225"/>
      <c r="BH13" s="225"/>
      <c r="BI13" s="225"/>
      <c r="BJ13" s="248"/>
      <c r="BK13" s="248"/>
      <c r="BL13" s="248"/>
      <c r="BM13" s="248">
        <f t="shared" si="11"/>
        <v>11000</v>
      </c>
      <c r="BN13" s="249"/>
      <c r="BO13" s="225"/>
      <c r="BP13" s="248"/>
      <c r="BQ13" s="249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7">
        <f t="shared" si="10"/>
        <v>11000</v>
      </c>
      <c r="CD13" s="244"/>
      <c r="CE13" s="244"/>
      <c r="CF13" s="244"/>
    </row>
    <row r="14" spans="1:84" x14ac:dyDescent="0.2">
      <c r="A14" s="251" t="s">
        <v>222</v>
      </c>
      <c r="B14" s="247" t="s">
        <v>650</v>
      </c>
      <c r="C14" s="246" t="s">
        <v>223</v>
      </c>
      <c r="D14" s="246" t="s">
        <v>661</v>
      </c>
      <c r="E14" s="247" t="s">
        <v>474</v>
      </c>
      <c r="F14" s="247"/>
      <c r="G14" s="233"/>
      <c r="H14" s="233"/>
      <c r="I14" s="233"/>
      <c r="J14" s="233"/>
      <c r="K14" s="233"/>
      <c r="L14" s="247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48"/>
      <c r="AU14" s="248"/>
      <c r="AV14" s="248"/>
      <c r="AW14" s="227"/>
      <c r="AX14" s="249">
        <v>19961</v>
      </c>
      <c r="AY14" s="225"/>
      <c r="AZ14" s="227"/>
      <c r="BA14" s="250"/>
      <c r="BB14" s="225"/>
      <c r="BC14" s="225"/>
      <c r="BD14" s="225"/>
      <c r="BE14" s="225"/>
      <c r="BF14" s="225"/>
      <c r="BG14" s="225"/>
      <c r="BH14" s="225"/>
      <c r="BI14" s="225"/>
      <c r="BJ14" s="248"/>
      <c r="BK14" s="248"/>
      <c r="BL14" s="248"/>
      <c r="BM14" s="248">
        <f t="shared" si="11"/>
        <v>19961</v>
      </c>
      <c r="BN14" s="249"/>
      <c r="BO14" s="225"/>
      <c r="BP14" s="248"/>
      <c r="BQ14" s="249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7">
        <f t="shared" si="10"/>
        <v>19961</v>
      </c>
      <c r="CD14" s="244"/>
      <c r="CE14" s="244"/>
      <c r="CF14" s="244"/>
    </row>
    <row r="15" spans="1:84" x14ac:dyDescent="0.2">
      <c r="A15" s="251" t="s">
        <v>381</v>
      </c>
      <c r="B15" s="247" t="s">
        <v>467</v>
      </c>
      <c r="C15" s="246" t="s">
        <v>605</v>
      </c>
      <c r="D15" s="246" t="s">
        <v>466</v>
      </c>
      <c r="E15" s="247" t="s">
        <v>474</v>
      </c>
      <c r="F15" s="247" t="s">
        <v>708</v>
      </c>
      <c r="G15" s="233" t="str">
        <f>IF(M15&gt;0, "1", "0")</f>
        <v>0</v>
      </c>
      <c r="H15" s="233" t="str">
        <f>IF(S15&gt;0, "1", "0")</f>
        <v>1</v>
      </c>
      <c r="I15" s="233" t="str">
        <f>IF(AI15&gt;0, "1", "0")</f>
        <v>0</v>
      </c>
      <c r="J15" s="233" t="str">
        <f>IF(AZ15&gt;0, "1", "0")</f>
        <v>0</v>
      </c>
      <c r="K15" s="233" t="str">
        <f>CONCATENATE(G15,H15,I15,J15)</f>
        <v>0100</v>
      </c>
      <c r="L15" s="247" t="str">
        <f>A15&amp;B15&amp;E15</f>
        <v>20003604AEC Pilot</v>
      </c>
      <c r="M15" s="225"/>
      <c r="N15" s="225"/>
      <c r="O15" s="225"/>
      <c r="P15" s="225"/>
      <c r="Q15" s="225">
        <f>SUM(M15:P15)</f>
        <v>0</v>
      </c>
      <c r="R15" s="225"/>
      <c r="S15" s="225">
        <v>7431</v>
      </c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>
        <f>SUM(Q15:AE15)</f>
        <v>7431</v>
      </c>
      <c r="AG15" s="225"/>
      <c r="AH15" s="225">
        <v>0</v>
      </c>
      <c r="AI15" s="225"/>
      <c r="AJ15" s="225"/>
      <c r="AK15" s="225"/>
      <c r="AL15" s="225"/>
      <c r="AM15" s="225">
        <v>-2526.89</v>
      </c>
      <c r="AN15" s="225">
        <v>-314.57</v>
      </c>
      <c r="AO15" s="225">
        <v>0</v>
      </c>
      <c r="AP15" s="225"/>
      <c r="AQ15" s="225"/>
      <c r="AR15" s="225"/>
      <c r="AS15" s="225"/>
      <c r="AT15" s="248">
        <v>0</v>
      </c>
      <c r="AU15" s="248">
        <v>0</v>
      </c>
      <c r="AV15" s="248">
        <v>0</v>
      </c>
      <c r="AW15" s="227">
        <f>SUM(AF15:AV15)</f>
        <v>4589.5400000000009</v>
      </c>
      <c r="AX15" s="249">
        <v>0</v>
      </c>
      <c r="AY15" s="225">
        <v>0</v>
      </c>
      <c r="AZ15" s="227"/>
      <c r="BA15" s="250">
        <v>0</v>
      </c>
      <c r="BB15" s="225">
        <v>0</v>
      </c>
      <c r="BC15" s="225">
        <v>0</v>
      </c>
      <c r="BD15" s="225">
        <v>0</v>
      </c>
      <c r="BE15" s="225"/>
      <c r="BF15" s="225"/>
      <c r="BG15" s="225">
        <v>0</v>
      </c>
      <c r="BH15" s="225">
        <v>0</v>
      </c>
      <c r="BI15" s="225">
        <v>0</v>
      </c>
      <c r="BJ15" s="248"/>
      <c r="BK15" s="248"/>
      <c r="BL15" s="248"/>
      <c r="BM15" s="248">
        <f t="shared" si="11"/>
        <v>4589.5400000000009</v>
      </c>
      <c r="BN15" s="249"/>
      <c r="BO15" s="225"/>
      <c r="BP15" s="248"/>
      <c r="BQ15" s="249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7">
        <f t="shared" si="10"/>
        <v>4589.5400000000009</v>
      </c>
      <c r="CD15" s="244"/>
      <c r="CE15" s="244"/>
      <c r="CF15" s="244"/>
    </row>
    <row r="16" spans="1:84" x14ac:dyDescent="0.2">
      <c r="A16" s="251" t="s">
        <v>470</v>
      </c>
      <c r="B16" s="247" t="s">
        <v>471</v>
      </c>
      <c r="C16" s="246" t="s">
        <v>468</v>
      </c>
      <c r="D16" s="246" t="s">
        <v>469</v>
      </c>
      <c r="E16" s="247" t="s">
        <v>474</v>
      </c>
      <c r="F16" s="247" t="s">
        <v>708</v>
      </c>
      <c r="G16" s="233" t="str">
        <f>IF(M16&gt;0, "1", "0")</f>
        <v>0</v>
      </c>
      <c r="H16" s="233" t="str">
        <f>IF(S16&gt;0, "1", "0")</f>
        <v>1</v>
      </c>
      <c r="I16" s="233" t="str">
        <f>IF(AI16&gt;0, "1", "0")</f>
        <v>0</v>
      </c>
      <c r="J16" s="233" t="str">
        <f>IF(AZ16&gt;0, "1", "0")</f>
        <v>0</v>
      </c>
      <c r="K16" s="233" t="str">
        <f>CONCATENATE(G16,H16,I16,J16)</f>
        <v>0100</v>
      </c>
      <c r="L16" s="247" t="str">
        <f>A16&amp;B16&amp;E16</f>
        <v>24055180AEC Pilot</v>
      </c>
      <c r="M16" s="225"/>
      <c r="N16" s="225"/>
      <c r="O16" s="225"/>
      <c r="P16" s="225"/>
      <c r="Q16" s="225">
        <f>SUM(M16:P16)</f>
        <v>0</v>
      </c>
      <c r="R16" s="225"/>
      <c r="S16" s="225">
        <v>9006</v>
      </c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>
        <f>SUM(Q16:AE16)</f>
        <v>9006</v>
      </c>
      <c r="AG16" s="225"/>
      <c r="AH16" s="225">
        <v>38607</v>
      </c>
      <c r="AI16" s="225"/>
      <c r="AJ16" s="225"/>
      <c r="AK16" s="225"/>
      <c r="AL16" s="225"/>
      <c r="AM16" s="225"/>
      <c r="AN16" s="225">
        <v>0</v>
      </c>
      <c r="AO16" s="225">
        <v>0</v>
      </c>
      <c r="AP16" s="225"/>
      <c r="AQ16" s="225"/>
      <c r="AR16" s="225">
        <v>-7111.53</v>
      </c>
      <c r="AS16" s="225"/>
      <c r="AT16" s="248">
        <v>0</v>
      </c>
      <c r="AU16" s="248">
        <v>0</v>
      </c>
      <c r="AV16" s="248">
        <v>-11216.8</v>
      </c>
      <c r="AW16" s="227">
        <f>SUM(AF16:AV16)</f>
        <v>29284.670000000002</v>
      </c>
      <c r="AX16" s="249">
        <v>11775</v>
      </c>
      <c r="AY16" s="225">
        <v>0</v>
      </c>
      <c r="AZ16" s="227"/>
      <c r="BA16" s="250">
        <v>0</v>
      </c>
      <c r="BB16" s="225">
        <v>0</v>
      </c>
      <c r="BC16" s="225">
        <v>-9131.06</v>
      </c>
      <c r="BD16" s="225">
        <v>-3439.17</v>
      </c>
      <c r="BE16" s="225">
        <v>-385</v>
      </c>
      <c r="BF16" s="225">
        <v>-5272.3</v>
      </c>
      <c r="BG16" s="225">
        <v>0</v>
      </c>
      <c r="BH16" s="225">
        <v>0</v>
      </c>
      <c r="BI16" s="225">
        <v>0</v>
      </c>
      <c r="BJ16" s="248">
        <v>-29.58</v>
      </c>
      <c r="BK16" s="248">
        <v>-371.78</v>
      </c>
      <c r="BL16" s="248"/>
      <c r="BM16" s="248">
        <f t="shared" si="11"/>
        <v>22430.780000000002</v>
      </c>
      <c r="BN16" s="249"/>
      <c r="BO16" s="225"/>
      <c r="BP16" s="248"/>
      <c r="BQ16" s="249">
        <v>-4522.83</v>
      </c>
      <c r="BR16" s="225">
        <v>-3699.55</v>
      </c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7">
        <f t="shared" si="10"/>
        <v>14208.400000000005</v>
      </c>
      <c r="CD16" s="244"/>
      <c r="CE16" s="244"/>
      <c r="CF16" s="244"/>
    </row>
    <row r="17" spans="1:84" x14ac:dyDescent="0.2">
      <c r="A17" s="251" t="s">
        <v>702</v>
      </c>
      <c r="B17" s="247" t="s">
        <v>703</v>
      </c>
      <c r="C17" s="246" t="s">
        <v>704</v>
      </c>
      <c r="D17" s="246" t="s">
        <v>705</v>
      </c>
      <c r="E17" s="247" t="s">
        <v>474</v>
      </c>
      <c r="F17" s="247"/>
      <c r="G17" s="233"/>
      <c r="H17" s="233"/>
      <c r="I17" s="233"/>
      <c r="J17" s="233"/>
      <c r="K17" s="233"/>
      <c r="L17" s="247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48"/>
      <c r="AU17" s="248"/>
      <c r="AV17" s="248"/>
      <c r="AW17" s="227"/>
      <c r="AX17" s="249">
        <v>20000</v>
      </c>
      <c r="AY17" s="225"/>
      <c r="AZ17" s="227"/>
      <c r="BA17" s="250"/>
      <c r="BB17" s="225"/>
      <c r="BC17" s="225"/>
      <c r="BD17" s="225"/>
      <c r="BE17" s="225"/>
      <c r="BF17" s="225"/>
      <c r="BG17" s="225"/>
      <c r="BH17" s="225"/>
      <c r="BI17" s="225"/>
      <c r="BJ17" s="248"/>
      <c r="BK17" s="248"/>
      <c r="BL17" s="248">
        <v>-20000</v>
      </c>
      <c r="BM17" s="248">
        <f t="shared" si="11"/>
        <v>0</v>
      </c>
      <c r="BN17" s="249"/>
      <c r="BO17" s="225"/>
      <c r="BP17" s="248"/>
      <c r="BQ17" s="249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7">
        <f t="shared" si="10"/>
        <v>0</v>
      </c>
      <c r="CD17" s="244"/>
      <c r="CE17" s="244"/>
      <c r="CF17" s="244"/>
    </row>
    <row r="18" spans="1:84" x14ac:dyDescent="0.2">
      <c r="A18" s="251" t="s">
        <v>33</v>
      </c>
      <c r="B18" s="247" t="s">
        <v>473</v>
      </c>
      <c r="C18" s="246" t="s">
        <v>204</v>
      </c>
      <c r="D18" s="246" t="s">
        <v>472</v>
      </c>
      <c r="E18" s="247" t="s">
        <v>474</v>
      </c>
      <c r="F18" s="247" t="s">
        <v>708</v>
      </c>
      <c r="G18" s="233" t="str">
        <f>IF(M18&gt;0, "1", "0")</f>
        <v>0</v>
      </c>
      <c r="H18" s="233" t="str">
        <f>IF(S18&gt;0, "1", "0")</f>
        <v>1</v>
      </c>
      <c r="I18" s="233" t="str">
        <f>IF(AI18&gt;0, "1", "0")</f>
        <v>0</v>
      </c>
      <c r="J18" s="233" t="str">
        <f>IF(AZ18&gt;0, "1", "0")</f>
        <v>0</v>
      </c>
      <c r="K18" s="233" t="str">
        <f>CONCATENATE(G18,H18,I18,J18)</f>
        <v>0100</v>
      </c>
      <c r="L18" s="247" t="str">
        <f>A18&amp;B18&amp;E18</f>
        <v>91706971AEC Pilot</v>
      </c>
      <c r="M18" s="225"/>
      <c r="N18" s="225"/>
      <c r="O18" s="225"/>
      <c r="P18" s="225"/>
      <c r="Q18" s="225">
        <f>SUM(M18:P18)</f>
        <v>0</v>
      </c>
      <c r="R18" s="225"/>
      <c r="S18" s="225">
        <v>10000</v>
      </c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>
        <f>SUM(Q18:AE18)</f>
        <v>10000</v>
      </c>
      <c r="AG18" s="225"/>
      <c r="AH18" s="225">
        <v>25981</v>
      </c>
      <c r="AI18" s="225"/>
      <c r="AJ18" s="225"/>
      <c r="AK18" s="225"/>
      <c r="AL18" s="225"/>
      <c r="AM18" s="225">
        <v>-7375</v>
      </c>
      <c r="AN18" s="225">
        <v>0</v>
      </c>
      <c r="AO18" s="225">
        <v>0</v>
      </c>
      <c r="AP18" s="225"/>
      <c r="AQ18" s="225"/>
      <c r="AR18" s="225"/>
      <c r="AS18" s="225"/>
      <c r="AT18" s="248">
        <v>0</v>
      </c>
      <c r="AU18" s="248">
        <v>0</v>
      </c>
      <c r="AV18" s="248">
        <v>0</v>
      </c>
      <c r="AW18" s="227">
        <f>SUM(AF18:AV18)</f>
        <v>28606</v>
      </c>
      <c r="AX18" s="249">
        <v>12600</v>
      </c>
      <c r="AY18" s="225">
        <v>0</v>
      </c>
      <c r="AZ18" s="227"/>
      <c r="BA18" s="250">
        <v>0</v>
      </c>
      <c r="BB18" s="225">
        <v>0</v>
      </c>
      <c r="BC18" s="225">
        <v>0</v>
      </c>
      <c r="BD18" s="225">
        <v>0</v>
      </c>
      <c r="BE18" s="225"/>
      <c r="BF18" s="225"/>
      <c r="BG18" s="225">
        <v>0</v>
      </c>
      <c r="BH18" s="225">
        <v>0</v>
      </c>
      <c r="BI18" s="225">
        <v>0</v>
      </c>
      <c r="BJ18" s="248"/>
      <c r="BK18" s="248"/>
      <c r="BL18" s="248"/>
      <c r="BM18" s="248">
        <f t="shared" si="11"/>
        <v>41206</v>
      </c>
      <c r="BN18" s="249"/>
      <c r="BO18" s="225"/>
      <c r="BP18" s="248"/>
      <c r="BQ18" s="249"/>
      <c r="BR18" s="225"/>
      <c r="BS18" s="225"/>
      <c r="BT18" s="225"/>
      <c r="BU18" s="225">
        <v>-15697</v>
      </c>
      <c r="BV18" s="225"/>
      <c r="BW18" s="225"/>
      <c r="BX18" s="225"/>
      <c r="BY18" s="225"/>
      <c r="BZ18" s="225"/>
      <c r="CA18" s="225"/>
      <c r="CB18" s="225"/>
      <c r="CC18" s="227">
        <f t="shared" si="10"/>
        <v>25509</v>
      </c>
      <c r="CD18" s="244"/>
      <c r="CE18" s="244"/>
      <c r="CF18" s="244"/>
    </row>
    <row r="19" spans="1:84" x14ac:dyDescent="0.2">
      <c r="A19" s="251" t="s">
        <v>8</v>
      </c>
      <c r="B19" s="246" t="s">
        <v>478</v>
      </c>
      <c r="C19" s="246" t="s">
        <v>89</v>
      </c>
      <c r="D19" s="246" t="s">
        <v>479</v>
      </c>
      <c r="E19" s="247" t="s">
        <v>212</v>
      </c>
      <c r="F19" s="247" t="s">
        <v>709</v>
      </c>
      <c r="G19" s="233" t="str">
        <f>IF(M19&gt;0, "1", "0")</f>
        <v>1</v>
      </c>
      <c r="H19" s="233" t="str">
        <f>IF(S19&gt;0, "1", "0")</f>
        <v>0</v>
      </c>
      <c r="I19" s="233" t="str">
        <f>IF(AI19&gt;0, "1", "0")</f>
        <v>0</v>
      </c>
      <c r="J19" s="233" t="str">
        <f>IF(AZ19&gt;0, "1", "0")</f>
        <v>0</v>
      </c>
      <c r="K19" s="233" t="str">
        <f>CONCATENATE(G19,H19,I19,J19)</f>
        <v>1000</v>
      </c>
      <c r="L19" s="247" t="str">
        <f>A19&amp;B19&amp;E19</f>
        <v>00109036Connect For Success 17-20</v>
      </c>
      <c r="M19" s="225">
        <v>20000</v>
      </c>
      <c r="N19" s="225"/>
      <c r="O19" s="225">
        <v>-474</v>
      </c>
      <c r="P19" s="225"/>
      <c r="Q19" s="225">
        <f>SUM(M19:P19)</f>
        <v>19526</v>
      </c>
      <c r="R19" s="225">
        <v>80000</v>
      </c>
      <c r="S19" s="225">
        <v>0</v>
      </c>
      <c r="T19" s="225"/>
      <c r="U19" s="225"/>
      <c r="V19" s="225">
        <v>-2828</v>
      </c>
      <c r="W19" s="225"/>
      <c r="X19" s="225"/>
      <c r="Y19" s="225">
        <v>-7233</v>
      </c>
      <c r="Z19" s="225"/>
      <c r="AA19" s="225">
        <v>-8456</v>
      </c>
      <c r="AB19" s="225">
        <v>-2220</v>
      </c>
      <c r="AC19" s="225">
        <v>-16355</v>
      </c>
      <c r="AD19" s="225">
        <v>-7426</v>
      </c>
      <c r="AE19" s="225"/>
      <c r="AF19" s="225">
        <f>SUM(Q19:AE19)</f>
        <v>55008</v>
      </c>
      <c r="AG19" s="225">
        <v>80000</v>
      </c>
      <c r="AH19" s="225">
        <v>0</v>
      </c>
      <c r="AI19" s="225"/>
      <c r="AJ19" s="225">
        <v>-11893</v>
      </c>
      <c r="AK19" s="225">
        <v>-20199.66</v>
      </c>
      <c r="AL19" s="225"/>
      <c r="AM19" s="225">
        <v>-5815.17</v>
      </c>
      <c r="AN19" s="225">
        <v>-10750.22</v>
      </c>
      <c r="AO19" s="225">
        <v>-6969.96</v>
      </c>
      <c r="AP19" s="225">
        <v>-6228.78</v>
      </c>
      <c r="AQ19" s="225"/>
      <c r="AR19" s="225">
        <v>-15489.16</v>
      </c>
      <c r="AS19" s="225"/>
      <c r="AT19" s="248">
        <v>-11859.68</v>
      </c>
      <c r="AU19" s="248">
        <v>-5929.84</v>
      </c>
      <c r="AV19" s="248">
        <v>0</v>
      </c>
      <c r="AW19" s="227">
        <f>SUM(AF19:AV19)</f>
        <v>39872.529999999984</v>
      </c>
      <c r="AX19" s="249">
        <v>0</v>
      </c>
      <c r="AY19" s="225">
        <v>0</v>
      </c>
      <c r="AZ19" s="227"/>
      <c r="BA19" s="250">
        <v>-12030.380000000001</v>
      </c>
      <c r="BB19" s="225">
        <v>0</v>
      </c>
      <c r="BC19" s="225">
        <v>-8906.9699999999993</v>
      </c>
      <c r="BD19" s="225">
        <v>0</v>
      </c>
      <c r="BE19" s="225"/>
      <c r="BF19" s="225"/>
      <c r="BG19" s="225">
        <v>0</v>
      </c>
      <c r="BH19" s="225">
        <v>0</v>
      </c>
      <c r="BI19" s="225">
        <v>0</v>
      </c>
      <c r="BJ19" s="248"/>
      <c r="BK19" s="248"/>
      <c r="BL19" s="248"/>
      <c r="BM19" s="248">
        <f t="shared" ref="BM19:BM47" si="12">SUM(AW19:BL19)</f>
        <v>18935.179999999986</v>
      </c>
      <c r="BN19" s="249"/>
      <c r="BO19" s="225"/>
      <c r="BP19" s="248"/>
      <c r="BQ19" s="249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7">
        <f t="shared" si="10"/>
        <v>18935.179999999986</v>
      </c>
      <c r="CD19" s="244"/>
      <c r="CE19" s="244"/>
      <c r="CF19" s="244"/>
    </row>
    <row r="20" spans="1:84" x14ac:dyDescent="0.2">
      <c r="A20" s="251" t="s">
        <v>13</v>
      </c>
      <c r="B20" s="246" t="s">
        <v>480</v>
      </c>
      <c r="C20" s="246" t="s">
        <v>94</v>
      </c>
      <c r="D20" s="246" t="s">
        <v>616</v>
      </c>
      <c r="E20" s="247" t="s">
        <v>215</v>
      </c>
      <c r="F20" s="247" t="s">
        <v>709</v>
      </c>
      <c r="G20" s="233" t="str">
        <f>IF(M20&gt;0, "1", "0")</f>
        <v>0</v>
      </c>
      <c r="H20" s="233" t="str">
        <f>IF(S20&gt;0, "1", "0")</f>
        <v>1</v>
      </c>
      <c r="I20" s="233" t="str">
        <f>IF(AI20&gt;0, "1", "0")</f>
        <v>0</v>
      </c>
      <c r="J20" s="233" t="str">
        <f>IF(AZ20&gt;0, "1", "0")</f>
        <v>0</v>
      </c>
      <c r="K20" s="233" t="str">
        <f>CONCATENATE(G20,H20,I20,J20)</f>
        <v>0100</v>
      </c>
      <c r="L20" s="247" t="str">
        <f>A20&amp;B20&amp;E20</f>
        <v>01200206Connect For Success 18-21</v>
      </c>
      <c r="M20" s="225"/>
      <c r="N20" s="225"/>
      <c r="O20" s="225"/>
      <c r="P20" s="225"/>
      <c r="Q20" s="225">
        <f>SUM(M20:P20)</f>
        <v>0</v>
      </c>
      <c r="R20" s="225"/>
      <c r="S20" s="225">
        <v>5083</v>
      </c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>
        <f>SUM(Q20:AE20)</f>
        <v>5083</v>
      </c>
      <c r="AG20" s="225"/>
      <c r="AH20" s="225">
        <v>80000</v>
      </c>
      <c r="AI20" s="225"/>
      <c r="AJ20" s="225">
        <v>-5009</v>
      </c>
      <c r="AK20" s="225"/>
      <c r="AL20" s="225"/>
      <c r="AM20" s="225"/>
      <c r="AN20" s="225">
        <v>0</v>
      </c>
      <c r="AO20" s="225">
        <v>0</v>
      </c>
      <c r="AP20" s="225"/>
      <c r="AQ20" s="225"/>
      <c r="AR20" s="225"/>
      <c r="AS20" s="225">
        <v>-33745</v>
      </c>
      <c r="AT20" s="248">
        <v>-7572</v>
      </c>
      <c r="AU20" s="248">
        <v>-15344</v>
      </c>
      <c r="AV20" s="248">
        <v>-4457</v>
      </c>
      <c r="AW20" s="227">
        <f>SUM(AF20:AV20)</f>
        <v>18956</v>
      </c>
      <c r="AX20" s="249">
        <v>84000</v>
      </c>
      <c r="AY20" s="225">
        <v>0</v>
      </c>
      <c r="AZ20" s="227"/>
      <c r="BA20" s="250">
        <v>-4756</v>
      </c>
      <c r="BB20" s="225">
        <v>-8178</v>
      </c>
      <c r="BC20" s="225">
        <v>0</v>
      </c>
      <c r="BD20" s="225">
        <v>-9751</v>
      </c>
      <c r="BE20" s="225">
        <v>-4756</v>
      </c>
      <c r="BF20" s="225">
        <v>-4689</v>
      </c>
      <c r="BG20" s="225">
        <v>-4690</v>
      </c>
      <c r="BH20" s="225">
        <v>-5225</v>
      </c>
      <c r="BI20" s="225">
        <v>-5927</v>
      </c>
      <c r="BJ20" s="248">
        <v>-11338</v>
      </c>
      <c r="BK20" s="248">
        <v>-5596</v>
      </c>
      <c r="BL20" s="248"/>
      <c r="BM20" s="248">
        <f t="shared" si="12"/>
        <v>38050</v>
      </c>
      <c r="BN20" s="249"/>
      <c r="BO20" s="225"/>
      <c r="BP20" s="248"/>
      <c r="BQ20" s="249">
        <v>-15491</v>
      </c>
      <c r="BR20" s="225">
        <v>-10471</v>
      </c>
      <c r="BS20" s="225"/>
      <c r="BT20" s="225"/>
      <c r="BU20" s="225"/>
      <c r="BV20" s="252">
        <v>-1706.71</v>
      </c>
      <c r="BW20" s="225"/>
      <c r="BX20" s="225"/>
      <c r="BY20" s="225">
        <v>-700</v>
      </c>
      <c r="BZ20" s="225"/>
      <c r="CA20" s="225"/>
      <c r="CB20" s="225"/>
      <c r="CC20" s="227">
        <f t="shared" si="10"/>
        <v>9681.2900000000009</v>
      </c>
      <c r="CD20" s="244"/>
      <c r="CE20" s="244"/>
      <c r="CF20" s="244"/>
    </row>
    <row r="21" spans="1:84" x14ac:dyDescent="0.2">
      <c r="A21" s="245" t="s">
        <v>481</v>
      </c>
      <c r="B21" s="246" t="s">
        <v>482</v>
      </c>
      <c r="C21" s="246" t="s">
        <v>483</v>
      </c>
      <c r="D21" s="246" t="s">
        <v>484</v>
      </c>
      <c r="E21" s="247" t="s">
        <v>212</v>
      </c>
      <c r="F21" s="247" t="s">
        <v>709</v>
      </c>
      <c r="G21" s="233" t="str">
        <f>IF(M21&gt;0, "1", "0")</f>
        <v>1</v>
      </c>
      <c r="H21" s="233" t="str">
        <f>IF(S21&gt;0, "1", "0")</f>
        <v>0</v>
      </c>
      <c r="I21" s="233" t="str">
        <f>IF(AI21&gt;0, "1", "0")</f>
        <v>0</v>
      </c>
      <c r="J21" s="233" t="str">
        <f>IF(AZ21&gt;0, "1", "0")</f>
        <v>0</v>
      </c>
      <c r="K21" s="233" t="str">
        <f>CONCATENATE(G21,H21,I21,J21)</f>
        <v>1000</v>
      </c>
      <c r="L21" s="247" t="str">
        <f>A21&amp;B21&amp;E21</f>
        <v>01300242Connect For Success 17-20</v>
      </c>
      <c r="M21" s="225">
        <v>7000</v>
      </c>
      <c r="N21" s="225"/>
      <c r="O21" s="225"/>
      <c r="P21" s="225"/>
      <c r="Q21" s="225">
        <f>SUM(M21:P21)</f>
        <v>7000</v>
      </c>
      <c r="R21" s="225">
        <v>34000</v>
      </c>
      <c r="S21" s="225">
        <v>0</v>
      </c>
      <c r="T21" s="225"/>
      <c r="U21" s="225"/>
      <c r="V21" s="225"/>
      <c r="W21" s="225"/>
      <c r="X21" s="225"/>
      <c r="Y21" s="225">
        <v>-8405</v>
      </c>
      <c r="Z21" s="225"/>
      <c r="AA21" s="225">
        <v>-4141</v>
      </c>
      <c r="AB21" s="225"/>
      <c r="AC21" s="225">
        <v>-25692</v>
      </c>
      <c r="AD21" s="225"/>
      <c r="AE21" s="225"/>
      <c r="AF21" s="225">
        <f>SUM(Q21:AE21)</f>
        <v>2762</v>
      </c>
      <c r="AG21" s="225">
        <v>80000</v>
      </c>
      <c r="AH21" s="225">
        <v>0</v>
      </c>
      <c r="AI21" s="225"/>
      <c r="AJ21" s="225"/>
      <c r="AK21" s="225">
        <v>-2762</v>
      </c>
      <c r="AL21" s="225"/>
      <c r="AM21" s="225"/>
      <c r="AN21" s="225">
        <v>0</v>
      </c>
      <c r="AO21" s="225">
        <v>-28543.360000000001</v>
      </c>
      <c r="AP21" s="225"/>
      <c r="AQ21" s="225">
        <v>-12672.4</v>
      </c>
      <c r="AR21" s="225">
        <v>-6579.9</v>
      </c>
      <c r="AS21" s="225">
        <v>-28650.61</v>
      </c>
      <c r="AT21" s="248">
        <v>0</v>
      </c>
      <c r="AU21" s="248">
        <v>0</v>
      </c>
      <c r="AV21" s="248">
        <v>0</v>
      </c>
      <c r="AW21" s="227">
        <f>SUM(AF21:AV21)</f>
        <v>3553.7299999999959</v>
      </c>
      <c r="AX21" s="249">
        <v>0</v>
      </c>
      <c r="AY21" s="225">
        <v>0</v>
      </c>
      <c r="AZ21" s="227"/>
      <c r="BA21" s="250">
        <v>-1437.73</v>
      </c>
      <c r="BB21" s="225">
        <v>0</v>
      </c>
      <c r="BC21" s="225">
        <v>0</v>
      </c>
      <c r="BD21" s="225">
        <v>-2116</v>
      </c>
      <c r="BE21" s="225"/>
      <c r="BF21" s="225"/>
      <c r="BG21" s="225">
        <v>0</v>
      </c>
      <c r="BH21" s="225">
        <v>0</v>
      </c>
      <c r="BI21" s="225">
        <v>0</v>
      </c>
      <c r="BJ21" s="248"/>
      <c r="BK21" s="248"/>
      <c r="BL21" s="248"/>
      <c r="BM21" s="248">
        <f t="shared" si="12"/>
        <v>-4.0927261579781771E-12</v>
      </c>
      <c r="BN21" s="249"/>
      <c r="BO21" s="225"/>
      <c r="BP21" s="248"/>
      <c r="BQ21" s="249"/>
      <c r="BR21" s="225"/>
      <c r="BS21" s="225"/>
      <c r="BT21" s="225"/>
      <c r="BU21" s="225"/>
      <c r="BV21" s="252"/>
      <c r="BW21" s="225"/>
      <c r="BX21" s="225"/>
      <c r="BY21" s="225"/>
      <c r="BZ21" s="225"/>
      <c r="CA21" s="225"/>
      <c r="CB21" s="225"/>
      <c r="CC21" s="227">
        <f t="shared" si="10"/>
        <v>-4.0927261579781771E-12</v>
      </c>
      <c r="CD21" s="244"/>
      <c r="CE21" s="244"/>
      <c r="CF21" s="244"/>
    </row>
    <row r="22" spans="1:84" x14ac:dyDescent="0.2">
      <c r="A22" s="245" t="s">
        <v>481</v>
      </c>
      <c r="B22" s="246" t="s">
        <v>743</v>
      </c>
      <c r="C22" s="246" t="s">
        <v>483</v>
      </c>
      <c r="D22" s="246" t="s">
        <v>744</v>
      </c>
      <c r="E22" s="247" t="s">
        <v>500</v>
      </c>
      <c r="F22" s="247"/>
      <c r="G22" s="233"/>
      <c r="H22" s="233"/>
      <c r="I22" s="233"/>
      <c r="J22" s="233"/>
      <c r="K22" s="233"/>
      <c r="L22" s="247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48"/>
      <c r="AU22" s="248"/>
      <c r="AV22" s="248"/>
      <c r="AW22" s="227"/>
      <c r="AX22" s="249"/>
      <c r="AY22" s="225"/>
      <c r="AZ22" s="227">
        <v>20000</v>
      </c>
      <c r="BA22" s="250"/>
      <c r="BB22" s="225"/>
      <c r="BC22" s="225"/>
      <c r="BD22" s="225"/>
      <c r="BE22" s="225"/>
      <c r="BF22" s="225"/>
      <c r="BG22" s="225"/>
      <c r="BH22" s="225"/>
      <c r="BI22" s="225"/>
      <c r="BJ22" s="248"/>
      <c r="BK22" s="248"/>
      <c r="BL22" s="248"/>
      <c r="BM22" s="248">
        <f t="shared" si="12"/>
        <v>20000</v>
      </c>
      <c r="BN22" s="249"/>
      <c r="BO22" s="225"/>
      <c r="BP22" s="248">
        <v>80000</v>
      </c>
      <c r="BQ22" s="249"/>
      <c r="BR22" s="225"/>
      <c r="BS22" s="225"/>
      <c r="BT22" s="225"/>
      <c r="BU22" s="225"/>
      <c r="BV22" s="252"/>
      <c r="BW22" s="225"/>
      <c r="BX22" s="225"/>
      <c r="BY22" s="225"/>
      <c r="BZ22" s="225"/>
      <c r="CA22" s="225"/>
      <c r="CB22" s="225"/>
      <c r="CC22" s="227">
        <f t="shared" si="10"/>
        <v>100000</v>
      </c>
      <c r="CD22" s="244"/>
      <c r="CE22" s="244"/>
      <c r="CF22" s="244"/>
    </row>
    <row r="23" spans="1:84" x14ac:dyDescent="0.2">
      <c r="A23" s="245" t="s">
        <v>481</v>
      </c>
      <c r="B23" s="246" t="s">
        <v>628</v>
      </c>
      <c r="C23" s="246" t="s">
        <v>483</v>
      </c>
      <c r="D23" s="246" t="s">
        <v>634</v>
      </c>
      <c r="E23" s="247" t="s">
        <v>216</v>
      </c>
      <c r="F23" s="247" t="s">
        <v>709</v>
      </c>
      <c r="G23" s="233" t="str">
        <f>IF(M23&gt;0, "1", "0")</f>
        <v>0</v>
      </c>
      <c r="H23" s="233" t="str">
        <f>IF(S23&gt;0, "1", "0")</f>
        <v>0</v>
      </c>
      <c r="I23" s="233" t="str">
        <f>IF(AI23&gt;0, "1", "0")</f>
        <v>1</v>
      </c>
      <c r="J23" s="233" t="str">
        <f>IF(AZ23&gt;0, "1", "0")</f>
        <v>0</v>
      </c>
      <c r="K23" s="233" t="str">
        <f>CONCATENATE(G23,H23,I23,J23)</f>
        <v>0010</v>
      </c>
      <c r="L23" s="247" t="str">
        <f>A23&amp;B23&amp;E23</f>
        <v>01302428Connect For Success 19-22</v>
      </c>
      <c r="M23" s="225"/>
      <c r="N23" s="225"/>
      <c r="O23" s="225"/>
      <c r="P23" s="225"/>
      <c r="Q23" s="225">
        <f>SUM(M23:P23)</f>
        <v>0</v>
      </c>
      <c r="R23" s="225"/>
      <c r="S23" s="225">
        <v>0</v>
      </c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>
        <f>SUM(Q23:AE23)</f>
        <v>0</v>
      </c>
      <c r="AG23" s="225"/>
      <c r="AH23" s="225">
        <v>0</v>
      </c>
      <c r="AI23" s="225">
        <v>20542</v>
      </c>
      <c r="AJ23" s="225"/>
      <c r="AK23" s="225"/>
      <c r="AL23" s="225"/>
      <c r="AM23" s="225"/>
      <c r="AN23" s="225">
        <v>0</v>
      </c>
      <c r="AO23" s="225">
        <v>0</v>
      </c>
      <c r="AP23" s="225"/>
      <c r="AQ23" s="225"/>
      <c r="AR23" s="225"/>
      <c r="AS23" s="225"/>
      <c r="AT23" s="248">
        <v>0</v>
      </c>
      <c r="AU23" s="248">
        <v>0</v>
      </c>
      <c r="AV23" s="248">
        <v>0</v>
      </c>
      <c r="AW23" s="227">
        <f>SUM(AF23:AV23)</f>
        <v>20542</v>
      </c>
      <c r="AX23" s="249">
        <v>0</v>
      </c>
      <c r="AY23" s="225">
        <v>82208</v>
      </c>
      <c r="AZ23" s="227"/>
      <c r="BA23" s="250">
        <v>0</v>
      </c>
      <c r="BB23" s="225">
        <v>0</v>
      </c>
      <c r="BC23" s="225">
        <v>0</v>
      </c>
      <c r="BD23" s="225">
        <v>0</v>
      </c>
      <c r="BE23" s="225">
        <v>-8745</v>
      </c>
      <c r="BF23" s="225"/>
      <c r="BG23" s="225">
        <v>0</v>
      </c>
      <c r="BH23" s="225">
        <v>-49.5</v>
      </c>
      <c r="BI23" s="225">
        <v>-2554.06</v>
      </c>
      <c r="BJ23" s="248">
        <v>-7065.72</v>
      </c>
      <c r="BK23" s="248"/>
      <c r="BL23" s="248"/>
      <c r="BM23" s="248">
        <f t="shared" si="12"/>
        <v>84335.72</v>
      </c>
      <c r="BN23" s="249"/>
      <c r="BO23" s="225">
        <v>82440</v>
      </c>
      <c r="BP23" s="248"/>
      <c r="BQ23" s="249">
        <v>-8221.1</v>
      </c>
      <c r="BR23" s="225"/>
      <c r="BS23" s="225">
        <v>-10450.549999999999</v>
      </c>
      <c r="BT23" s="225"/>
      <c r="BU23" s="225"/>
      <c r="BV23" s="252"/>
      <c r="BW23" s="225"/>
      <c r="BX23" s="225"/>
      <c r="BY23" s="225"/>
      <c r="BZ23" s="225"/>
      <c r="CA23" s="225"/>
      <c r="CB23" s="225"/>
      <c r="CC23" s="227">
        <f t="shared" si="10"/>
        <v>148104.07</v>
      </c>
      <c r="CD23" s="244"/>
      <c r="CE23" s="244"/>
      <c r="CF23" s="244"/>
    </row>
    <row r="24" spans="1:84" x14ac:dyDescent="0.2">
      <c r="A24" s="245" t="s">
        <v>481</v>
      </c>
      <c r="B24" s="246" t="s">
        <v>629</v>
      </c>
      <c r="C24" s="246" t="s">
        <v>483</v>
      </c>
      <c r="D24" s="246" t="s">
        <v>635</v>
      </c>
      <c r="E24" s="247" t="s">
        <v>216</v>
      </c>
      <c r="F24" s="247" t="s">
        <v>709</v>
      </c>
      <c r="G24" s="233" t="str">
        <f>IF(M24&gt;0, "1", "0")</f>
        <v>0</v>
      </c>
      <c r="H24" s="233" t="str">
        <f>IF(S24&gt;0, "1", "0")</f>
        <v>0</v>
      </c>
      <c r="I24" s="233" t="str">
        <f>IF(AI24&gt;0, "1", "0")</f>
        <v>1</v>
      </c>
      <c r="J24" s="233" t="str">
        <f>IF(AZ24&gt;0, "1", "0")</f>
        <v>0</v>
      </c>
      <c r="K24" s="233" t="str">
        <f>CONCATENATE(G24,H24,I24,J24)</f>
        <v>0010</v>
      </c>
      <c r="L24" s="247" t="str">
        <f>A24&amp;B24&amp;E24</f>
        <v>01302653Connect For Success 19-22</v>
      </c>
      <c r="M24" s="225"/>
      <c r="N24" s="225"/>
      <c r="O24" s="225"/>
      <c r="P24" s="225"/>
      <c r="Q24" s="225">
        <f>SUM(M24:P24)</f>
        <v>0</v>
      </c>
      <c r="R24" s="225"/>
      <c r="S24" s="225">
        <v>0</v>
      </c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>
        <f>SUM(Q24:AE24)</f>
        <v>0</v>
      </c>
      <c r="AG24" s="225"/>
      <c r="AH24" s="225">
        <v>0</v>
      </c>
      <c r="AI24" s="225">
        <v>20542</v>
      </c>
      <c r="AJ24" s="225"/>
      <c r="AK24" s="225"/>
      <c r="AL24" s="225"/>
      <c r="AM24" s="225"/>
      <c r="AN24" s="225">
        <v>0</v>
      </c>
      <c r="AO24" s="225">
        <v>0</v>
      </c>
      <c r="AP24" s="225"/>
      <c r="AQ24" s="225"/>
      <c r="AR24" s="225"/>
      <c r="AS24" s="225"/>
      <c r="AT24" s="248">
        <v>0</v>
      </c>
      <c r="AU24" s="248">
        <v>0</v>
      </c>
      <c r="AV24" s="248">
        <v>0</v>
      </c>
      <c r="AW24" s="227">
        <f>SUM(AF24:AV24)</f>
        <v>20542</v>
      </c>
      <c r="AX24" s="249">
        <v>0</v>
      </c>
      <c r="AY24" s="225">
        <v>82208</v>
      </c>
      <c r="AZ24" s="227"/>
      <c r="BA24" s="250">
        <v>0</v>
      </c>
      <c r="BB24" s="225">
        <v>0</v>
      </c>
      <c r="BC24" s="225">
        <v>0</v>
      </c>
      <c r="BD24" s="225">
        <v>0</v>
      </c>
      <c r="BE24" s="225">
        <v>-20890.419999999998</v>
      </c>
      <c r="BF24" s="225">
        <v>-11723.98</v>
      </c>
      <c r="BG24" s="225">
        <v>0</v>
      </c>
      <c r="BH24" s="225">
        <v>-7029.21</v>
      </c>
      <c r="BI24" s="225">
        <v>-15224.25</v>
      </c>
      <c r="BJ24" s="248">
        <v>-6825.72</v>
      </c>
      <c r="BK24" s="248">
        <v>-5746.33</v>
      </c>
      <c r="BL24" s="248"/>
      <c r="BM24" s="248">
        <f t="shared" si="12"/>
        <v>35310.090000000004</v>
      </c>
      <c r="BN24" s="249"/>
      <c r="BO24" s="225">
        <v>82440</v>
      </c>
      <c r="BP24" s="248"/>
      <c r="BQ24" s="249">
        <v>-7765.12</v>
      </c>
      <c r="BR24" s="225"/>
      <c r="BS24" s="225">
        <v>-13574.12</v>
      </c>
      <c r="BT24" s="225"/>
      <c r="BU24" s="225"/>
      <c r="BV24" s="225"/>
      <c r="BW24" s="225"/>
      <c r="BX24" s="225"/>
      <c r="BY24" s="225"/>
      <c r="BZ24" s="225"/>
      <c r="CA24" s="225"/>
      <c r="CB24" s="225"/>
      <c r="CC24" s="227">
        <f t="shared" si="10"/>
        <v>96410.85</v>
      </c>
      <c r="CD24" s="244"/>
      <c r="CE24" s="244"/>
      <c r="CF24" s="244"/>
    </row>
    <row r="25" spans="1:84" x14ac:dyDescent="0.2">
      <c r="A25" s="245" t="s">
        <v>481</v>
      </c>
      <c r="B25" s="246" t="s">
        <v>485</v>
      </c>
      <c r="C25" s="246" t="s">
        <v>483</v>
      </c>
      <c r="D25" s="246" t="s">
        <v>684</v>
      </c>
      <c r="E25" s="247" t="s">
        <v>212</v>
      </c>
      <c r="F25" s="247" t="s">
        <v>709</v>
      </c>
      <c r="G25" s="233" t="str">
        <f>IF(M25&gt;0, "1", "0")</f>
        <v>1</v>
      </c>
      <c r="H25" s="233" t="str">
        <f>IF(S25&gt;0, "1", "0")</f>
        <v>0</v>
      </c>
      <c r="I25" s="233" t="str">
        <f>IF(AI25&gt;0, "1", "0")</f>
        <v>0</v>
      </c>
      <c r="J25" s="233" t="str">
        <f>IF(AZ25&gt;0, "1", "0")</f>
        <v>0</v>
      </c>
      <c r="K25" s="233" t="str">
        <f>CONCATENATE(G25,H25,I25,J25)</f>
        <v>1000</v>
      </c>
      <c r="L25" s="247" t="str">
        <f>A25&amp;B25&amp;E25</f>
        <v>01302897Connect For Success 17-20</v>
      </c>
      <c r="M25" s="225">
        <v>7000</v>
      </c>
      <c r="N25" s="225"/>
      <c r="O25" s="225"/>
      <c r="P25" s="225"/>
      <c r="Q25" s="225">
        <f>SUM(M25:P25)</f>
        <v>7000</v>
      </c>
      <c r="R25" s="225">
        <v>34000</v>
      </c>
      <c r="S25" s="225">
        <v>0</v>
      </c>
      <c r="T25" s="225"/>
      <c r="U25" s="225">
        <v>-394</v>
      </c>
      <c r="V25" s="225"/>
      <c r="W25" s="225"/>
      <c r="X25" s="225"/>
      <c r="Y25" s="225">
        <v>-695</v>
      </c>
      <c r="Z25" s="225"/>
      <c r="AA25" s="225">
        <v>-350</v>
      </c>
      <c r="AB25" s="225"/>
      <c r="AC25" s="225">
        <v>-12658</v>
      </c>
      <c r="AD25" s="225"/>
      <c r="AE25" s="225"/>
      <c r="AF25" s="225">
        <f>SUM(Q25:AE25)</f>
        <v>26903</v>
      </c>
      <c r="AG25" s="225">
        <v>80000</v>
      </c>
      <c r="AH25" s="225">
        <v>0</v>
      </c>
      <c r="AI25" s="225"/>
      <c r="AJ25" s="225"/>
      <c r="AK25" s="225">
        <v>-349.56</v>
      </c>
      <c r="AL25" s="225"/>
      <c r="AM25" s="225"/>
      <c r="AN25" s="225">
        <v>0</v>
      </c>
      <c r="AO25" s="225">
        <v>-7622.21</v>
      </c>
      <c r="AP25" s="225"/>
      <c r="AQ25" s="225">
        <v>-6723.35</v>
      </c>
      <c r="AR25" s="225">
        <v>-7932.9</v>
      </c>
      <c r="AS25" s="225">
        <v>-1115.4100000000001</v>
      </c>
      <c r="AT25" s="248">
        <v>0</v>
      </c>
      <c r="AU25" s="248">
        <v>0</v>
      </c>
      <c r="AV25" s="248">
        <v>0</v>
      </c>
      <c r="AW25" s="227">
        <f>SUM(AF25:AV25)</f>
        <v>83159.569999999992</v>
      </c>
      <c r="AX25" s="249">
        <v>0</v>
      </c>
      <c r="AY25" s="225">
        <v>0</v>
      </c>
      <c r="AZ25" s="227"/>
      <c r="BA25" s="250">
        <v>-4796.7299999999996</v>
      </c>
      <c r="BB25" s="225">
        <v>0</v>
      </c>
      <c r="BC25" s="225">
        <v>0</v>
      </c>
      <c r="BD25" s="225">
        <v>-2115.7800000000002</v>
      </c>
      <c r="BE25" s="225">
        <v>-1244.8899999999999</v>
      </c>
      <c r="BF25" s="225"/>
      <c r="BG25" s="225">
        <v>0</v>
      </c>
      <c r="BH25" s="225">
        <v>-1927.02</v>
      </c>
      <c r="BI25" s="225">
        <v>-9451.5400000000009</v>
      </c>
      <c r="BJ25" s="248">
        <v>-5689.28</v>
      </c>
      <c r="BK25" s="248">
        <v>-7402.17</v>
      </c>
      <c r="BL25" s="248"/>
      <c r="BM25" s="248">
        <f t="shared" si="12"/>
        <v>50532.159999999996</v>
      </c>
      <c r="BN25" s="249"/>
      <c r="BO25" s="225"/>
      <c r="BP25" s="248"/>
      <c r="BQ25" s="249">
        <v>-19086.599999999999</v>
      </c>
      <c r="BR25" s="225"/>
      <c r="BS25" s="225">
        <v>-4037.55</v>
      </c>
      <c r="BT25" s="225"/>
      <c r="BU25" s="225"/>
      <c r="BV25" s="225"/>
      <c r="BW25" s="225"/>
      <c r="BX25" s="225"/>
      <c r="BY25" s="225"/>
      <c r="BZ25" s="225"/>
      <c r="CA25" s="225"/>
      <c r="CB25" s="225"/>
      <c r="CC25" s="227">
        <f t="shared" si="10"/>
        <v>27408.01</v>
      </c>
      <c r="CD25" s="244"/>
      <c r="CE25" s="244"/>
      <c r="CF25" s="244"/>
    </row>
    <row r="26" spans="1:84" x14ac:dyDescent="0.2">
      <c r="A26" s="245" t="s">
        <v>481</v>
      </c>
      <c r="B26" s="246" t="s">
        <v>486</v>
      </c>
      <c r="C26" s="246" t="s">
        <v>483</v>
      </c>
      <c r="D26" s="246" t="s">
        <v>487</v>
      </c>
      <c r="E26" s="247" t="s">
        <v>212</v>
      </c>
      <c r="F26" s="247" t="s">
        <v>709</v>
      </c>
      <c r="G26" s="233" t="str">
        <f>IF(M26&gt;0, "1", "0")</f>
        <v>1</v>
      </c>
      <c r="H26" s="233" t="str">
        <f>IF(S26&gt;0, "1", "0")</f>
        <v>0</v>
      </c>
      <c r="I26" s="233" t="str">
        <f>IF(AI26&gt;0, "1", "0")</f>
        <v>0</v>
      </c>
      <c r="J26" s="233" t="str">
        <f>IF(AZ26&gt;0, "1", "0")</f>
        <v>0</v>
      </c>
      <c r="K26" s="233" t="str">
        <f>CONCATENATE(G26,H26,I26,J26)</f>
        <v>1000</v>
      </c>
      <c r="L26" s="247" t="str">
        <f>A26&amp;B26&amp;E26</f>
        <v>01303988Connect For Success 17-20</v>
      </c>
      <c r="M26" s="225">
        <v>7000</v>
      </c>
      <c r="N26" s="225"/>
      <c r="O26" s="225"/>
      <c r="P26" s="225"/>
      <c r="Q26" s="225">
        <f>SUM(M26:P26)</f>
        <v>7000</v>
      </c>
      <c r="R26" s="225">
        <v>29000</v>
      </c>
      <c r="S26" s="225">
        <v>0</v>
      </c>
      <c r="T26" s="225"/>
      <c r="U26" s="225">
        <v>-1346</v>
      </c>
      <c r="V26" s="225"/>
      <c r="W26" s="225"/>
      <c r="X26" s="225"/>
      <c r="Y26" s="225">
        <v>-13165</v>
      </c>
      <c r="Z26" s="225"/>
      <c r="AA26" s="225">
        <v>-5672</v>
      </c>
      <c r="AB26" s="225"/>
      <c r="AC26" s="225">
        <v>-5031</v>
      </c>
      <c r="AD26" s="225"/>
      <c r="AE26" s="225"/>
      <c r="AF26" s="225">
        <f>SUM(Q26:AE26)</f>
        <v>10786</v>
      </c>
      <c r="AG26" s="225">
        <v>80000</v>
      </c>
      <c r="AH26" s="225">
        <v>0</v>
      </c>
      <c r="AI26" s="225"/>
      <c r="AJ26" s="225"/>
      <c r="AK26" s="225">
        <v>-4911.7299999999996</v>
      </c>
      <c r="AL26" s="225"/>
      <c r="AM26" s="225"/>
      <c r="AN26" s="225">
        <v>0</v>
      </c>
      <c r="AO26" s="225">
        <v>-19422.34</v>
      </c>
      <c r="AP26" s="225"/>
      <c r="AQ26" s="225">
        <v>-5310.6</v>
      </c>
      <c r="AR26" s="225">
        <v>-28150</v>
      </c>
      <c r="AS26" s="225"/>
      <c r="AT26" s="248">
        <v>0</v>
      </c>
      <c r="AU26" s="248">
        <v>0</v>
      </c>
      <c r="AV26" s="248">
        <v>0</v>
      </c>
      <c r="AW26" s="227">
        <f>SUM(AF26:AV26)</f>
        <v>32991.330000000009</v>
      </c>
      <c r="AX26" s="249">
        <v>0</v>
      </c>
      <c r="AY26" s="225">
        <v>0</v>
      </c>
      <c r="AZ26" s="227"/>
      <c r="BA26" s="250">
        <v>-25270.16</v>
      </c>
      <c r="BB26" s="225">
        <v>0</v>
      </c>
      <c r="BC26" s="225">
        <v>-1852.16</v>
      </c>
      <c r="BD26" s="225">
        <v>-2115.5300000000002</v>
      </c>
      <c r="BE26" s="225"/>
      <c r="BF26" s="225"/>
      <c r="BG26" s="225">
        <v>0</v>
      </c>
      <c r="BH26" s="225">
        <v>0</v>
      </c>
      <c r="BI26" s="225">
        <v>0</v>
      </c>
      <c r="BJ26" s="248"/>
      <c r="BK26" s="248"/>
      <c r="BL26" s="248"/>
      <c r="BM26" s="248">
        <f t="shared" si="12"/>
        <v>3753.4800000000091</v>
      </c>
      <c r="BN26" s="249"/>
      <c r="BO26" s="225"/>
      <c r="BP26" s="248"/>
      <c r="BQ26" s="249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7">
        <f t="shared" si="10"/>
        <v>3753.4800000000091</v>
      </c>
      <c r="CD26" s="244"/>
      <c r="CE26" s="244"/>
      <c r="CF26" s="244"/>
    </row>
    <row r="27" spans="1:84" x14ac:dyDescent="0.2">
      <c r="A27" s="245" t="s">
        <v>481</v>
      </c>
      <c r="B27" s="246" t="s">
        <v>488</v>
      </c>
      <c r="C27" s="246" t="s">
        <v>483</v>
      </c>
      <c r="D27" s="246" t="s">
        <v>489</v>
      </c>
      <c r="E27" s="247" t="s">
        <v>212</v>
      </c>
      <c r="F27" s="247" t="s">
        <v>709</v>
      </c>
      <c r="G27" s="233" t="str">
        <f>IF(M27&gt;0, "1", "0")</f>
        <v>1</v>
      </c>
      <c r="H27" s="233" t="str">
        <f>IF(S27&gt;0, "1", "0")</f>
        <v>0</v>
      </c>
      <c r="I27" s="233" t="str">
        <f>IF(AI27&gt;0, "1", "0")</f>
        <v>0</v>
      </c>
      <c r="J27" s="233" t="str">
        <f>IF(AZ27&gt;0, "1", "0")</f>
        <v>0</v>
      </c>
      <c r="K27" s="233" t="str">
        <f>CONCATENATE(G27,H27,I27,J27)</f>
        <v>1000</v>
      </c>
      <c r="L27" s="247" t="str">
        <f>A27&amp;B27&amp;E27</f>
        <v>01304276Connect For Success 17-20</v>
      </c>
      <c r="M27" s="225">
        <v>7000</v>
      </c>
      <c r="N27" s="225"/>
      <c r="O27" s="225"/>
      <c r="P27" s="225"/>
      <c r="Q27" s="225">
        <f>SUM(M27:P27)</f>
        <v>7000</v>
      </c>
      <c r="R27" s="225">
        <v>34000</v>
      </c>
      <c r="S27" s="225">
        <v>0</v>
      </c>
      <c r="T27" s="225"/>
      <c r="U27" s="225">
        <v>-477</v>
      </c>
      <c r="V27" s="225">
        <v>-1093</v>
      </c>
      <c r="W27" s="225"/>
      <c r="X27" s="225"/>
      <c r="Y27" s="225">
        <v>-19231</v>
      </c>
      <c r="Z27" s="225"/>
      <c r="AA27" s="225">
        <v>-5861</v>
      </c>
      <c r="AB27" s="225"/>
      <c r="AC27" s="225">
        <v>-8828</v>
      </c>
      <c r="AD27" s="225"/>
      <c r="AE27" s="225"/>
      <c r="AF27" s="225">
        <f>SUM(Q27:AE27)</f>
        <v>5510</v>
      </c>
      <c r="AG27" s="225">
        <v>80000</v>
      </c>
      <c r="AH27" s="225">
        <v>0</v>
      </c>
      <c r="AI27" s="225"/>
      <c r="AJ27" s="225"/>
      <c r="AK27" s="225">
        <v>-5510</v>
      </c>
      <c r="AL27" s="225"/>
      <c r="AM27" s="225"/>
      <c r="AN27" s="225">
        <v>0</v>
      </c>
      <c r="AO27" s="225">
        <v>-21787.85</v>
      </c>
      <c r="AP27" s="225"/>
      <c r="AQ27" s="225">
        <v>-11132.09</v>
      </c>
      <c r="AR27" s="225">
        <v>-5218.12</v>
      </c>
      <c r="AS27" s="225">
        <v>-8201.9500000000007</v>
      </c>
      <c r="AT27" s="248">
        <v>0</v>
      </c>
      <c r="AU27" s="248">
        <v>0</v>
      </c>
      <c r="AV27" s="248">
        <v>0</v>
      </c>
      <c r="AW27" s="227">
        <f>SUM(AF27:AV27)</f>
        <v>33659.989999999991</v>
      </c>
      <c r="AX27" s="249">
        <v>0</v>
      </c>
      <c r="AY27" s="225">
        <v>0</v>
      </c>
      <c r="AZ27" s="227"/>
      <c r="BA27" s="250">
        <v>-5137.34</v>
      </c>
      <c r="BB27" s="225">
        <v>0</v>
      </c>
      <c r="BC27" s="225">
        <v>-1196.67</v>
      </c>
      <c r="BD27" s="225">
        <v>-2116</v>
      </c>
      <c r="BE27" s="225">
        <v>-5762.35</v>
      </c>
      <c r="BF27" s="225">
        <v>-264</v>
      </c>
      <c r="BG27" s="225">
        <v>0</v>
      </c>
      <c r="BH27" s="225">
        <v>-600</v>
      </c>
      <c r="BI27" s="225">
        <v>0</v>
      </c>
      <c r="BJ27" s="248"/>
      <c r="BK27" s="248"/>
      <c r="BL27" s="248"/>
      <c r="BM27" s="248">
        <f t="shared" si="12"/>
        <v>18583.62999999999</v>
      </c>
      <c r="BN27" s="249"/>
      <c r="BO27" s="225"/>
      <c r="BP27" s="248"/>
      <c r="BQ27" s="249">
        <v>-1129.45</v>
      </c>
      <c r="BR27" s="225"/>
      <c r="BS27" s="225">
        <v>-17430</v>
      </c>
      <c r="BT27" s="225"/>
      <c r="BU27" s="225"/>
      <c r="BV27" s="225"/>
      <c r="BW27" s="225"/>
      <c r="BX27" s="225"/>
      <c r="BY27" s="225"/>
      <c r="BZ27" s="225"/>
      <c r="CA27" s="225"/>
      <c r="CB27" s="225"/>
      <c r="CC27" s="227">
        <f t="shared" si="10"/>
        <v>24.179999999989377</v>
      </c>
      <c r="CD27" s="244"/>
      <c r="CE27" s="244"/>
      <c r="CF27" s="244"/>
    </row>
    <row r="28" spans="1:84" x14ac:dyDescent="0.2">
      <c r="A28" s="245" t="s">
        <v>481</v>
      </c>
      <c r="B28" s="246" t="s">
        <v>745</v>
      </c>
      <c r="C28" s="246" t="s">
        <v>483</v>
      </c>
      <c r="D28" s="246" t="s">
        <v>746</v>
      </c>
      <c r="E28" s="247" t="s">
        <v>500</v>
      </c>
      <c r="F28" s="247"/>
      <c r="G28" s="233"/>
      <c r="H28" s="233"/>
      <c r="I28" s="233"/>
      <c r="J28" s="233"/>
      <c r="K28" s="233"/>
      <c r="L28" s="247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48"/>
      <c r="AU28" s="248"/>
      <c r="AV28" s="248"/>
      <c r="AW28" s="227"/>
      <c r="AX28" s="249"/>
      <c r="AY28" s="225"/>
      <c r="AZ28" s="227">
        <v>20000</v>
      </c>
      <c r="BA28" s="250"/>
      <c r="BB28" s="225"/>
      <c r="BC28" s="225"/>
      <c r="BD28" s="225"/>
      <c r="BE28" s="225"/>
      <c r="BF28" s="225"/>
      <c r="BG28" s="225"/>
      <c r="BH28" s="225"/>
      <c r="BI28" s="225"/>
      <c r="BJ28" s="248"/>
      <c r="BK28" s="248"/>
      <c r="BL28" s="248"/>
      <c r="BM28" s="248">
        <f t="shared" si="12"/>
        <v>20000</v>
      </c>
      <c r="BN28" s="249"/>
      <c r="BO28" s="225"/>
      <c r="BP28" s="248">
        <v>80000</v>
      </c>
      <c r="BQ28" s="249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7">
        <f t="shared" si="10"/>
        <v>100000</v>
      </c>
      <c r="CD28" s="244"/>
      <c r="CE28" s="244"/>
      <c r="CF28" s="244"/>
    </row>
    <row r="29" spans="1:84" x14ac:dyDescent="0.2">
      <c r="A29" s="245" t="s">
        <v>481</v>
      </c>
      <c r="B29" s="246" t="s">
        <v>490</v>
      </c>
      <c r="C29" s="246" t="s">
        <v>483</v>
      </c>
      <c r="D29" s="246" t="s">
        <v>491</v>
      </c>
      <c r="E29" s="247" t="s">
        <v>212</v>
      </c>
      <c r="F29" s="247" t="s">
        <v>709</v>
      </c>
      <c r="G29" s="233" t="str">
        <f t="shared" ref="G29:G34" si="13">IF(M29&gt;0, "1", "0")</f>
        <v>1</v>
      </c>
      <c r="H29" s="233" t="str">
        <f t="shared" ref="H29:H34" si="14">IF(S29&gt;0, "1", "0")</f>
        <v>0</v>
      </c>
      <c r="I29" s="233" t="str">
        <f t="shared" ref="I29:I34" si="15">IF(AI29&gt;0, "1", "0")</f>
        <v>0</v>
      </c>
      <c r="J29" s="233" t="str">
        <f t="shared" ref="J29:J34" si="16">IF(AZ29&gt;0, "1", "0")</f>
        <v>0</v>
      </c>
      <c r="K29" s="233" t="str">
        <f t="shared" ref="K29:K34" si="17">CONCATENATE(G29,H29,I29,J29)</f>
        <v>1000</v>
      </c>
      <c r="L29" s="247" t="str">
        <f t="shared" ref="L29:L34" si="18">A29&amp;B29&amp;E29</f>
        <v>01307116Connect For Success 17-20</v>
      </c>
      <c r="M29" s="225">
        <v>7000</v>
      </c>
      <c r="N29" s="225"/>
      <c r="O29" s="225"/>
      <c r="P29" s="225"/>
      <c r="Q29" s="225">
        <f t="shared" ref="Q29:Q34" si="19">SUM(M29:P29)</f>
        <v>7000</v>
      </c>
      <c r="R29" s="225">
        <v>34000</v>
      </c>
      <c r="S29" s="225">
        <v>0</v>
      </c>
      <c r="T29" s="225"/>
      <c r="U29" s="225"/>
      <c r="V29" s="225"/>
      <c r="W29" s="225"/>
      <c r="X29" s="225"/>
      <c r="Y29" s="225"/>
      <c r="Z29" s="225"/>
      <c r="AA29" s="225">
        <v>-10130</v>
      </c>
      <c r="AB29" s="225"/>
      <c r="AC29" s="225">
        <v>-12272</v>
      </c>
      <c r="AD29" s="225"/>
      <c r="AE29" s="225"/>
      <c r="AF29" s="225">
        <f t="shared" ref="AF29:AF34" si="20">SUM(Q29:AE29)</f>
        <v>18598</v>
      </c>
      <c r="AG29" s="225">
        <v>80000</v>
      </c>
      <c r="AH29" s="225">
        <v>0</v>
      </c>
      <c r="AI29" s="225"/>
      <c r="AJ29" s="225"/>
      <c r="AK29" s="225"/>
      <c r="AL29" s="225"/>
      <c r="AM29" s="225"/>
      <c r="AN29" s="225">
        <v>0</v>
      </c>
      <c r="AO29" s="225">
        <v>0</v>
      </c>
      <c r="AP29" s="225"/>
      <c r="AQ29" s="225">
        <v>-2640</v>
      </c>
      <c r="AR29" s="225">
        <v>-17410.97</v>
      </c>
      <c r="AS29" s="225">
        <v>-2391.79</v>
      </c>
      <c r="AT29" s="248">
        <v>0</v>
      </c>
      <c r="AU29" s="248">
        <v>0</v>
      </c>
      <c r="AV29" s="248">
        <v>0</v>
      </c>
      <c r="AW29" s="227">
        <f t="shared" ref="AW29:AW34" si="21">SUM(AF29:AV29)</f>
        <v>76155.240000000005</v>
      </c>
      <c r="AX29" s="249">
        <v>0</v>
      </c>
      <c r="AY29" s="225">
        <v>0</v>
      </c>
      <c r="AZ29" s="227"/>
      <c r="BA29" s="250">
        <v>-5845.79</v>
      </c>
      <c r="BB29" s="225">
        <v>0</v>
      </c>
      <c r="BC29" s="225">
        <v>0</v>
      </c>
      <c r="BD29" s="225">
        <v>-2115.37</v>
      </c>
      <c r="BE29" s="225" t="s">
        <v>701</v>
      </c>
      <c r="BF29" s="225">
        <v>-20000</v>
      </c>
      <c r="BG29" s="225">
        <v>0</v>
      </c>
      <c r="BH29" s="225">
        <v>0</v>
      </c>
      <c r="BI29" s="225">
        <v>0</v>
      </c>
      <c r="BJ29" s="248">
        <v>-10000</v>
      </c>
      <c r="BK29" s="248">
        <v>-5000</v>
      </c>
      <c r="BL29" s="248"/>
      <c r="BM29" s="248">
        <f t="shared" si="12"/>
        <v>33194.080000000016</v>
      </c>
      <c r="BN29" s="249"/>
      <c r="BO29" s="225"/>
      <c r="BP29" s="248"/>
      <c r="BQ29" s="249">
        <v>-10000</v>
      </c>
      <c r="BR29" s="225"/>
      <c r="BS29" s="225">
        <v>-10000</v>
      </c>
      <c r="BT29" s="225"/>
      <c r="BU29" s="225"/>
      <c r="BV29" s="225"/>
      <c r="BW29" s="225"/>
      <c r="BX29" s="225"/>
      <c r="BY29" s="225"/>
      <c r="BZ29" s="225"/>
      <c r="CA29" s="225"/>
      <c r="CB29" s="225"/>
      <c r="CC29" s="227">
        <f t="shared" si="10"/>
        <v>13194.080000000016</v>
      </c>
      <c r="CD29" s="244"/>
      <c r="CE29" s="244"/>
      <c r="CF29" s="244"/>
    </row>
    <row r="30" spans="1:84" x14ac:dyDescent="0.2">
      <c r="A30" s="245" t="s">
        <v>481</v>
      </c>
      <c r="B30" s="246" t="s">
        <v>492</v>
      </c>
      <c r="C30" s="246" t="s">
        <v>483</v>
      </c>
      <c r="D30" s="246" t="s">
        <v>493</v>
      </c>
      <c r="E30" s="247" t="s">
        <v>212</v>
      </c>
      <c r="F30" s="247" t="s">
        <v>709</v>
      </c>
      <c r="G30" s="233" t="str">
        <f t="shared" si="13"/>
        <v>1</v>
      </c>
      <c r="H30" s="233" t="str">
        <f t="shared" si="14"/>
        <v>0</v>
      </c>
      <c r="I30" s="233" t="str">
        <f t="shared" si="15"/>
        <v>0</v>
      </c>
      <c r="J30" s="233" t="str">
        <f t="shared" si="16"/>
        <v>0</v>
      </c>
      <c r="K30" s="233" t="str">
        <f t="shared" si="17"/>
        <v>1000</v>
      </c>
      <c r="L30" s="247" t="str">
        <f t="shared" si="18"/>
        <v>01309108Connect For Success 17-20</v>
      </c>
      <c r="M30" s="225">
        <v>7000</v>
      </c>
      <c r="N30" s="225"/>
      <c r="O30" s="225"/>
      <c r="P30" s="225"/>
      <c r="Q30" s="225">
        <f t="shared" si="19"/>
        <v>7000</v>
      </c>
      <c r="R30" s="225">
        <v>34000</v>
      </c>
      <c r="S30" s="225">
        <v>0</v>
      </c>
      <c r="T30" s="225"/>
      <c r="U30" s="225">
        <v>-3450</v>
      </c>
      <c r="V30" s="225"/>
      <c r="W30" s="225"/>
      <c r="X30" s="225"/>
      <c r="Y30" s="225">
        <v>-7539</v>
      </c>
      <c r="Z30" s="225"/>
      <c r="AA30" s="225">
        <v>-5267</v>
      </c>
      <c r="AB30" s="225"/>
      <c r="AC30" s="225">
        <v>-5920</v>
      </c>
      <c r="AD30" s="225"/>
      <c r="AE30" s="225"/>
      <c r="AF30" s="225">
        <f t="shared" si="20"/>
        <v>18824</v>
      </c>
      <c r="AG30" s="225">
        <v>80000</v>
      </c>
      <c r="AH30" s="225">
        <v>0</v>
      </c>
      <c r="AI30" s="225"/>
      <c r="AJ30" s="225"/>
      <c r="AK30" s="225">
        <v>-10114.1</v>
      </c>
      <c r="AL30" s="225"/>
      <c r="AM30" s="225">
        <v>-630</v>
      </c>
      <c r="AN30" s="225">
        <v>0</v>
      </c>
      <c r="AO30" s="225">
        <v>-24000</v>
      </c>
      <c r="AP30" s="225"/>
      <c r="AQ30" s="225"/>
      <c r="AR30" s="225">
        <v>-36889.599999999999</v>
      </c>
      <c r="AS30" s="225">
        <v>-20341.099999999999</v>
      </c>
      <c r="AT30" s="248">
        <v>0</v>
      </c>
      <c r="AU30" s="248">
        <v>0</v>
      </c>
      <c r="AV30" s="248">
        <v>0</v>
      </c>
      <c r="AW30" s="227">
        <f t="shared" si="21"/>
        <v>6849.1999999999971</v>
      </c>
      <c r="AX30" s="249">
        <v>0</v>
      </c>
      <c r="AY30" s="225">
        <v>0</v>
      </c>
      <c r="AZ30" s="227"/>
      <c r="BA30" s="250">
        <v>-107.5</v>
      </c>
      <c r="BB30" s="225">
        <v>0</v>
      </c>
      <c r="BC30" s="225">
        <v>0</v>
      </c>
      <c r="BD30" s="225">
        <v>-2085.41</v>
      </c>
      <c r="BE30" s="225"/>
      <c r="BF30" s="225"/>
      <c r="BG30" s="225">
        <v>0</v>
      </c>
      <c r="BH30" s="225">
        <v>0</v>
      </c>
      <c r="BI30" s="225">
        <v>0</v>
      </c>
      <c r="BJ30" s="248"/>
      <c r="BK30" s="248"/>
      <c r="BL30" s="248"/>
      <c r="BM30" s="248">
        <f t="shared" si="12"/>
        <v>4656.2899999999972</v>
      </c>
      <c r="BN30" s="249"/>
      <c r="BO30" s="225"/>
      <c r="BP30" s="248"/>
      <c r="BQ30" s="249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7">
        <f t="shared" si="10"/>
        <v>4656.2899999999972</v>
      </c>
      <c r="CD30" s="244"/>
      <c r="CE30" s="244"/>
      <c r="CF30" s="244"/>
    </row>
    <row r="31" spans="1:84" x14ac:dyDescent="0.2">
      <c r="A31" s="245" t="s">
        <v>481</v>
      </c>
      <c r="B31" s="246" t="s">
        <v>34</v>
      </c>
      <c r="C31" s="246" t="s">
        <v>483</v>
      </c>
      <c r="D31" s="246" t="s">
        <v>111</v>
      </c>
      <c r="E31" s="247" t="s">
        <v>212</v>
      </c>
      <c r="F31" s="247" t="s">
        <v>709</v>
      </c>
      <c r="G31" s="233" t="str">
        <f t="shared" si="13"/>
        <v>1</v>
      </c>
      <c r="H31" s="233" t="str">
        <f t="shared" si="14"/>
        <v>0</v>
      </c>
      <c r="I31" s="233" t="str">
        <f t="shared" si="15"/>
        <v>0</v>
      </c>
      <c r="J31" s="233" t="str">
        <f t="shared" si="16"/>
        <v>0</v>
      </c>
      <c r="K31" s="233" t="str">
        <f t="shared" si="17"/>
        <v>1000</v>
      </c>
      <c r="L31" s="247" t="str">
        <f t="shared" si="18"/>
        <v>0130N/AConnect For Success 17-20</v>
      </c>
      <c r="M31" s="225">
        <v>78085</v>
      </c>
      <c r="N31" s="225"/>
      <c r="O31" s="225"/>
      <c r="P31" s="225"/>
      <c r="Q31" s="225">
        <f t="shared" si="19"/>
        <v>78085</v>
      </c>
      <c r="R31" s="225">
        <v>281000</v>
      </c>
      <c r="S31" s="225">
        <v>0</v>
      </c>
      <c r="T31" s="225"/>
      <c r="U31" s="225">
        <v>-531</v>
      </c>
      <c r="V31" s="225">
        <v>-222</v>
      </c>
      <c r="W31" s="225"/>
      <c r="X31" s="225"/>
      <c r="Y31" s="225">
        <v>-52068</v>
      </c>
      <c r="Z31" s="225"/>
      <c r="AA31" s="225">
        <v>-28077</v>
      </c>
      <c r="AB31" s="225"/>
      <c r="AC31" s="225">
        <v>-39850</v>
      </c>
      <c r="AD31" s="225"/>
      <c r="AE31" s="225"/>
      <c r="AF31" s="225">
        <f t="shared" si="20"/>
        <v>238337</v>
      </c>
      <c r="AG31" s="225"/>
      <c r="AH31" s="225">
        <v>0</v>
      </c>
      <c r="AI31" s="225"/>
      <c r="AJ31" s="225"/>
      <c r="AK31" s="225">
        <v>-88119.150000000009</v>
      </c>
      <c r="AL31" s="225"/>
      <c r="AM31" s="225">
        <v>-12049.77</v>
      </c>
      <c r="AN31" s="225">
        <v>-25218.33</v>
      </c>
      <c r="AO31" s="225">
        <v>-37349.96</v>
      </c>
      <c r="AP31" s="225"/>
      <c r="AQ31" s="225">
        <v>-9008.07</v>
      </c>
      <c r="AR31" s="225">
        <v>-17255.760000000002</v>
      </c>
      <c r="AS31" s="225">
        <v>-8754.61</v>
      </c>
      <c r="AT31" s="248">
        <v>0</v>
      </c>
      <c r="AU31" s="248">
        <v>0</v>
      </c>
      <c r="AV31" s="248">
        <v>0</v>
      </c>
      <c r="AW31" s="227">
        <f t="shared" si="21"/>
        <v>40581.349999999969</v>
      </c>
      <c r="AX31" s="249">
        <v>0</v>
      </c>
      <c r="AY31" s="225">
        <v>0</v>
      </c>
      <c r="AZ31" s="227"/>
      <c r="BA31" s="250">
        <v>-34996.720000000001</v>
      </c>
      <c r="BB31" s="225">
        <v>0</v>
      </c>
      <c r="BC31" s="225">
        <v>-5584.63</v>
      </c>
      <c r="BD31" s="225">
        <v>5897.1100000000006</v>
      </c>
      <c r="BE31" s="225"/>
      <c r="BF31" s="225"/>
      <c r="BG31" s="225">
        <v>0</v>
      </c>
      <c r="BH31" s="225">
        <v>-250</v>
      </c>
      <c r="BI31" s="225">
        <v>0</v>
      </c>
      <c r="BJ31" s="248"/>
      <c r="BK31" s="248"/>
      <c r="BL31" s="248"/>
      <c r="BM31" s="248">
        <f t="shared" si="12"/>
        <v>5647.1099999999687</v>
      </c>
      <c r="BN31" s="249"/>
      <c r="BO31" s="225"/>
      <c r="BP31" s="248"/>
      <c r="BQ31" s="249"/>
      <c r="BR31" s="225"/>
      <c r="BS31" s="225">
        <v>-8087.27</v>
      </c>
      <c r="BT31" s="225"/>
      <c r="BU31" s="225"/>
      <c r="BV31" s="225"/>
      <c r="BW31" s="225"/>
      <c r="BX31" s="225"/>
      <c r="BY31" s="225"/>
      <c r="BZ31" s="225"/>
      <c r="CA31" s="225"/>
      <c r="CB31" s="225"/>
      <c r="CC31" s="227">
        <f t="shared" si="10"/>
        <v>-2440.1600000000317</v>
      </c>
      <c r="CD31" s="244"/>
      <c r="CE31" s="244"/>
      <c r="CF31" s="244"/>
    </row>
    <row r="32" spans="1:84" x14ac:dyDescent="0.2">
      <c r="A32" s="251" t="s">
        <v>494</v>
      </c>
      <c r="B32" s="247" t="s">
        <v>495</v>
      </c>
      <c r="C32" s="246" t="s">
        <v>496</v>
      </c>
      <c r="D32" s="246" t="s">
        <v>497</v>
      </c>
      <c r="E32" s="247" t="s">
        <v>212</v>
      </c>
      <c r="F32" s="247" t="s">
        <v>709</v>
      </c>
      <c r="G32" s="233" t="str">
        <f t="shared" si="13"/>
        <v>1</v>
      </c>
      <c r="H32" s="233" t="str">
        <f t="shared" si="14"/>
        <v>0</v>
      </c>
      <c r="I32" s="233" t="str">
        <f t="shared" si="15"/>
        <v>0</v>
      </c>
      <c r="J32" s="233" t="str">
        <f t="shared" si="16"/>
        <v>0</v>
      </c>
      <c r="K32" s="233" t="str">
        <f t="shared" si="17"/>
        <v>1000</v>
      </c>
      <c r="L32" s="247" t="str">
        <f t="shared" si="18"/>
        <v>01702136Connect For Success 17-20</v>
      </c>
      <c r="M32" s="225">
        <v>23000</v>
      </c>
      <c r="N32" s="225"/>
      <c r="O32" s="225"/>
      <c r="P32" s="225"/>
      <c r="Q32" s="225">
        <f t="shared" si="19"/>
        <v>23000</v>
      </c>
      <c r="R32" s="225">
        <v>77000</v>
      </c>
      <c r="S32" s="225">
        <v>0</v>
      </c>
      <c r="T32" s="225"/>
      <c r="U32" s="225">
        <v>-14757</v>
      </c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>
        <f t="shared" si="20"/>
        <v>85243</v>
      </c>
      <c r="AG32" s="225"/>
      <c r="AH32" s="225">
        <v>0</v>
      </c>
      <c r="AI32" s="225"/>
      <c r="AJ32" s="225">
        <v>-60685.64</v>
      </c>
      <c r="AK32" s="225"/>
      <c r="AL32" s="225"/>
      <c r="AM32" s="225"/>
      <c r="AN32" s="225">
        <v>0</v>
      </c>
      <c r="AO32" s="225">
        <v>0</v>
      </c>
      <c r="AP32" s="225"/>
      <c r="AQ32" s="225"/>
      <c r="AR32" s="225"/>
      <c r="AS32" s="225"/>
      <c r="AT32" s="248">
        <v>0</v>
      </c>
      <c r="AU32" s="248">
        <v>0</v>
      </c>
      <c r="AV32" s="248">
        <v>-24557.360000000001</v>
      </c>
      <c r="AW32" s="227">
        <f t="shared" si="21"/>
        <v>0</v>
      </c>
      <c r="AX32" s="249">
        <v>0</v>
      </c>
      <c r="AY32" s="225">
        <v>0</v>
      </c>
      <c r="AZ32" s="227"/>
      <c r="BA32" s="250">
        <v>0</v>
      </c>
      <c r="BB32" s="225">
        <v>0</v>
      </c>
      <c r="BC32" s="225">
        <v>0</v>
      </c>
      <c r="BD32" s="225">
        <v>0</v>
      </c>
      <c r="BE32" s="225"/>
      <c r="BF32" s="225"/>
      <c r="BG32" s="225">
        <v>0</v>
      </c>
      <c r="BH32" s="225">
        <v>0</v>
      </c>
      <c r="BI32" s="225">
        <v>0</v>
      </c>
      <c r="BJ32" s="248"/>
      <c r="BK32" s="248"/>
      <c r="BL32" s="248"/>
      <c r="BM32" s="248">
        <f t="shared" si="12"/>
        <v>0</v>
      </c>
      <c r="BN32" s="249"/>
      <c r="BO32" s="225"/>
      <c r="BP32" s="248"/>
      <c r="BQ32" s="249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7">
        <f t="shared" si="10"/>
        <v>0</v>
      </c>
      <c r="CD32" s="244"/>
      <c r="CE32" s="244"/>
      <c r="CF32" s="244"/>
    </row>
    <row r="33" spans="1:84" x14ac:dyDescent="0.2">
      <c r="A33" s="245" t="s">
        <v>15</v>
      </c>
      <c r="B33" s="246" t="s">
        <v>324</v>
      </c>
      <c r="C33" s="246" t="s">
        <v>296</v>
      </c>
      <c r="D33" s="246" t="s">
        <v>325</v>
      </c>
      <c r="E33" s="247" t="s">
        <v>447</v>
      </c>
      <c r="F33" s="247" t="s">
        <v>709</v>
      </c>
      <c r="G33" s="233" t="str">
        <f t="shared" si="13"/>
        <v>0</v>
      </c>
      <c r="H33" s="233" t="str">
        <f t="shared" si="14"/>
        <v>1</v>
      </c>
      <c r="I33" s="233" t="str">
        <f t="shared" si="15"/>
        <v>0</v>
      </c>
      <c r="J33" s="233" t="str">
        <f t="shared" si="16"/>
        <v>0</v>
      </c>
      <c r="K33" s="233" t="str">
        <f t="shared" si="17"/>
        <v>0100</v>
      </c>
      <c r="L33" s="247" t="str">
        <f t="shared" si="18"/>
        <v>01804646Connect For Success 16-19</v>
      </c>
      <c r="M33" s="225">
        <v>0</v>
      </c>
      <c r="N33" s="225"/>
      <c r="O33" s="225"/>
      <c r="P33" s="225"/>
      <c r="Q33" s="225">
        <f t="shared" si="19"/>
        <v>0</v>
      </c>
      <c r="R33" s="225"/>
      <c r="S33" s="225">
        <v>112052</v>
      </c>
      <c r="T33" s="225"/>
      <c r="U33" s="225"/>
      <c r="V33" s="225"/>
      <c r="W33" s="225"/>
      <c r="X33" s="225"/>
      <c r="Y33" s="225"/>
      <c r="Z33" s="225">
        <v>-4234</v>
      </c>
      <c r="AA33" s="225">
        <v>-2149</v>
      </c>
      <c r="AB33" s="225">
        <v>-2753</v>
      </c>
      <c r="AC33" s="225">
        <v>-14095</v>
      </c>
      <c r="AD33" s="225">
        <v>-3116</v>
      </c>
      <c r="AE33" s="225">
        <v>-4801</v>
      </c>
      <c r="AF33" s="225">
        <f t="shared" si="20"/>
        <v>80904</v>
      </c>
      <c r="AG33" s="225"/>
      <c r="AH33" s="225">
        <v>0</v>
      </c>
      <c r="AI33" s="225"/>
      <c r="AJ33" s="225"/>
      <c r="AK33" s="225"/>
      <c r="AL33" s="225"/>
      <c r="AM33" s="225"/>
      <c r="AN33" s="225">
        <v>0</v>
      </c>
      <c r="AO33" s="225">
        <v>0</v>
      </c>
      <c r="AP33" s="225">
        <v>-783.24</v>
      </c>
      <c r="AQ33" s="225">
        <v>-3769.43</v>
      </c>
      <c r="AR33" s="225">
        <v>-29619.909999999996</v>
      </c>
      <c r="AS33" s="225">
        <v>-10693.08</v>
      </c>
      <c r="AT33" s="248">
        <v>-5264.99</v>
      </c>
      <c r="AU33" s="248">
        <v>0</v>
      </c>
      <c r="AV33" s="248">
        <v>0</v>
      </c>
      <c r="AW33" s="227">
        <f t="shared" si="21"/>
        <v>30773.350000000006</v>
      </c>
      <c r="AX33" s="249">
        <v>0</v>
      </c>
      <c r="AY33" s="225">
        <v>0</v>
      </c>
      <c r="AZ33" s="227"/>
      <c r="BA33" s="250">
        <v>-439.84</v>
      </c>
      <c r="BB33" s="225">
        <v>-482</v>
      </c>
      <c r="BC33" s="225">
        <v>-40.340000000000003</v>
      </c>
      <c r="BD33" s="225">
        <v>-8689</v>
      </c>
      <c r="BE33" s="225">
        <v>-9700.3700000000008</v>
      </c>
      <c r="BF33" s="225"/>
      <c r="BG33" s="225">
        <v>0</v>
      </c>
      <c r="BH33" s="225">
        <v>0</v>
      </c>
      <c r="BI33" s="225">
        <v>0</v>
      </c>
      <c r="BJ33" s="248"/>
      <c r="BK33" s="248"/>
      <c r="BL33" s="248"/>
      <c r="BM33" s="248">
        <f t="shared" si="12"/>
        <v>11421.800000000005</v>
      </c>
      <c r="BN33" s="249"/>
      <c r="BO33" s="225"/>
      <c r="BP33" s="248"/>
      <c r="BQ33" s="249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7">
        <f t="shared" si="10"/>
        <v>11421.800000000005</v>
      </c>
      <c r="CD33" s="244"/>
      <c r="CE33" s="244"/>
      <c r="CF33" s="244"/>
    </row>
    <row r="34" spans="1:84" x14ac:dyDescent="0.2">
      <c r="A34" s="251" t="s">
        <v>15</v>
      </c>
      <c r="B34" s="247" t="s">
        <v>321</v>
      </c>
      <c r="C34" s="246" t="s">
        <v>296</v>
      </c>
      <c r="D34" s="246" t="s">
        <v>322</v>
      </c>
      <c r="E34" s="247" t="s">
        <v>447</v>
      </c>
      <c r="F34" s="247" t="s">
        <v>709</v>
      </c>
      <c r="G34" s="233" t="str">
        <f t="shared" si="13"/>
        <v>0</v>
      </c>
      <c r="H34" s="233" t="str">
        <f t="shared" si="14"/>
        <v>1</v>
      </c>
      <c r="I34" s="233" t="str">
        <f t="shared" si="15"/>
        <v>0</v>
      </c>
      <c r="J34" s="233" t="str">
        <f t="shared" si="16"/>
        <v>0</v>
      </c>
      <c r="K34" s="233" t="str">
        <f t="shared" si="17"/>
        <v>0100</v>
      </c>
      <c r="L34" s="247" t="str">
        <f t="shared" si="18"/>
        <v>01807932Connect For Success 16-19</v>
      </c>
      <c r="M34" s="225">
        <v>0</v>
      </c>
      <c r="N34" s="225"/>
      <c r="O34" s="225"/>
      <c r="P34" s="225"/>
      <c r="Q34" s="225">
        <f t="shared" si="19"/>
        <v>0</v>
      </c>
      <c r="R34" s="225"/>
      <c r="S34" s="225">
        <v>93317</v>
      </c>
      <c r="T34" s="225"/>
      <c r="U34" s="225"/>
      <c r="V34" s="225"/>
      <c r="W34" s="225"/>
      <c r="X34" s="225"/>
      <c r="Y34" s="225">
        <v>-5428</v>
      </c>
      <c r="Z34" s="225">
        <v>-5496</v>
      </c>
      <c r="AA34" s="225">
        <v>-4892</v>
      </c>
      <c r="AB34" s="225">
        <v>-5823</v>
      </c>
      <c r="AC34" s="225">
        <v>-11814</v>
      </c>
      <c r="AD34" s="225">
        <v>-7551</v>
      </c>
      <c r="AE34" s="225">
        <v>-8695</v>
      </c>
      <c r="AF34" s="225">
        <f t="shared" si="20"/>
        <v>43618</v>
      </c>
      <c r="AG34" s="225"/>
      <c r="AH34" s="225">
        <v>0</v>
      </c>
      <c r="AI34" s="225"/>
      <c r="AJ34" s="225"/>
      <c r="AK34" s="225"/>
      <c r="AL34" s="225"/>
      <c r="AM34" s="225"/>
      <c r="AN34" s="225">
        <v>0</v>
      </c>
      <c r="AO34" s="225">
        <v>-868.22</v>
      </c>
      <c r="AP34" s="225">
        <v>-260.01</v>
      </c>
      <c r="AQ34" s="225"/>
      <c r="AR34" s="225">
        <v>-28638.68</v>
      </c>
      <c r="AS34" s="225">
        <v>-94.1</v>
      </c>
      <c r="AT34" s="248">
        <v>-5687.82</v>
      </c>
      <c r="AU34" s="248">
        <v>-295</v>
      </c>
      <c r="AV34" s="248">
        <v>-4841.05</v>
      </c>
      <c r="AW34" s="227">
        <f t="shared" si="21"/>
        <v>2933.1199999999963</v>
      </c>
      <c r="AX34" s="249">
        <v>0</v>
      </c>
      <c r="AY34" s="225">
        <v>0</v>
      </c>
      <c r="AZ34" s="227"/>
      <c r="BA34" s="250">
        <v>-1527.75</v>
      </c>
      <c r="BB34" s="225">
        <v>-1234.78</v>
      </c>
      <c r="BC34" s="225">
        <v>0</v>
      </c>
      <c r="BD34" s="225">
        <v>0</v>
      </c>
      <c r="BE34" s="225"/>
      <c r="BF34" s="225"/>
      <c r="BG34" s="225">
        <v>0</v>
      </c>
      <c r="BH34" s="225">
        <v>0</v>
      </c>
      <c r="BI34" s="225">
        <v>0</v>
      </c>
      <c r="BJ34" s="248"/>
      <c r="BK34" s="248"/>
      <c r="BL34" s="248"/>
      <c r="BM34" s="248">
        <f t="shared" si="12"/>
        <v>170.58999999999628</v>
      </c>
      <c r="BN34" s="249"/>
      <c r="BO34" s="225"/>
      <c r="BP34" s="248"/>
      <c r="BQ34" s="249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7">
        <f t="shared" si="10"/>
        <v>170.58999999999628</v>
      </c>
      <c r="CD34" s="244"/>
      <c r="CE34" s="244"/>
      <c r="CF34" s="244"/>
    </row>
    <row r="35" spans="1:84" x14ac:dyDescent="0.2">
      <c r="A35" s="245" t="s">
        <v>455</v>
      </c>
      <c r="B35" s="246" t="s">
        <v>641</v>
      </c>
      <c r="C35" s="246" t="s">
        <v>460</v>
      </c>
      <c r="D35" s="246" t="s">
        <v>654</v>
      </c>
      <c r="E35" s="247" t="s">
        <v>500</v>
      </c>
      <c r="F35" s="247"/>
      <c r="G35" s="233"/>
      <c r="H35" s="233"/>
      <c r="I35" s="233"/>
      <c r="J35" s="233"/>
      <c r="K35" s="233"/>
      <c r="L35" s="247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48"/>
      <c r="AU35" s="248"/>
      <c r="AV35" s="248"/>
      <c r="AW35" s="227"/>
      <c r="AX35" s="249"/>
      <c r="AY35" s="225"/>
      <c r="AZ35" s="227">
        <v>15000</v>
      </c>
      <c r="BA35" s="250"/>
      <c r="BB35" s="225"/>
      <c r="BC35" s="225"/>
      <c r="BD35" s="225"/>
      <c r="BE35" s="225"/>
      <c r="BF35" s="225"/>
      <c r="BG35" s="225"/>
      <c r="BH35" s="225"/>
      <c r="BI35" s="225"/>
      <c r="BJ35" s="248"/>
      <c r="BK35" s="248"/>
      <c r="BL35" s="248"/>
      <c r="BM35" s="248">
        <f t="shared" si="12"/>
        <v>15000</v>
      </c>
      <c r="BN35" s="249"/>
      <c r="BO35" s="225"/>
      <c r="BP35" s="248">
        <v>80000</v>
      </c>
      <c r="BQ35" s="249"/>
      <c r="BR35" s="225"/>
      <c r="BS35" s="225"/>
      <c r="BT35" s="225">
        <v>-1296</v>
      </c>
      <c r="BU35" s="225" t="s">
        <v>701</v>
      </c>
      <c r="BV35" s="225">
        <v>-18476.68</v>
      </c>
      <c r="BW35" s="225"/>
      <c r="BX35" s="225"/>
      <c r="BY35" s="225">
        <v>-13423.71</v>
      </c>
      <c r="BZ35" s="225"/>
      <c r="CA35" s="225"/>
      <c r="CB35" s="225"/>
      <c r="CC35" s="227">
        <f t="shared" si="10"/>
        <v>61803.610000000008</v>
      </c>
      <c r="CD35" s="244"/>
      <c r="CE35" s="244"/>
      <c r="CF35" s="244"/>
    </row>
    <row r="36" spans="1:84" x14ac:dyDescent="0.2">
      <c r="A36" s="251" t="s">
        <v>220</v>
      </c>
      <c r="B36" s="246" t="s">
        <v>34</v>
      </c>
      <c r="C36" s="246" t="s">
        <v>221</v>
      </c>
      <c r="D36" s="246" t="s">
        <v>111</v>
      </c>
      <c r="E36" s="247" t="s">
        <v>212</v>
      </c>
      <c r="F36" s="247" t="s">
        <v>709</v>
      </c>
      <c r="G36" s="233" t="str">
        <f t="shared" ref="G36:G45" si="22">IF(M36&gt;0, "1", "0")</f>
        <v>1</v>
      </c>
      <c r="H36" s="233" t="str">
        <f t="shared" ref="H36:H45" si="23">IF(S36&gt;0, "1", "0")</f>
        <v>0</v>
      </c>
      <c r="I36" s="233" t="str">
        <f t="shared" ref="I36:I45" si="24">IF(AI36&gt;0, "1", "0")</f>
        <v>0</v>
      </c>
      <c r="J36" s="233" t="str">
        <f t="shared" ref="J36:J45" si="25">IF(AZ36&gt;0, "1", "0")</f>
        <v>0</v>
      </c>
      <c r="K36" s="233" t="str">
        <f t="shared" ref="K36:K45" si="26">CONCATENATE(G36,H36,I36,J36)</f>
        <v>1000</v>
      </c>
      <c r="L36" s="247" t="str">
        <f t="shared" ref="L36:L45" si="27">A36&amp;B36&amp;E36</f>
        <v>0580N/AConnect For Success 17-20</v>
      </c>
      <c r="M36" s="225">
        <v>20000</v>
      </c>
      <c r="N36" s="225"/>
      <c r="O36" s="225"/>
      <c r="P36" s="225"/>
      <c r="Q36" s="225">
        <f t="shared" ref="Q36:Q45" si="28">SUM(M36:P36)</f>
        <v>20000</v>
      </c>
      <c r="R36" s="225">
        <v>80000</v>
      </c>
      <c r="S36" s="225">
        <v>0</v>
      </c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>
        <v>-53973</v>
      </c>
      <c r="AF36" s="225">
        <f t="shared" ref="AF36:AF45" si="29">SUM(Q36:AE36)</f>
        <v>46027</v>
      </c>
      <c r="AG36" s="225">
        <v>80000</v>
      </c>
      <c r="AH36" s="225">
        <v>0</v>
      </c>
      <c r="AI36" s="225"/>
      <c r="AJ36" s="225"/>
      <c r="AK36" s="225"/>
      <c r="AL36" s="225"/>
      <c r="AM36" s="225"/>
      <c r="AN36" s="225">
        <v>-67420.77</v>
      </c>
      <c r="AO36" s="225">
        <v>0</v>
      </c>
      <c r="AP36" s="225"/>
      <c r="AQ36" s="225"/>
      <c r="AR36" s="225"/>
      <c r="AS36" s="225">
        <v>-58606.23</v>
      </c>
      <c r="AT36" s="248">
        <v>0</v>
      </c>
      <c r="AU36" s="248">
        <v>0</v>
      </c>
      <c r="AV36" s="248">
        <v>0</v>
      </c>
      <c r="AW36" s="227">
        <f t="shared" ref="AW36:AW45" si="30">SUM(AF36:AV36)</f>
        <v>-7.2759576141834259E-12</v>
      </c>
      <c r="AX36" s="249">
        <v>0</v>
      </c>
      <c r="AY36" s="225">
        <v>0</v>
      </c>
      <c r="AZ36" s="227"/>
      <c r="BA36" s="250">
        <v>0</v>
      </c>
      <c r="BB36" s="225">
        <v>0</v>
      </c>
      <c r="BC36" s="225">
        <v>0</v>
      </c>
      <c r="BD36" s="225">
        <v>0</v>
      </c>
      <c r="BE36" s="225"/>
      <c r="BF36" s="225"/>
      <c r="BG36" s="225">
        <v>0</v>
      </c>
      <c r="BH36" s="225">
        <v>0</v>
      </c>
      <c r="BI36" s="225">
        <v>0</v>
      </c>
      <c r="BJ36" s="248"/>
      <c r="BK36" s="248"/>
      <c r="BL36" s="248"/>
      <c r="BM36" s="248">
        <f t="shared" si="12"/>
        <v>-7.2759576141834259E-12</v>
      </c>
      <c r="BN36" s="249"/>
      <c r="BO36" s="225"/>
      <c r="BP36" s="248"/>
      <c r="BQ36" s="249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7">
        <f t="shared" si="10"/>
        <v>-7.2759576141834259E-12</v>
      </c>
      <c r="CD36" s="244"/>
      <c r="CE36" s="244"/>
      <c r="CF36" s="244"/>
    </row>
    <row r="37" spans="1:84" x14ac:dyDescent="0.2">
      <c r="A37" s="251" t="s">
        <v>23</v>
      </c>
      <c r="B37" s="246" t="s">
        <v>56</v>
      </c>
      <c r="C37" s="246" t="s">
        <v>507</v>
      </c>
      <c r="D37" s="246" t="s">
        <v>132</v>
      </c>
      <c r="E37" s="247" t="s">
        <v>215</v>
      </c>
      <c r="F37" s="247" t="s">
        <v>709</v>
      </c>
      <c r="G37" s="233" t="str">
        <f t="shared" si="22"/>
        <v>0</v>
      </c>
      <c r="H37" s="233" t="str">
        <f t="shared" si="23"/>
        <v>1</v>
      </c>
      <c r="I37" s="233" t="str">
        <f t="shared" si="24"/>
        <v>0</v>
      </c>
      <c r="J37" s="233" t="str">
        <f t="shared" si="25"/>
        <v>0</v>
      </c>
      <c r="K37" s="233" t="str">
        <f t="shared" si="26"/>
        <v>0100</v>
      </c>
      <c r="L37" s="247" t="str">
        <f t="shared" si="27"/>
        <v>08801295Connect For Success 18-21</v>
      </c>
      <c r="M37" s="225"/>
      <c r="N37" s="225"/>
      <c r="O37" s="225"/>
      <c r="P37" s="225"/>
      <c r="Q37" s="225">
        <f t="shared" si="28"/>
        <v>0</v>
      </c>
      <c r="R37" s="225"/>
      <c r="S37" s="225">
        <v>19878</v>
      </c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>
        <f t="shared" si="29"/>
        <v>19878</v>
      </c>
      <c r="AG37" s="225"/>
      <c r="AH37" s="225">
        <v>79993</v>
      </c>
      <c r="AI37" s="225"/>
      <c r="AJ37" s="225"/>
      <c r="AK37" s="225"/>
      <c r="AL37" s="225"/>
      <c r="AM37" s="225"/>
      <c r="AN37" s="225">
        <v>0</v>
      </c>
      <c r="AO37" s="225">
        <v>0</v>
      </c>
      <c r="AP37" s="225"/>
      <c r="AQ37" s="225"/>
      <c r="AR37" s="225"/>
      <c r="AS37" s="225"/>
      <c r="AT37" s="248">
        <v>0</v>
      </c>
      <c r="AU37" s="248">
        <v>0</v>
      </c>
      <c r="AV37" s="248">
        <v>0</v>
      </c>
      <c r="AW37" s="227">
        <f t="shared" si="30"/>
        <v>99871</v>
      </c>
      <c r="AX37" s="249">
        <v>87232</v>
      </c>
      <c r="AY37" s="225">
        <v>0</v>
      </c>
      <c r="AZ37" s="227"/>
      <c r="BA37" s="250">
        <v>0</v>
      </c>
      <c r="BB37" s="225">
        <v>0</v>
      </c>
      <c r="BC37" s="225">
        <v>0</v>
      </c>
      <c r="BD37" s="225">
        <v>0</v>
      </c>
      <c r="BE37" s="225"/>
      <c r="BF37" s="225"/>
      <c r="BG37" s="225">
        <v>0</v>
      </c>
      <c r="BH37" s="225">
        <v>0</v>
      </c>
      <c r="BI37" s="225">
        <v>0</v>
      </c>
      <c r="BJ37" s="248"/>
      <c r="BK37" s="248"/>
      <c r="BL37" s="248"/>
      <c r="BM37" s="248">
        <f t="shared" si="12"/>
        <v>187103</v>
      </c>
      <c r="BN37" s="249"/>
      <c r="BO37" s="225"/>
      <c r="BP37" s="248"/>
      <c r="BQ37" s="249"/>
      <c r="BR37" s="225"/>
      <c r="BS37" s="225"/>
      <c r="BT37" s="225"/>
      <c r="BU37" s="147">
        <v>-67367.31</v>
      </c>
      <c r="BV37" s="225"/>
      <c r="BW37" s="225"/>
      <c r="BX37" s="225"/>
      <c r="BY37" s="225"/>
      <c r="BZ37" s="225"/>
      <c r="CA37" s="225"/>
      <c r="CB37" s="225"/>
      <c r="CC37" s="227">
        <f t="shared" si="10"/>
        <v>119735.69</v>
      </c>
      <c r="CD37" s="244"/>
      <c r="CE37" s="244"/>
      <c r="CF37" s="244"/>
    </row>
    <row r="38" spans="1:84" x14ac:dyDescent="0.2">
      <c r="A38" s="245" t="s">
        <v>23</v>
      </c>
      <c r="B38" s="246" t="s">
        <v>57</v>
      </c>
      <c r="C38" s="246" t="s">
        <v>507</v>
      </c>
      <c r="D38" s="246" t="s">
        <v>326</v>
      </c>
      <c r="E38" s="247" t="s">
        <v>447</v>
      </c>
      <c r="F38" s="247" t="s">
        <v>709</v>
      </c>
      <c r="G38" s="233" t="str">
        <f t="shared" si="22"/>
        <v>0</v>
      </c>
      <c r="H38" s="233" t="str">
        <f t="shared" si="23"/>
        <v>1</v>
      </c>
      <c r="I38" s="233" t="str">
        <f t="shared" si="24"/>
        <v>0</v>
      </c>
      <c r="J38" s="233" t="str">
        <f t="shared" si="25"/>
        <v>0</v>
      </c>
      <c r="K38" s="233" t="str">
        <f t="shared" si="26"/>
        <v>0100</v>
      </c>
      <c r="L38" s="247" t="str">
        <f t="shared" si="27"/>
        <v>08801816Connect For Success 16-19</v>
      </c>
      <c r="M38" s="225">
        <v>0</v>
      </c>
      <c r="N38" s="225"/>
      <c r="O38" s="225"/>
      <c r="P38" s="225"/>
      <c r="Q38" s="225">
        <f t="shared" si="28"/>
        <v>0</v>
      </c>
      <c r="R38" s="225"/>
      <c r="S38" s="225">
        <v>116511</v>
      </c>
      <c r="T38" s="225"/>
      <c r="U38" s="225"/>
      <c r="V38" s="225"/>
      <c r="W38" s="225"/>
      <c r="X38" s="225"/>
      <c r="Y38" s="225"/>
      <c r="Z38" s="225">
        <v>-33663</v>
      </c>
      <c r="AA38" s="225"/>
      <c r="AB38" s="225"/>
      <c r="AC38" s="225">
        <v>-39723</v>
      </c>
      <c r="AD38" s="225"/>
      <c r="AE38" s="225"/>
      <c r="AF38" s="225">
        <f t="shared" si="29"/>
        <v>43125</v>
      </c>
      <c r="AG38" s="225"/>
      <c r="AH38" s="225">
        <v>0</v>
      </c>
      <c r="AI38" s="225"/>
      <c r="AJ38" s="225"/>
      <c r="AK38" s="225"/>
      <c r="AL38" s="225"/>
      <c r="AM38" s="225"/>
      <c r="AN38" s="225">
        <v>0</v>
      </c>
      <c r="AO38" s="225">
        <v>0</v>
      </c>
      <c r="AP38" s="225"/>
      <c r="AQ38" s="225"/>
      <c r="AR38" s="225"/>
      <c r="AS38" s="225"/>
      <c r="AT38" s="248">
        <v>0</v>
      </c>
      <c r="AU38" s="248">
        <v>0</v>
      </c>
      <c r="AV38" s="248">
        <v>0</v>
      </c>
      <c r="AW38" s="227">
        <f t="shared" si="30"/>
        <v>43125</v>
      </c>
      <c r="AX38" s="249">
        <v>0</v>
      </c>
      <c r="AY38" s="225">
        <v>0</v>
      </c>
      <c r="AZ38" s="227"/>
      <c r="BA38" s="250">
        <v>0</v>
      </c>
      <c r="BB38" s="225">
        <v>0</v>
      </c>
      <c r="BC38" s="225">
        <v>0</v>
      </c>
      <c r="BD38" s="225">
        <v>0</v>
      </c>
      <c r="BE38" s="225"/>
      <c r="BF38" s="225"/>
      <c r="BG38" s="225">
        <v>0</v>
      </c>
      <c r="BH38" s="225">
        <v>0</v>
      </c>
      <c r="BI38" s="225">
        <v>0</v>
      </c>
      <c r="BJ38" s="248"/>
      <c r="BK38" s="248"/>
      <c r="BL38" s="248"/>
      <c r="BM38" s="248">
        <f t="shared" si="12"/>
        <v>43125</v>
      </c>
      <c r="BN38" s="249"/>
      <c r="BO38" s="225"/>
      <c r="BP38" s="248"/>
      <c r="BQ38" s="249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7">
        <f t="shared" si="10"/>
        <v>43125</v>
      </c>
      <c r="CD38" s="244"/>
      <c r="CE38" s="244"/>
      <c r="CF38" s="244"/>
    </row>
    <row r="39" spans="1:84" x14ac:dyDescent="0.2">
      <c r="A39" s="245" t="s">
        <v>23</v>
      </c>
      <c r="B39" s="246" t="s">
        <v>327</v>
      </c>
      <c r="C39" s="246" t="s">
        <v>507</v>
      </c>
      <c r="D39" s="246" t="s">
        <v>328</v>
      </c>
      <c r="E39" s="247" t="s">
        <v>447</v>
      </c>
      <c r="F39" s="247" t="s">
        <v>709</v>
      </c>
      <c r="G39" s="233" t="str">
        <f t="shared" si="22"/>
        <v>0</v>
      </c>
      <c r="H39" s="233" t="str">
        <f t="shared" si="23"/>
        <v>1</v>
      </c>
      <c r="I39" s="233" t="str">
        <f t="shared" si="24"/>
        <v>0</v>
      </c>
      <c r="J39" s="233" t="str">
        <f t="shared" si="25"/>
        <v>0</v>
      </c>
      <c r="K39" s="233" t="str">
        <f t="shared" si="26"/>
        <v>0100</v>
      </c>
      <c r="L39" s="247" t="str">
        <f t="shared" si="27"/>
        <v>08802364Connect For Success 16-19</v>
      </c>
      <c r="M39" s="225">
        <v>0</v>
      </c>
      <c r="N39" s="225"/>
      <c r="O39" s="225"/>
      <c r="P39" s="225"/>
      <c r="Q39" s="225">
        <f t="shared" si="28"/>
        <v>0</v>
      </c>
      <c r="R39" s="225"/>
      <c r="S39" s="225">
        <v>99026</v>
      </c>
      <c r="T39" s="225"/>
      <c r="U39" s="225"/>
      <c r="V39" s="225"/>
      <c r="W39" s="225"/>
      <c r="X39" s="225"/>
      <c r="Y39" s="225"/>
      <c r="Z39" s="225">
        <v>-36199</v>
      </c>
      <c r="AA39" s="225"/>
      <c r="AB39" s="225"/>
      <c r="AC39" s="225">
        <v>-33372</v>
      </c>
      <c r="AD39" s="225"/>
      <c r="AE39" s="225"/>
      <c r="AF39" s="225">
        <f t="shared" si="29"/>
        <v>29455</v>
      </c>
      <c r="AG39" s="225"/>
      <c r="AH39" s="225">
        <v>0</v>
      </c>
      <c r="AI39" s="225"/>
      <c r="AJ39" s="225"/>
      <c r="AK39" s="225"/>
      <c r="AL39" s="225"/>
      <c r="AM39" s="225"/>
      <c r="AN39" s="225">
        <v>0</v>
      </c>
      <c r="AO39" s="225">
        <v>0</v>
      </c>
      <c r="AP39" s="225"/>
      <c r="AQ39" s="225"/>
      <c r="AR39" s="225"/>
      <c r="AS39" s="225"/>
      <c r="AT39" s="248">
        <v>0</v>
      </c>
      <c r="AU39" s="248">
        <v>0</v>
      </c>
      <c r="AV39" s="248">
        <v>0</v>
      </c>
      <c r="AW39" s="227">
        <f t="shared" si="30"/>
        <v>29455</v>
      </c>
      <c r="AX39" s="249">
        <v>0</v>
      </c>
      <c r="AY39" s="225">
        <v>0</v>
      </c>
      <c r="AZ39" s="227"/>
      <c r="BA39" s="250">
        <v>0</v>
      </c>
      <c r="BB39" s="225">
        <v>0</v>
      </c>
      <c r="BC39" s="225">
        <v>0</v>
      </c>
      <c r="BD39" s="225">
        <v>-29455</v>
      </c>
      <c r="BE39" s="225"/>
      <c r="BF39" s="225"/>
      <c r="BG39" s="225">
        <v>0</v>
      </c>
      <c r="BH39" s="225">
        <v>0</v>
      </c>
      <c r="BI39" s="225">
        <v>0</v>
      </c>
      <c r="BJ39" s="248"/>
      <c r="BK39" s="248"/>
      <c r="BL39" s="248"/>
      <c r="BM39" s="248">
        <f t="shared" si="12"/>
        <v>0</v>
      </c>
      <c r="BN39" s="249"/>
      <c r="BO39" s="225"/>
      <c r="BP39" s="248"/>
      <c r="BQ39" s="249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7">
        <f t="shared" si="10"/>
        <v>0</v>
      </c>
      <c r="CD39" s="244"/>
      <c r="CE39" s="244"/>
      <c r="CF39" s="244"/>
    </row>
    <row r="40" spans="1:84" x14ac:dyDescent="0.2">
      <c r="A40" s="251" t="s">
        <v>23</v>
      </c>
      <c r="B40" s="246" t="s">
        <v>65</v>
      </c>
      <c r="C40" s="246" t="s">
        <v>507</v>
      </c>
      <c r="D40" s="246" t="s">
        <v>617</v>
      </c>
      <c r="E40" s="247" t="s">
        <v>215</v>
      </c>
      <c r="F40" s="247" t="s">
        <v>709</v>
      </c>
      <c r="G40" s="233" t="str">
        <f t="shared" si="22"/>
        <v>0</v>
      </c>
      <c r="H40" s="233" t="str">
        <f t="shared" si="23"/>
        <v>1</v>
      </c>
      <c r="I40" s="233" t="str">
        <f t="shared" si="24"/>
        <v>0</v>
      </c>
      <c r="J40" s="233" t="str">
        <f t="shared" si="25"/>
        <v>0</v>
      </c>
      <c r="K40" s="233" t="str">
        <f t="shared" si="26"/>
        <v>0100</v>
      </c>
      <c r="L40" s="247" t="str">
        <f t="shared" si="27"/>
        <v>08803655Connect For Success 18-21</v>
      </c>
      <c r="M40" s="225"/>
      <c r="N40" s="225"/>
      <c r="O40" s="225"/>
      <c r="P40" s="225"/>
      <c r="Q40" s="225">
        <f t="shared" si="28"/>
        <v>0</v>
      </c>
      <c r="R40" s="225"/>
      <c r="S40" s="225">
        <v>19878</v>
      </c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>
        <f t="shared" si="29"/>
        <v>19878</v>
      </c>
      <c r="AG40" s="225"/>
      <c r="AH40" s="225">
        <v>79993</v>
      </c>
      <c r="AI40" s="225"/>
      <c r="AJ40" s="225"/>
      <c r="AK40" s="225"/>
      <c r="AL40" s="225"/>
      <c r="AM40" s="225"/>
      <c r="AN40" s="225">
        <v>0</v>
      </c>
      <c r="AO40" s="225">
        <v>0</v>
      </c>
      <c r="AP40" s="225"/>
      <c r="AQ40" s="225"/>
      <c r="AR40" s="225"/>
      <c r="AS40" s="225"/>
      <c r="AT40" s="248">
        <v>0</v>
      </c>
      <c r="AU40" s="248">
        <v>0</v>
      </c>
      <c r="AV40" s="248">
        <v>0</v>
      </c>
      <c r="AW40" s="227">
        <f t="shared" si="30"/>
        <v>99871</v>
      </c>
      <c r="AX40" s="249">
        <v>87232</v>
      </c>
      <c r="AY40" s="225">
        <v>0</v>
      </c>
      <c r="AZ40" s="227"/>
      <c r="BA40" s="250">
        <v>0</v>
      </c>
      <c r="BB40" s="225">
        <v>0</v>
      </c>
      <c r="BC40" s="225">
        <v>0</v>
      </c>
      <c r="BD40" s="225">
        <v>0</v>
      </c>
      <c r="BE40" s="225"/>
      <c r="BF40" s="225"/>
      <c r="BG40" s="225">
        <v>0</v>
      </c>
      <c r="BH40" s="225">
        <v>0</v>
      </c>
      <c r="BI40" s="225">
        <v>0</v>
      </c>
      <c r="BJ40" s="248"/>
      <c r="BK40" s="248"/>
      <c r="BL40" s="248"/>
      <c r="BM40" s="248">
        <f t="shared" si="12"/>
        <v>187103</v>
      </c>
      <c r="BN40" s="249"/>
      <c r="BO40" s="225"/>
      <c r="BP40" s="248"/>
      <c r="BQ40" s="249"/>
      <c r="BR40" s="225"/>
      <c r="BS40" s="225"/>
      <c r="BT40" s="225"/>
      <c r="BU40" s="252">
        <f>-76228.8-379.24-4.38-99122.71</f>
        <v>-175735.13</v>
      </c>
      <c r="BV40" s="225"/>
      <c r="BW40" s="225"/>
      <c r="BX40" s="225"/>
      <c r="BY40" s="225"/>
      <c r="BZ40" s="225"/>
      <c r="CA40" s="225"/>
      <c r="CB40" s="225"/>
      <c r="CC40" s="227">
        <f t="shared" si="10"/>
        <v>11367.869999999995</v>
      </c>
      <c r="CD40" s="244"/>
      <c r="CE40" s="244"/>
      <c r="CF40" s="244"/>
    </row>
    <row r="41" spans="1:84" x14ac:dyDescent="0.2">
      <c r="A41" s="251" t="s">
        <v>23</v>
      </c>
      <c r="B41" s="247" t="s">
        <v>450</v>
      </c>
      <c r="C41" s="246" t="s">
        <v>507</v>
      </c>
      <c r="D41" s="246" t="s">
        <v>618</v>
      </c>
      <c r="E41" s="247" t="s">
        <v>216</v>
      </c>
      <c r="F41" s="247" t="s">
        <v>709</v>
      </c>
      <c r="G41" s="233" t="str">
        <f t="shared" si="22"/>
        <v>0</v>
      </c>
      <c r="H41" s="233" t="str">
        <f t="shared" si="23"/>
        <v>0</v>
      </c>
      <c r="I41" s="233" t="str">
        <f t="shared" si="24"/>
        <v>0</v>
      </c>
      <c r="J41" s="233" t="str">
        <f t="shared" si="25"/>
        <v>0</v>
      </c>
      <c r="K41" s="233" t="str">
        <f t="shared" si="26"/>
        <v>0000</v>
      </c>
      <c r="L41" s="247" t="str">
        <f t="shared" si="27"/>
        <v>08803699Connect For Success 19-22</v>
      </c>
      <c r="M41" s="225"/>
      <c r="N41" s="225"/>
      <c r="O41" s="225"/>
      <c r="P41" s="225"/>
      <c r="Q41" s="225">
        <f t="shared" si="28"/>
        <v>0</v>
      </c>
      <c r="R41" s="225"/>
      <c r="S41" s="225">
        <v>0</v>
      </c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>
        <f t="shared" si="29"/>
        <v>0</v>
      </c>
      <c r="AG41" s="225"/>
      <c r="AH41" s="225">
        <v>0</v>
      </c>
      <c r="AI41" s="225"/>
      <c r="AJ41" s="225"/>
      <c r="AK41" s="225"/>
      <c r="AL41" s="225"/>
      <c r="AM41" s="225"/>
      <c r="AN41" s="225">
        <v>0</v>
      </c>
      <c r="AO41" s="225">
        <v>0</v>
      </c>
      <c r="AP41" s="225"/>
      <c r="AQ41" s="225"/>
      <c r="AR41" s="225"/>
      <c r="AS41" s="225"/>
      <c r="AT41" s="248">
        <v>0</v>
      </c>
      <c r="AU41" s="248">
        <v>0</v>
      </c>
      <c r="AV41" s="248">
        <v>0</v>
      </c>
      <c r="AW41" s="227">
        <f t="shared" si="30"/>
        <v>0</v>
      </c>
      <c r="AX41" s="249"/>
      <c r="AY41" s="225">
        <v>0</v>
      </c>
      <c r="AZ41" s="227"/>
      <c r="BA41" s="250">
        <v>0</v>
      </c>
      <c r="BB41" s="225">
        <v>0</v>
      </c>
      <c r="BC41" s="225">
        <v>0</v>
      </c>
      <c r="BD41" s="225">
        <v>0</v>
      </c>
      <c r="BE41" s="225"/>
      <c r="BF41" s="225"/>
      <c r="BG41" s="225">
        <v>0</v>
      </c>
      <c r="BH41" s="225">
        <v>0</v>
      </c>
      <c r="BI41" s="225">
        <v>0</v>
      </c>
      <c r="BJ41" s="248"/>
      <c r="BK41" s="248"/>
      <c r="BL41" s="248"/>
      <c r="BM41" s="248">
        <f t="shared" si="12"/>
        <v>0</v>
      </c>
      <c r="BN41" s="249"/>
      <c r="BO41" s="225"/>
      <c r="BP41" s="248"/>
      <c r="BQ41" s="249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7">
        <f t="shared" si="10"/>
        <v>0</v>
      </c>
      <c r="CD41" s="244"/>
      <c r="CE41" s="244"/>
      <c r="CF41" s="244"/>
    </row>
    <row r="42" spans="1:84" x14ac:dyDescent="0.2">
      <c r="A42" s="251" t="s">
        <v>23</v>
      </c>
      <c r="B42" s="246" t="s">
        <v>393</v>
      </c>
      <c r="C42" s="246" t="s">
        <v>507</v>
      </c>
      <c r="D42" s="246" t="s">
        <v>619</v>
      </c>
      <c r="E42" s="247" t="s">
        <v>215</v>
      </c>
      <c r="F42" s="247" t="s">
        <v>709</v>
      </c>
      <c r="G42" s="233" t="str">
        <f t="shared" si="22"/>
        <v>0</v>
      </c>
      <c r="H42" s="233" t="str">
        <f t="shared" si="23"/>
        <v>1</v>
      </c>
      <c r="I42" s="233" t="str">
        <f t="shared" si="24"/>
        <v>0</v>
      </c>
      <c r="J42" s="233" t="str">
        <f t="shared" si="25"/>
        <v>0</v>
      </c>
      <c r="K42" s="233" t="str">
        <f t="shared" si="26"/>
        <v>0100</v>
      </c>
      <c r="L42" s="247" t="str">
        <f t="shared" si="27"/>
        <v>08804049Connect For Success 18-21</v>
      </c>
      <c r="M42" s="225"/>
      <c r="N42" s="225"/>
      <c r="O42" s="225"/>
      <c r="P42" s="225"/>
      <c r="Q42" s="225">
        <f t="shared" si="28"/>
        <v>0</v>
      </c>
      <c r="R42" s="225"/>
      <c r="S42" s="225">
        <v>21560</v>
      </c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>
        <f t="shared" si="29"/>
        <v>21560</v>
      </c>
      <c r="AG42" s="225"/>
      <c r="AH42" s="225">
        <v>78432</v>
      </c>
      <c r="AI42" s="225"/>
      <c r="AJ42" s="225"/>
      <c r="AK42" s="225"/>
      <c r="AL42" s="225"/>
      <c r="AM42" s="225">
        <v>-2463.65</v>
      </c>
      <c r="AN42" s="225">
        <v>0</v>
      </c>
      <c r="AO42" s="225">
        <v>0</v>
      </c>
      <c r="AP42" s="225"/>
      <c r="AQ42" s="225"/>
      <c r="AR42" s="225"/>
      <c r="AS42" s="225"/>
      <c r="AT42" s="248">
        <v>0</v>
      </c>
      <c r="AU42" s="248">
        <v>0</v>
      </c>
      <c r="AV42" s="248">
        <v>0</v>
      </c>
      <c r="AW42" s="227">
        <f t="shared" si="30"/>
        <v>97528.35</v>
      </c>
      <c r="AX42" s="249">
        <v>87232</v>
      </c>
      <c r="AY42" s="225">
        <v>0</v>
      </c>
      <c r="AZ42" s="227"/>
      <c r="BA42" s="250">
        <v>0</v>
      </c>
      <c r="BB42" s="225">
        <v>0</v>
      </c>
      <c r="BC42" s="225">
        <v>-19096.349999999999</v>
      </c>
      <c r="BD42" s="225">
        <v>-68386.570000000007</v>
      </c>
      <c r="BE42" s="225"/>
      <c r="BF42" s="225"/>
      <c r="BG42" s="225">
        <v>0</v>
      </c>
      <c r="BH42" s="225">
        <v>0</v>
      </c>
      <c r="BI42" s="225">
        <v>0</v>
      </c>
      <c r="BJ42" s="248"/>
      <c r="BK42" s="248"/>
      <c r="BL42" s="248"/>
      <c r="BM42" s="248">
        <f t="shared" si="12"/>
        <v>97277.43</v>
      </c>
      <c r="BN42" s="249"/>
      <c r="BO42" s="225"/>
      <c r="BP42" s="248"/>
      <c r="BQ42" s="249"/>
      <c r="BR42" s="225">
        <v>19096.349999999999</v>
      </c>
      <c r="BS42" s="225"/>
      <c r="BT42" s="225"/>
      <c r="BU42" s="252">
        <v>-90170.5</v>
      </c>
      <c r="BV42" s="225"/>
      <c r="BW42" s="225"/>
      <c r="BX42" s="225"/>
      <c r="BY42" s="225"/>
      <c r="BZ42" s="225"/>
      <c r="CA42" s="225"/>
      <c r="CB42" s="225"/>
      <c r="CC42" s="227">
        <f t="shared" si="10"/>
        <v>26203.279999999999</v>
      </c>
      <c r="CD42" s="244"/>
      <c r="CE42" s="244"/>
      <c r="CF42" s="244"/>
    </row>
    <row r="43" spans="1:84" x14ac:dyDescent="0.2">
      <c r="A43" s="251" t="s">
        <v>23</v>
      </c>
      <c r="B43" s="246" t="s">
        <v>394</v>
      </c>
      <c r="C43" s="246" t="s">
        <v>507</v>
      </c>
      <c r="D43" s="246" t="s">
        <v>620</v>
      </c>
      <c r="E43" s="247" t="s">
        <v>215</v>
      </c>
      <c r="F43" s="247" t="s">
        <v>709</v>
      </c>
      <c r="G43" s="233" t="str">
        <f t="shared" si="22"/>
        <v>0</v>
      </c>
      <c r="H43" s="233" t="str">
        <f t="shared" si="23"/>
        <v>1</v>
      </c>
      <c r="I43" s="233" t="str">
        <f t="shared" si="24"/>
        <v>0</v>
      </c>
      <c r="J43" s="233" t="str">
        <f t="shared" si="25"/>
        <v>0</v>
      </c>
      <c r="K43" s="233" t="str">
        <f t="shared" si="26"/>
        <v>0100</v>
      </c>
      <c r="L43" s="247" t="str">
        <f t="shared" si="27"/>
        <v>08804383Connect For Success 18-21</v>
      </c>
      <c r="M43" s="225"/>
      <c r="N43" s="225"/>
      <c r="O43" s="225"/>
      <c r="P43" s="225"/>
      <c r="Q43" s="225">
        <f t="shared" si="28"/>
        <v>0</v>
      </c>
      <c r="R43" s="225"/>
      <c r="S43" s="225">
        <v>19878</v>
      </c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>
        <f t="shared" si="29"/>
        <v>19878</v>
      </c>
      <c r="AG43" s="225"/>
      <c r="AH43" s="225">
        <v>79993</v>
      </c>
      <c r="AI43" s="225"/>
      <c r="AJ43" s="225"/>
      <c r="AK43" s="225"/>
      <c r="AL43" s="225"/>
      <c r="AM43" s="225"/>
      <c r="AN43" s="225">
        <v>0</v>
      </c>
      <c r="AO43" s="225">
        <v>0</v>
      </c>
      <c r="AP43" s="225"/>
      <c r="AQ43" s="225"/>
      <c r="AR43" s="225"/>
      <c r="AS43" s="225"/>
      <c r="AT43" s="248">
        <v>0</v>
      </c>
      <c r="AU43" s="248">
        <v>0</v>
      </c>
      <c r="AV43" s="248">
        <v>0</v>
      </c>
      <c r="AW43" s="227">
        <f t="shared" si="30"/>
        <v>99871</v>
      </c>
      <c r="AX43" s="249">
        <v>87232</v>
      </c>
      <c r="AY43" s="225">
        <v>0</v>
      </c>
      <c r="AZ43" s="227"/>
      <c r="BA43" s="250">
        <v>0</v>
      </c>
      <c r="BB43" s="225">
        <v>0</v>
      </c>
      <c r="BC43" s="225">
        <v>0</v>
      </c>
      <c r="BD43" s="225">
        <v>0</v>
      </c>
      <c r="BE43" s="225"/>
      <c r="BF43" s="225"/>
      <c r="BG43" s="225">
        <v>0</v>
      </c>
      <c r="BH43" s="225">
        <v>0</v>
      </c>
      <c r="BI43" s="225">
        <v>0</v>
      </c>
      <c r="BJ43" s="248"/>
      <c r="BK43" s="248"/>
      <c r="BL43" s="248"/>
      <c r="BM43" s="248">
        <f t="shared" si="12"/>
        <v>187103</v>
      </c>
      <c r="BN43" s="249"/>
      <c r="BO43" s="225"/>
      <c r="BP43" s="248"/>
      <c r="BQ43" s="249"/>
      <c r="BR43" s="225"/>
      <c r="BS43" s="225"/>
      <c r="BT43" s="225"/>
      <c r="BU43" s="225">
        <v>-179328.91</v>
      </c>
      <c r="BV43" s="225"/>
      <c r="BW43" s="225"/>
      <c r="BX43" s="225"/>
      <c r="BY43" s="225"/>
      <c r="BZ43" s="225"/>
      <c r="CA43" s="225"/>
      <c r="CB43" s="225"/>
      <c r="CC43" s="227">
        <f t="shared" si="10"/>
        <v>7774.0899999999965</v>
      </c>
      <c r="CD43" s="244"/>
      <c r="CE43" s="244"/>
      <c r="CF43" s="244"/>
    </row>
    <row r="44" spans="1:84" x14ac:dyDescent="0.2">
      <c r="A44" s="245" t="s">
        <v>23</v>
      </c>
      <c r="B44" s="246" t="s">
        <v>329</v>
      </c>
      <c r="C44" s="246" t="s">
        <v>507</v>
      </c>
      <c r="D44" s="246" t="s">
        <v>330</v>
      </c>
      <c r="E44" s="247" t="s">
        <v>447</v>
      </c>
      <c r="F44" s="247" t="s">
        <v>709</v>
      </c>
      <c r="G44" s="233" t="str">
        <f t="shared" si="22"/>
        <v>0</v>
      </c>
      <c r="H44" s="233" t="str">
        <f t="shared" si="23"/>
        <v>1</v>
      </c>
      <c r="I44" s="233" t="str">
        <f t="shared" si="24"/>
        <v>0</v>
      </c>
      <c r="J44" s="233" t="str">
        <f t="shared" si="25"/>
        <v>0</v>
      </c>
      <c r="K44" s="233" t="str">
        <f t="shared" si="26"/>
        <v>0100</v>
      </c>
      <c r="L44" s="247" t="str">
        <f t="shared" si="27"/>
        <v>08804450Connect For Success 16-19</v>
      </c>
      <c r="M44" s="225">
        <v>0</v>
      </c>
      <c r="N44" s="225"/>
      <c r="O44" s="225"/>
      <c r="P44" s="225"/>
      <c r="Q44" s="225">
        <f t="shared" si="28"/>
        <v>0</v>
      </c>
      <c r="R44" s="225"/>
      <c r="S44" s="225">
        <v>102734</v>
      </c>
      <c r="T44" s="225"/>
      <c r="U44" s="225"/>
      <c r="V44" s="225"/>
      <c r="W44" s="225"/>
      <c r="X44" s="225"/>
      <c r="Y44" s="225"/>
      <c r="Z44" s="225">
        <v>-33630</v>
      </c>
      <c r="AA44" s="225"/>
      <c r="AB44" s="225"/>
      <c r="AC44" s="225">
        <v>-40700</v>
      </c>
      <c r="AD44" s="225"/>
      <c r="AE44" s="225"/>
      <c r="AF44" s="225">
        <f t="shared" si="29"/>
        <v>28404</v>
      </c>
      <c r="AG44" s="225"/>
      <c r="AH44" s="225">
        <v>0</v>
      </c>
      <c r="AI44" s="225"/>
      <c r="AJ44" s="225"/>
      <c r="AK44" s="225"/>
      <c r="AL44" s="225"/>
      <c r="AM44" s="225"/>
      <c r="AN44" s="225">
        <v>0</v>
      </c>
      <c r="AO44" s="225">
        <v>0</v>
      </c>
      <c r="AP44" s="225"/>
      <c r="AQ44" s="225"/>
      <c r="AR44" s="225"/>
      <c r="AS44" s="225"/>
      <c r="AT44" s="248">
        <v>0</v>
      </c>
      <c r="AU44" s="248">
        <v>0</v>
      </c>
      <c r="AV44" s="248">
        <v>0</v>
      </c>
      <c r="AW44" s="227">
        <f t="shared" si="30"/>
        <v>28404</v>
      </c>
      <c r="AX44" s="249"/>
      <c r="AY44" s="225">
        <v>0</v>
      </c>
      <c r="AZ44" s="227"/>
      <c r="BA44" s="250">
        <v>0</v>
      </c>
      <c r="BB44" s="225">
        <v>0</v>
      </c>
      <c r="BC44" s="225">
        <v>0</v>
      </c>
      <c r="BD44" s="225">
        <v>-25845.65</v>
      </c>
      <c r="BE44" s="225"/>
      <c r="BF44" s="225"/>
      <c r="BG44" s="225">
        <v>0</v>
      </c>
      <c r="BH44" s="225">
        <v>0</v>
      </c>
      <c r="BI44" s="225">
        <v>0</v>
      </c>
      <c r="BJ44" s="248"/>
      <c r="BK44" s="248"/>
      <c r="BL44" s="248"/>
      <c r="BM44" s="248">
        <f t="shared" si="12"/>
        <v>2558.3499999999985</v>
      </c>
      <c r="BN44" s="249"/>
      <c r="BO44" s="225"/>
      <c r="BP44" s="248"/>
      <c r="BQ44" s="249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7">
        <f t="shared" si="10"/>
        <v>2558.3499999999985</v>
      </c>
      <c r="CD44" s="244"/>
      <c r="CE44" s="244"/>
      <c r="CF44" s="244"/>
    </row>
    <row r="45" spans="1:84" x14ac:dyDescent="0.2">
      <c r="A45" s="245" t="s">
        <v>23</v>
      </c>
      <c r="B45" s="246" t="s">
        <v>66</v>
      </c>
      <c r="C45" s="246" t="s">
        <v>507</v>
      </c>
      <c r="D45" s="246" t="s">
        <v>331</v>
      </c>
      <c r="E45" s="247" t="s">
        <v>447</v>
      </c>
      <c r="F45" s="247" t="s">
        <v>709</v>
      </c>
      <c r="G45" s="233" t="str">
        <f t="shared" si="22"/>
        <v>0</v>
      </c>
      <c r="H45" s="233" t="str">
        <f t="shared" si="23"/>
        <v>1</v>
      </c>
      <c r="I45" s="233" t="str">
        <f t="shared" si="24"/>
        <v>0</v>
      </c>
      <c r="J45" s="233" t="str">
        <f t="shared" si="25"/>
        <v>0</v>
      </c>
      <c r="K45" s="233" t="str">
        <f t="shared" si="26"/>
        <v>0100</v>
      </c>
      <c r="L45" s="247" t="str">
        <f t="shared" si="27"/>
        <v>08804782Connect For Success 16-19</v>
      </c>
      <c r="M45" s="225">
        <v>0</v>
      </c>
      <c r="N45" s="225"/>
      <c r="O45" s="225"/>
      <c r="P45" s="225"/>
      <c r="Q45" s="225">
        <f t="shared" si="28"/>
        <v>0</v>
      </c>
      <c r="R45" s="225"/>
      <c r="S45" s="225">
        <v>107981</v>
      </c>
      <c r="T45" s="225"/>
      <c r="U45" s="225"/>
      <c r="V45" s="225"/>
      <c r="W45" s="225"/>
      <c r="X45" s="225"/>
      <c r="Y45" s="225"/>
      <c r="Z45" s="225">
        <v>-40275</v>
      </c>
      <c r="AA45" s="225"/>
      <c r="AB45" s="225"/>
      <c r="AC45" s="225">
        <v>-46708</v>
      </c>
      <c r="AD45" s="225"/>
      <c r="AE45" s="225"/>
      <c r="AF45" s="225">
        <f t="shared" si="29"/>
        <v>20998</v>
      </c>
      <c r="AG45" s="225"/>
      <c r="AH45" s="225">
        <v>0</v>
      </c>
      <c r="AI45" s="225"/>
      <c r="AJ45" s="225"/>
      <c r="AK45" s="225"/>
      <c r="AL45" s="225"/>
      <c r="AM45" s="225"/>
      <c r="AN45" s="225">
        <v>0</v>
      </c>
      <c r="AO45" s="225">
        <v>0</v>
      </c>
      <c r="AP45" s="225"/>
      <c r="AQ45" s="225"/>
      <c r="AR45" s="225"/>
      <c r="AS45" s="225"/>
      <c r="AT45" s="248">
        <v>0</v>
      </c>
      <c r="AU45" s="248">
        <v>0</v>
      </c>
      <c r="AV45" s="248">
        <v>0</v>
      </c>
      <c r="AW45" s="227">
        <f t="shared" si="30"/>
        <v>20998</v>
      </c>
      <c r="AX45" s="249"/>
      <c r="AY45" s="225">
        <v>0</v>
      </c>
      <c r="AZ45" s="227"/>
      <c r="BA45" s="250">
        <v>0</v>
      </c>
      <c r="BB45" s="225">
        <v>0</v>
      </c>
      <c r="BC45" s="225">
        <v>0</v>
      </c>
      <c r="BD45" s="225">
        <v>0</v>
      </c>
      <c r="BE45" s="225"/>
      <c r="BF45" s="225"/>
      <c r="BG45" s="225">
        <v>0</v>
      </c>
      <c r="BH45" s="225">
        <v>0</v>
      </c>
      <c r="BI45" s="225">
        <v>0</v>
      </c>
      <c r="BJ45" s="248"/>
      <c r="BK45" s="248"/>
      <c r="BL45" s="248">
        <v>-20971.02</v>
      </c>
      <c r="BM45" s="248">
        <f t="shared" si="12"/>
        <v>26.979999999999563</v>
      </c>
      <c r="BN45" s="249"/>
      <c r="BO45" s="225"/>
      <c r="BP45" s="248"/>
      <c r="BQ45" s="249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7">
        <f t="shared" si="10"/>
        <v>26.979999999999563</v>
      </c>
      <c r="CD45" s="244"/>
      <c r="CE45" s="244"/>
      <c r="CF45" s="244"/>
    </row>
    <row r="46" spans="1:84" x14ac:dyDescent="0.2">
      <c r="A46" s="245" t="s">
        <v>23</v>
      </c>
      <c r="B46" s="246" t="s">
        <v>416</v>
      </c>
      <c r="C46" s="246" t="s">
        <v>507</v>
      </c>
      <c r="D46" s="246" t="s">
        <v>539</v>
      </c>
      <c r="E46" s="247" t="s">
        <v>500</v>
      </c>
      <c r="F46" s="247"/>
      <c r="G46" s="233"/>
      <c r="H46" s="233"/>
      <c r="I46" s="233"/>
      <c r="J46" s="233"/>
      <c r="K46" s="233"/>
      <c r="L46" s="247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48"/>
      <c r="AU46" s="248"/>
      <c r="AV46" s="248"/>
      <c r="AW46" s="227"/>
      <c r="AX46" s="249"/>
      <c r="AY46" s="225"/>
      <c r="AZ46" s="227">
        <v>20000</v>
      </c>
      <c r="BA46" s="250"/>
      <c r="BB46" s="225"/>
      <c r="BC46" s="225"/>
      <c r="BD46" s="225"/>
      <c r="BE46" s="225"/>
      <c r="BF46" s="225"/>
      <c r="BG46" s="225"/>
      <c r="BH46" s="225"/>
      <c r="BI46" s="225"/>
      <c r="BJ46" s="248"/>
      <c r="BK46" s="248"/>
      <c r="BL46" s="248"/>
      <c r="BM46" s="248">
        <f t="shared" si="12"/>
        <v>20000</v>
      </c>
      <c r="BN46" s="249"/>
      <c r="BO46" s="225"/>
      <c r="BP46" s="248">
        <v>80000</v>
      </c>
      <c r="BQ46" s="249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7">
        <f t="shared" si="10"/>
        <v>100000</v>
      </c>
      <c r="CD46" s="244"/>
      <c r="CE46" s="244"/>
      <c r="CF46" s="244"/>
    </row>
    <row r="47" spans="1:84" x14ac:dyDescent="0.2">
      <c r="A47" s="251" t="s">
        <v>23</v>
      </c>
      <c r="B47" s="246" t="s">
        <v>395</v>
      </c>
      <c r="C47" s="246" t="s">
        <v>507</v>
      </c>
      <c r="D47" s="246" t="s">
        <v>621</v>
      </c>
      <c r="E47" s="247" t="s">
        <v>215</v>
      </c>
      <c r="F47" s="247" t="s">
        <v>709</v>
      </c>
      <c r="G47" s="233" t="str">
        <f>IF(M47&gt;0, "1", "0")</f>
        <v>0</v>
      </c>
      <c r="H47" s="233" t="str">
        <f>IF(S47&gt;0, "1", "0")</f>
        <v>1</v>
      </c>
      <c r="I47" s="233" t="str">
        <f>IF(AI47&gt;0, "1", "0")</f>
        <v>0</v>
      </c>
      <c r="J47" s="233" t="str">
        <f>IF(AZ47&gt;0, "1", "0")</f>
        <v>0</v>
      </c>
      <c r="K47" s="233" t="str">
        <f>CONCATENATE(G47,H47,I47,J47)</f>
        <v>0100</v>
      </c>
      <c r="L47" s="247" t="str">
        <f>A47&amp;B47&amp;E47</f>
        <v>08805621Connect For Success 18-21</v>
      </c>
      <c r="M47" s="225"/>
      <c r="N47" s="225"/>
      <c r="O47" s="225"/>
      <c r="P47" s="225"/>
      <c r="Q47" s="225">
        <f>SUM(M47:P47)</f>
        <v>0</v>
      </c>
      <c r="R47" s="225"/>
      <c r="S47" s="225">
        <v>21452</v>
      </c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>
        <f>SUM(Q47:AE47)</f>
        <v>21452</v>
      </c>
      <c r="AG47" s="225"/>
      <c r="AH47" s="225">
        <v>78540</v>
      </c>
      <c r="AI47" s="225"/>
      <c r="AJ47" s="225"/>
      <c r="AK47" s="225"/>
      <c r="AL47" s="225"/>
      <c r="AM47" s="225">
        <v>-2199</v>
      </c>
      <c r="AN47" s="225">
        <v>0</v>
      </c>
      <c r="AO47" s="225">
        <v>0</v>
      </c>
      <c r="AP47" s="225"/>
      <c r="AQ47" s="225"/>
      <c r="AR47" s="225"/>
      <c r="AS47" s="225"/>
      <c r="AT47" s="248">
        <v>0</v>
      </c>
      <c r="AU47" s="248">
        <v>0</v>
      </c>
      <c r="AV47" s="248">
        <v>0</v>
      </c>
      <c r="AW47" s="227">
        <f>SUM(AF47:AV47)</f>
        <v>97793</v>
      </c>
      <c r="AX47" s="249">
        <v>87232</v>
      </c>
      <c r="AY47" s="225">
        <v>0</v>
      </c>
      <c r="AZ47" s="227"/>
      <c r="BA47" s="250">
        <v>0</v>
      </c>
      <c r="BB47" s="225">
        <v>0</v>
      </c>
      <c r="BC47" s="225">
        <v>-19253</v>
      </c>
      <c r="BD47" s="225">
        <v>-65009.31</v>
      </c>
      <c r="BE47" s="225"/>
      <c r="BF47" s="225"/>
      <c r="BG47" s="225">
        <v>0</v>
      </c>
      <c r="BH47" s="225">
        <v>0</v>
      </c>
      <c r="BI47" s="225">
        <v>0</v>
      </c>
      <c r="BJ47" s="248"/>
      <c r="BK47" s="248"/>
      <c r="BL47" s="248"/>
      <c r="BM47" s="248">
        <f t="shared" si="12"/>
        <v>100762.69</v>
      </c>
      <c r="BN47" s="249"/>
      <c r="BO47" s="225"/>
      <c r="BP47" s="248"/>
      <c r="BQ47" s="249"/>
      <c r="BR47" s="225">
        <v>19253</v>
      </c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7">
        <f t="shared" si="10"/>
        <v>120015.69</v>
      </c>
      <c r="CD47" s="244"/>
      <c r="CE47" s="244"/>
      <c r="CF47" s="244"/>
    </row>
    <row r="48" spans="1:84" x14ac:dyDescent="0.2">
      <c r="A48" s="245" t="s">
        <v>23</v>
      </c>
      <c r="B48" s="246" t="s">
        <v>420</v>
      </c>
      <c r="C48" s="246" t="s">
        <v>507</v>
      </c>
      <c r="D48" s="246" t="s">
        <v>544</v>
      </c>
      <c r="E48" s="247" t="s">
        <v>500</v>
      </c>
      <c r="F48" s="247"/>
      <c r="G48" s="233"/>
      <c r="H48" s="233"/>
      <c r="I48" s="233"/>
      <c r="J48" s="233"/>
      <c r="K48" s="233"/>
      <c r="L48" s="247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48"/>
      <c r="AU48" s="248"/>
      <c r="AV48" s="248"/>
      <c r="AW48" s="227"/>
      <c r="AX48" s="249"/>
      <c r="AY48" s="225"/>
      <c r="AZ48" s="227">
        <v>20000</v>
      </c>
      <c r="BA48" s="250"/>
      <c r="BB48" s="225"/>
      <c r="BC48" s="225"/>
      <c r="BD48" s="225"/>
      <c r="BE48" s="225"/>
      <c r="BF48" s="225"/>
      <c r="BG48" s="225"/>
      <c r="BH48" s="225"/>
      <c r="BI48" s="225"/>
      <c r="BJ48" s="248"/>
      <c r="BK48" s="248"/>
      <c r="BL48" s="248"/>
      <c r="BM48" s="248">
        <f t="shared" ref="BM48:BM49" si="31">SUM(AW48:BL48)</f>
        <v>20000</v>
      </c>
      <c r="BN48" s="249"/>
      <c r="BO48" s="225"/>
      <c r="BP48" s="248">
        <v>80000</v>
      </c>
      <c r="BQ48" s="249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7">
        <f t="shared" si="10"/>
        <v>100000</v>
      </c>
      <c r="CD48" s="244"/>
      <c r="CE48" s="244"/>
      <c r="CF48" s="244"/>
    </row>
    <row r="49" spans="1:84" x14ac:dyDescent="0.2">
      <c r="A49" s="245" t="s">
        <v>23</v>
      </c>
      <c r="B49" s="246" t="s">
        <v>68</v>
      </c>
      <c r="C49" s="246" t="s">
        <v>507</v>
      </c>
      <c r="D49" s="246" t="s">
        <v>747</v>
      </c>
      <c r="E49" s="247" t="s">
        <v>500</v>
      </c>
      <c r="F49" s="247"/>
      <c r="G49" s="233"/>
      <c r="H49" s="233"/>
      <c r="I49" s="233"/>
      <c r="J49" s="233"/>
      <c r="K49" s="233"/>
      <c r="L49" s="247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48"/>
      <c r="AU49" s="248"/>
      <c r="AV49" s="248"/>
      <c r="AW49" s="227"/>
      <c r="AX49" s="249"/>
      <c r="AY49" s="225"/>
      <c r="AZ49" s="227">
        <v>20000</v>
      </c>
      <c r="BA49" s="250"/>
      <c r="BB49" s="225"/>
      <c r="BC49" s="225"/>
      <c r="BD49" s="225"/>
      <c r="BE49" s="225"/>
      <c r="BF49" s="225"/>
      <c r="BG49" s="225"/>
      <c r="BH49" s="225"/>
      <c r="BI49" s="225"/>
      <c r="BJ49" s="248"/>
      <c r="BK49" s="248"/>
      <c r="BL49" s="248"/>
      <c r="BM49" s="248">
        <f t="shared" si="31"/>
        <v>20000</v>
      </c>
      <c r="BN49" s="249"/>
      <c r="BO49" s="225"/>
      <c r="BP49" s="248">
        <v>80000</v>
      </c>
      <c r="BQ49" s="249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7">
        <f t="shared" si="10"/>
        <v>100000</v>
      </c>
      <c r="CD49" s="244"/>
      <c r="CE49" s="244"/>
      <c r="CF49" s="244"/>
    </row>
    <row r="50" spans="1:84" x14ac:dyDescent="0.2">
      <c r="A50" s="245" t="s">
        <v>23</v>
      </c>
      <c r="B50" s="246" t="s">
        <v>71</v>
      </c>
      <c r="C50" s="246" t="s">
        <v>507</v>
      </c>
      <c r="D50" s="246" t="s">
        <v>144</v>
      </c>
      <c r="E50" s="247" t="s">
        <v>212</v>
      </c>
      <c r="F50" s="247" t="s">
        <v>709</v>
      </c>
      <c r="G50" s="233" t="str">
        <f t="shared" ref="G50:G66" si="32">IF(M50&gt;0, "1", "0")</f>
        <v>1</v>
      </c>
      <c r="H50" s="233" t="str">
        <f t="shared" ref="H50:H66" si="33">IF(S50&gt;0, "1", "0")</f>
        <v>0</v>
      </c>
      <c r="I50" s="233" t="str">
        <f t="shared" ref="I50:I66" si="34">IF(AI50&gt;0, "1", "0")</f>
        <v>0</v>
      </c>
      <c r="J50" s="233" t="str">
        <f t="shared" ref="J50:J66" si="35">IF(AZ50&gt;0, "1", "0")</f>
        <v>0</v>
      </c>
      <c r="K50" s="233" t="str">
        <f t="shared" ref="K50:K66" si="36">CONCATENATE(G50,H50,I50,J50)</f>
        <v>1000</v>
      </c>
      <c r="L50" s="247" t="str">
        <f t="shared" ref="L50:L66" si="37">A50&amp;B50&amp;E50</f>
        <v>08808006Connect For Success 17-20</v>
      </c>
      <c r="M50" s="225">
        <v>18433</v>
      </c>
      <c r="N50" s="225"/>
      <c r="O50" s="225"/>
      <c r="P50" s="225"/>
      <c r="Q50" s="225">
        <f t="shared" ref="Q50:Q66" si="38">SUM(M50:P50)</f>
        <v>18433</v>
      </c>
      <c r="R50" s="225">
        <v>80000</v>
      </c>
      <c r="S50" s="225">
        <v>0</v>
      </c>
      <c r="T50" s="225"/>
      <c r="U50" s="225"/>
      <c r="V50" s="225"/>
      <c r="W50" s="225"/>
      <c r="X50" s="225"/>
      <c r="Y50" s="225"/>
      <c r="Z50" s="225">
        <v>-34945</v>
      </c>
      <c r="AA50" s="225"/>
      <c r="AB50" s="225"/>
      <c r="AC50" s="225">
        <v>-17596</v>
      </c>
      <c r="AD50" s="225"/>
      <c r="AE50" s="225"/>
      <c r="AF50" s="225">
        <f t="shared" ref="AF50:AF66" si="39">SUM(Q50:AE50)</f>
        <v>45892</v>
      </c>
      <c r="AG50" s="225"/>
      <c r="AH50" s="225">
        <v>0</v>
      </c>
      <c r="AI50" s="225"/>
      <c r="AJ50" s="225"/>
      <c r="AK50" s="225"/>
      <c r="AL50" s="225"/>
      <c r="AM50" s="225"/>
      <c r="AN50" s="225">
        <v>-30386.240000000002</v>
      </c>
      <c r="AO50" s="225">
        <v>0</v>
      </c>
      <c r="AP50" s="225"/>
      <c r="AQ50" s="225"/>
      <c r="AR50" s="225"/>
      <c r="AS50" s="225"/>
      <c r="AT50" s="248">
        <v>0</v>
      </c>
      <c r="AU50" s="248">
        <v>0</v>
      </c>
      <c r="AV50" s="248">
        <v>0</v>
      </c>
      <c r="AW50" s="227">
        <f t="shared" ref="AW50:AW66" si="40">SUM(AF50:AV50)</f>
        <v>15505.759999999998</v>
      </c>
      <c r="AX50" s="249"/>
      <c r="AY50" s="225">
        <v>0</v>
      </c>
      <c r="AZ50" s="227"/>
      <c r="BA50" s="250">
        <v>0</v>
      </c>
      <c r="BB50" s="225">
        <v>0</v>
      </c>
      <c r="BC50" s="225">
        <v>0</v>
      </c>
      <c r="BD50" s="225">
        <v>-15505.76</v>
      </c>
      <c r="BE50" s="225"/>
      <c r="BF50" s="225"/>
      <c r="BG50" s="225">
        <v>0</v>
      </c>
      <c r="BH50" s="225">
        <v>0</v>
      </c>
      <c r="BI50" s="225">
        <v>0</v>
      </c>
      <c r="BJ50" s="248"/>
      <c r="BK50" s="244"/>
      <c r="BL50" s="248"/>
      <c r="BM50" s="248">
        <f t="shared" ref="BM50:BM66" si="41">SUM(AW50:BL50)</f>
        <v>-1.8189894035458565E-12</v>
      </c>
      <c r="BN50" s="249"/>
      <c r="BO50" s="225"/>
      <c r="BP50" s="248"/>
      <c r="BQ50" s="249"/>
      <c r="BR50" s="225"/>
      <c r="BS50" s="225"/>
      <c r="BT50" s="225"/>
      <c r="BU50" s="225">
        <v>171.46</v>
      </c>
      <c r="BV50" s="225"/>
      <c r="BW50" s="225"/>
      <c r="BX50" s="225"/>
      <c r="BY50" s="225"/>
      <c r="BZ50" s="225"/>
      <c r="CA50" s="225"/>
      <c r="CB50" s="225"/>
      <c r="CC50" s="227">
        <f t="shared" si="10"/>
        <v>171.45999999999819</v>
      </c>
      <c r="CD50" s="244"/>
      <c r="CE50" s="244"/>
      <c r="CF50" s="244"/>
    </row>
    <row r="51" spans="1:84" x14ac:dyDescent="0.2">
      <c r="A51" s="245" t="s">
        <v>23</v>
      </c>
      <c r="B51" s="246" t="s">
        <v>34</v>
      </c>
      <c r="C51" s="246" t="s">
        <v>507</v>
      </c>
      <c r="D51" s="246" t="s">
        <v>111</v>
      </c>
      <c r="E51" s="247" t="s">
        <v>212</v>
      </c>
      <c r="F51" s="247" t="s">
        <v>709</v>
      </c>
      <c r="G51" s="233" t="str">
        <f t="shared" si="32"/>
        <v>1</v>
      </c>
      <c r="H51" s="233" t="str">
        <f t="shared" si="33"/>
        <v>0</v>
      </c>
      <c r="I51" s="233" t="str">
        <f t="shared" si="34"/>
        <v>0</v>
      </c>
      <c r="J51" s="233" t="str">
        <f t="shared" si="35"/>
        <v>0</v>
      </c>
      <c r="K51" s="233" t="str">
        <f t="shared" si="36"/>
        <v>1000</v>
      </c>
      <c r="L51" s="247" t="str">
        <f t="shared" si="37"/>
        <v>0880N/AConnect For Success 17-20</v>
      </c>
      <c r="M51" s="225">
        <v>1567</v>
      </c>
      <c r="N51" s="225"/>
      <c r="O51" s="225"/>
      <c r="P51" s="225"/>
      <c r="Q51" s="225">
        <f t="shared" si="38"/>
        <v>1567</v>
      </c>
      <c r="R51" s="225">
        <v>0</v>
      </c>
      <c r="S51" s="225">
        <v>0</v>
      </c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>
        <f t="shared" si="39"/>
        <v>1567</v>
      </c>
      <c r="AG51" s="225"/>
      <c r="AH51" s="225">
        <v>0</v>
      </c>
      <c r="AI51" s="225"/>
      <c r="AJ51" s="225"/>
      <c r="AK51" s="225"/>
      <c r="AL51" s="225"/>
      <c r="AM51" s="225"/>
      <c r="AN51" s="225">
        <v>0</v>
      </c>
      <c r="AO51" s="225">
        <v>0</v>
      </c>
      <c r="AP51" s="225"/>
      <c r="AQ51" s="225"/>
      <c r="AR51" s="225"/>
      <c r="AS51" s="225"/>
      <c r="AT51" s="248">
        <v>0</v>
      </c>
      <c r="AU51" s="248">
        <v>0</v>
      </c>
      <c r="AV51" s="248">
        <v>0</v>
      </c>
      <c r="AW51" s="227">
        <f t="shared" si="40"/>
        <v>1567</v>
      </c>
      <c r="AX51" s="249"/>
      <c r="AY51" s="225">
        <v>0</v>
      </c>
      <c r="AZ51" s="227"/>
      <c r="BA51" s="250">
        <v>0</v>
      </c>
      <c r="BB51" s="225">
        <v>0</v>
      </c>
      <c r="BC51" s="225">
        <v>0</v>
      </c>
      <c r="BD51" s="225">
        <v>0</v>
      </c>
      <c r="BE51" s="225"/>
      <c r="BF51" s="225"/>
      <c r="BG51" s="225">
        <v>0</v>
      </c>
      <c r="BH51" s="225">
        <v>0</v>
      </c>
      <c r="BI51" s="225">
        <v>0</v>
      </c>
      <c r="BJ51" s="248"/>
      <c r="BK51" s="248"/>
      <c r="BL51" s="248"/>
      <c r="BM51" s="248">
        <f t="shared" si="41"/>
        <v>1567</v>
      </c>
      <c r="BN51" s="249"/>
      <c r="BO51" s="225"/>
      <c r="BP51" s="248"/>
      <c r="BQ51" s="249"/>
      <c r="BR51" s="225"/>
      <c r="BS51" s="225"/>
      <c r="BT51" s="225"/>
      <c r="BU51" s="225">
        <v>9581.02</v>
      </c>
      <c r="BV51" s="225"/>
      <c r="BW51" s="225"/>
      <c r="BX51" s="225"/>
      <c r="BY51" s="225"/>
      <c r="BZ51" s="225"/>
      <c r="CA51" s="225"/>
      <c r="CB51" s="225"/>
      <c r="CC51" s="227">
        <f t="shared" si="10"/>
        <v>11148.02</v>
      </c>
      <c r="CD51" s="244"/>
      <c r="CE51" s="244"/>
      <c r="CF51" s="244"/>
    </row>
    <row r="52" spans="1:84" x14ac:dyDescent="0.2">
      <c r="A52" s="245" t="s">
        <v>230</v>
      </c>
      <c r="B52" s="246" t="s">
        <v>630</v>
      </c>
      <c r="C52" s="246" t="s">
        <v>232</v>
      </c>
      <c r="D52" s="246" t="s">
        <v>636</v>
      </c>
      <c r="E52" s="247" t="s">
        <v>216</v>
      </c>
      <c r="F52" s="247" t="s">
        <v>709</v>
      </c>
      <c r="G52" s="233" t="str">
        <f t="shared" si="32"/>
        <v>0</v>
      </c>
      <c r="H52" s="233" t="str">
        <f t="shared" si="33"/>
        <v>0</v>
      </c>
      <c r="I52" s="233" t="str">
        <f t="shared" si="34"/>
        <v>1</v>
      </c>
      <c r="J52" s="233" t="str">
        <f t="shared" si="35"/>
        <v>0</v>
      </c>
      <c r="K52" s="233" t="str">
        <f t="shared" si="36"/>
        <v>0010</v>
      </c>
      <c r="L52" s="247" t="str">
        <f t="shared" si="37"/>
        <v>10101885Connect For Success 19-22</v>
      </c>
      <c r="M52" s="225"/>
      <c r="N52" s="225"/>
      <c r="O52" s="225"/>
      <c r="P52" s="225"/>
      <c r="Q52" s="225">
        <f t="shared" si="38"/>
        <v>0</v>
      </c>
      <c r="R52" s="225"/>
      <c r="S52" s="225">
        <v>0</v>
      </c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>
        <f t="shared" si="39"/>
        <v>0</v>
      </c>
      <c r="AG52" s="225"/>
      <c r="AH52" s="225">
        <v>0</v>
      </c>
      <c r="AI52" s="225">
        <v>21344</v>
      </c>
      <c r="AJ52" s="225"/>
      <c r="AK52" s="225"/>
      <c r="AL52" s="225"/>
      <c r="AM52" s="225"/>
      <c r="AN52" s="225">
        <v>0</v>
      </c>
      <c r="AO52" s="225">
        <v>0</v>
      </c>
      <c r="AP52" s="225"/>
      <c r="AQ52" s="225"/>
      <c r="AR52" s="225"/>
      <c r="AS52" s="225"/>
      <c r="AT52" s="248">
        <v>0</v>
      </c>
      <c r="AU52" s="248">
        <v>0</v>
      </c>
      <c r="AV52" s="248">
        <v>0</v>
      </c>
      <c r="AW52" s="227">
        <f t="shared" si="40"/>
        <v>21344</v>
      </c>
      <c r="AX52" s="249"/>
      <c r="AY52" s="225">
        <v>84800</v>
      </c>
      <c r="AZ52" s="227"/>
      <c r="BA52" s="250">
        <v>0</v>
      </c>
      <c r="BB52" s="225">
        <v>-3387.22</v>
      </c>
      <c r="BC52" s="225">
        <v>0</v>
      </c>
      <c r="BD52" s="225">
        <v>0</v>
      </c>
      <c r="BE52" s="225"/>
      <c r="BF52" s="225"/>
      <c r="BG52" s="225">
        <v>0</v>
      </c>
      <c r="BH52" s="225">
        <v>0</v>
      </c>
      <c r="BI52" s="225">
        <v>0</v>
      </c>
      <c r="BJ52" s="248"/>
      <c r="BK52" s="248">
        <v>-49376.12</v>
      </c>
      <c r="BL52" s="248"/>
      <c r="BM52" s="248">
        <f t="shared" si="41"/>
        <v>53380.659999999996</v>
      </c>
      <c r="BN52" s="249"/>
      <c r="BO52" s="225">
        <v>85968</v>
      </c>
      <c r="BP52" s="248"/>
      <c r="BQ52" s="249">
        <v>-16992.95</v>
      </c>
      <c r="BR52" s="225">
        <v>-3982.14</v>
      </c>
      <c r="BS52" s="225"/>
      <c r="BT52" s="225"/>
      <c r="BU52" s="225"/>
      <c r="BV52" s="225"/>
      <c r="BW52" s="225">
        <v>-1459.84</v>
      </c>
      <c r="BX52" s="225"/>
      <c r="BY52" s="225"/>
      <c r="BZ52" s="225"/>
      <c r="CA52" s="225"/>
      <c r="CB52" s="225"/>
      <c r="CC52" s="227">
        <f t="shared" si="10"/>
        <v>116913.73000000001</v>
      </c>
      <c r="CD52" s="244"/>
      <c r="CE52" s="244"/>
      <c r="CF52" s="244"/>
    </row>
    <row r="53" spans="1:84" x14ac:dyDescent="0.2">
      <c r="A53" s="245" t="s">
        <v>25</v>
      </c>
      <c r="B53" s="246" t="s">
        <v>278</v>
      </c>
      <c r="C53" s="246" t="s">
        <v>103</v>
      </c>
      <c r="D53" s="246" t="s">
        <v>285</v>
      </c>
      <c r="E53" s="247" t="s">
        <v>447</v>
      </c>
      <c r="F53" s="247" t="s">
        <v>709</v>
      </c>
      <c r="G53" s="233" t="str">
        <f t="shared" si="32"/>
        <v>0</v>
      </c>
      <c r="H53" s="233" t="str">
        <f t="shared" si="33"/>
        <v>1</v>
      </c>
      <c r="I53" s="233" t="str">
        <f t="shared" si="34"/>
        <v>0</v>
      </c>
      <c r="J53" s="233" t="str">
        <f t="shared" si="35"/>
        <v>0</v>
      </c>
      <c r="K53" s="233" t="str">
        <f t="shared" si="36"/>
        <v>0100</v>
      </c>
      <c r="L53" s="247" t="str">
        <f t="shared" si="37"/>
        <v>14200109Connect For Success 16-19</v>
      </c>
      <c r="M53" s="225">
        <v>0</v>
      </c>
      <c r="N53" s="225"/>
      <c r="O53" s="225"/>
      <c r="P53" s="225"/>
      <c r="Q53" s="225">
        <f t="shared" si="38"/>
        <v>0</v>
      </c>
      <c r="R53" s="225"/>
      <c r="S53" s="225">
        <v>33651</v>
      </c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>
        <f t="shared" si="39"/>
        <v>33651</v>
      </c>
      <c r="AG53" s="225"/>
      <c r="AH53" s="225">
        <v>0</v>
      </c>
      <c r="AI53" s="225"/>
      <c r="AJ53" s="225"/>
      <c r="AK53" s="225"/>
      <c r="AL53" s="225"/>
      <c r="AM53" s="225"/>
      <c r="AN53" s="225">
        <v>0</v>
      </c>
      <c r="AO53" s="225">
        <v>0</v>
      </c>
      <c r="AP53" s="225"/>
      <c r="AQ53" s="225"/>
      <c r="AR53" s="225"/>
      <c r="AS53" s="225"/>
      <c r="AT53" s="248">
        <v>0</v>
      </c>
      <c r="AU53" s="248">
        <v>0</v>
      </c>
      <c r="AV53" s="248">
        <v>0</v>
      </c>
      <c r="AW53" s="227">
        <f t="shared" si="40"/>
        <v>33651</v>
      </c>
      <c r="AX53" s="249"/>
      <c r="AY53" s="225">
        <v>0</v>
      </c>
      <c r="AZ53" s="227"/>
      <c r="BA53" s="250">
        <v>0</v>
      </c>
      <c r="BB53" s="225">
        <v>0</v>
      </c>
      <c r="BC53" s="225">
        <v>0</v>
      </c>
      <c r="BD53" s="225">
        <v>0</v>
      </c>
      <c r="BE53" s="225"/>
      <c r="BF53" s="225"/>
      <c r="BG53" s="225">
        <v>0</v>
      </c>
      <c r="BH53" s="225">
        <v>0</v>
      </c>
      <c r="BI53" s="225">
        <v>0</v>
      </c>
      <c r="BJ53" s="248"/>
      <c r="BK53" s="248"/>
      <c r="BL53" s="248"/>
      <c r="BM53" s="248">
        <f t="shared" si="41"/>
        <v>33651</v>
      </c>
      <c r="BN53" s="249"/>
      <c r="BO53" s="225"/>
      <c r="BP53" s="248"/>
      <c r="BQ53" s="249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7">
        <f t="shared" si="10"/>
        <v>33651</v>
      </c>
      <c r="CD53" s="244"/>
      <c r="CE53" s="244"/>
      <c r="CF53" s="244"/>
    </row>
    <row r="54" spans="1:84" x14ac:dyDescent="0.2">
      <c r="A54" s="245" t="s">
        <v>25</v>
      </c>
      <c r="B54" s="246" t="s">
        <v>74</v>
      </c>
      <c r="C54" s="246" t="s">
        <v>103</v>
      </c>
      <c r="D54" s="246" t="s">
        <v>147</v>
      </c>
      <c r="E54" s="247" t="s">
        <v>212</v>
      </c>
      <c r="F54" s="247" t="s">
        <v>709</v>
      </c>
      <c r="G54" s="233" t="str">
        <f t="shared" si="32"/>
        <v>1</v>
      </c>
      <c r="H54" s="233" t="str">
        <f t="shared" si="33"/>
        <v>0</v>
      </c>
      <c r="I54" s="233" t="str">
        <f t="shared" si="34"/>
        <v>0</v>
      </c>
      <c r="J54" s="233" t="str">
        <f t="shared" si="35"/>
        <v>0</v>
      </c>
      <c r="K54" s="233" t="str">
        <f t="shared" si="36"/>
        <v>1000</v>
      </c>
      <c r="L54" s="247" t="str">
        <f t="shared" si="37"/>
        <v>14208793Connect For Success 17-20</v>
      </c>
      <c r="M54" s="225">
        <v>20000</v>
      </c>
      <c r="N54" s="225"/>
      <c r="O54" s="225"/>
      <c r="P54" s="225"/>
      <c r="Q54" s="225">
        <f t="shared" si="38"/>
        <v>20000</v>
      </c>
      <c r="R54" s="225">
        <v>80000</v>
      </c>
      <c r="S54" s="225">
        <v>0</v>
      </c>
      <c r="T54" s="225"/>
      <c r="U54" s="225">
        <v>-14649</v>
      </c>
      <c r="V54" s="225"/>
      <c r="W54" s="225"/>
      <c r="X54" s="225">
        <v>-30136</v>
      </c>
      <c r="Y54" s="225">
        <v>-5493</v>
      </c>
      <c r="Z54" s="225">
        <v>-5302</v>
      </c>
      <c r="AA54" s="225">
        <v>-5302</v>
      </c>
      <c r="AB54" s="225">
        <v>-5302</v>
      </c>
      <c r="AC54" s="225">
        <v>-5302</v>
      </c>
      <c r="AD54" s="225">
        <v>-11003</v>
      </c>
      <c r="AE54" s="225">
        <v>-5302</v>
      </c>
      <c r="AF54" s="225">
        <f t="shared" si="39"/>
        <v>12209</v>
      </c>
      <c r="AG54" s="225">
        <v>80000</v>
      </c>
      <c r="AH54" s="225">
        <v>0</v>
      </c>
      <c r="AI54" s="225"/>
      <c r="AJ54" s="225">
        <v>-5302</v>
      </c>
      <c r="AK54" s="225"/>
      <c r="AL54" s="225"/>
      <c r="AM54" s="225">
        <v>-5876</v>
      </c>
      <c r="AN54" s="225">
        <v>0</v>
      </c>
      <c r="AO54" s="225">
        <v>-36329.040000000001</v>
      </c>
      <c r="AP54" s="225">
        <v>-5311.32</v>
      </c>
      <c r="AQ54" s="225">
        <v>-8192.42</v>
      </c>
      <c r="AR54" s="225"/>
      <c r="AS54" s="225">
        <v>-3191.05</v>
      </c>
      <c r="AT54" s="248">
        <v>0</v>
      </c>
      <c r="AU54" s="248">
        <v>0</v>
      </c>
      <c r="AV54" s="248">
        <v>0</v>
      </c>
      <c r="AW54" s="227">
        <f t="shared" si="40"/>
        <v>28007.170000000002</v>
      </c>
      <c r="AX54" s="249"/>
      <c r="AY54" s="225">
        <v>0</v>
      </c>
      <c r="AZ54" s="227"/>
      <c r="BA54" s="250">
        <v>-28007.17</v>
      </c>
      <c r="BB54" s="225">
        <v>0</v>
      </c>
      <c r="BC54" s="225">
        <v>0</v>
      </c>
      <c r="BD54" s="225">
        <v>0</v>
      </c>
      <c r="BE54" s="225"/>
      <c r="BF54" s="225"/>
      <c r="BG54" s="225">
        <v>0</v>
      </c>
      <c r="BH54" s="225">
        <v>0</v>
      </c>
      <c r="BI54" s="225">
        <v>0</v>
      </c>
      <c r="BJ54" s="248"/>
      <c r="BK54" s="248"/>
      <c r="BL54" s="248"/>
      <c r="BM54" s="248">
        <f t="shared" si="41"/>
        <v>3.637978807091713E-12</v>
      </c>
      <c r="BN54" s="249"/>
      <c r="BO54" s="225"/>
      <c r="BP54" s="248"/>
      <c r="BQ54" s="249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7">
        <f t="shared" si="10"/>
        <v>3.637978807091713E-12</v>
      </c>
      <c r="CD54" s="244"/>
      <c r="CE54" s="244"/>
      <c r="CF54" s="244"/>
    </row>
    <row r="55" spans="1:84" x14ac:dyDescent="0.2">
      <c r="A55" s="245" t="s">
        <v>26</v>
      </c>
      <c r="B55" s="246" t="s">
        <v>75</v>
      </c>
      <c r="C55" s="246" t="s">
        <v>104</v>
      </c>
      <c r="D55" s="246" t="s">
        <v>148</v>
      </c>
      <c r="E55" s="247" t="s">
        <v>212</v>
      </c>
      <c r="F55" s="247" t="s">
        <v>709</v>
      </c>
      <c r="G55" s="233" t="str">
        <f t="shared" si="32"/>
        <v>1</v>
      </c>
      <c r="H55" s="233" t="str">
        <f t="shared" si="33"/>
        <v>0</v>
      </c>
      <c r="I55" s="233" t="str">
        <f t="shared" si="34"/>
        <v>0</v>
      </c>
      <c r="J55" s="233" t="str">
        <f t="shared" si="35"/>
        <v>0</v>
      </c>
      <c r="K55" s="233" t="str">
        <f t="shared" si="36"/>
        <v>1000</v>
      </c>
      <c r="L55" s="247" t="str">
        <f t="shared" si="37"/>
        <v>15404252Connect For Success 17-20</v>
      </c>
      <c r="M55" s="225">
        <v>20000</v>
      </c>
      <c r="N55" s="225"/>
      <c r="O55" s="225"/>
      <c r="P55" s="225"/>
      <c r="Q55" s="225">
        <f t="shared" si="38"/>
        <v>20000</v>
      </c>
      <c r="R55" s="225">
        <v>80000</v>
      </c>
      <c r="S55" s="225">
        <v>0</v>
      </c>
      <c r="T55" s="225"/>
      <c r="U55" s="225"/>
      <c r="V55" s="225"/>
      <c r="W55" s="225"/>
      <c r="X55" s="225">
        <v>-20000</v>
      </c>
      <c r="Y55" s="225"/>
      <c r="Z55" s="225"/>
      <c r="AA55" s="225"/>
      <c r="AB55" s="225"/>
      <c r="AC55" s="225"/>
      <c r="AD55" s="225"/>
      <c r="AE55" s="225"/>
      <c r="AF55" s="225">
        <f t="shared" si="39"/>
        <v>80000</v>
      </c>
      <c r="AG55" s="225">
        <v>80000</v>
      </c>
      <c r="AH55" s="225">
        <v>0</v>
      </c>
      <c r="AI55" s="225"/>
      <c r="AJ55" s="225">
        <v>-80000</v>
      </c>
      <c r="AK55" s="225"/>
      <c r="AL55" s="225"/>
      <c r="AM55" s="225"/>
      <c r="AN55" s="225">
        <v>0</v>
      </c>
      <c r="AO55" s="225">
        <v>0</v>
      </c>
      <c r="AP55" s="225"/>
      <c r="AQ55" s="225"/>
      <c r="AR55" s="225"/>
      <c r="AS55" s="225"/>
      <c r="AT55" s="248">
        <v>0</v>
      </c>
      <c r="AU55" s="248">
        <v>0</v>
      </c>
      <c r="AV55" s="248">
        <v>0</v>
      </c>
      <c r="AW55" s="227">
        <f t="shared" si="40"/>
        <v>80000</v>
      </c>
      <c r="AX55" s="249"/>
      <c r="AY55" s="225">
        <v>0</v>
      </c>
      <c r="AZ55" s="227"/>
      <c r="BA55" s="250">
        <v>-80000</v>
      </c>
      <c r="BB55" s="225">
        <v>0</v>
      </c>
      <c r="BC55" s="225">
        <v>0</v>
      </c>
      <c r="BD55" s="225">
        <v>0</v>
      </c>
      <c r="BE55" s="225"/>
      <c r="BF55" s="225"/>
      <c r="BG55" s="225">
        <v>0</v>
      </c>
      <c r="BH55" s="225">
        <v>0</v>
      </c>
      <c r="BI55" s="225">
        <v>0</v>
      </c>
      <c r="BJ55" s="248"/>
      <c r="BK55" s="248"/>
      <c r="BL55" s="248"/>
      <c r="BM55" s="248">
        <f t="shared" si="41"/>
        <v>0</v>
      </c>
      <c r="BN55" s="249"/>
      <c r="BO55" s="225"/>
      <c r="BP55" s="248"/>
      <c r="BQ55" s="249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7">
        <f t="shared" si="10"/>
        <v>0</v>
      </c>
      <c r="CD55" s="244"/>
      <c r="CE55" s="244"/>
      <c r="CF55" s="244"/>
    </row>
    <row r="56" spans="1:84" x14ac:dyDescent="0.2">
      <c r="A56" s="245" t="s">
        <v>29</v>
      </c>
      <c r="B56" s="246" t="s">
        <v>83</v>
      </c>
      <c r="C56" s="246" t="s">
        <v>107</v>
      </c>
      <c r="D56" s="246" t="s">
        <v>155</v>
      </c>
      <c r="E56" s="247" t="s">
        <v>212</v>
      </c>
      <c r="F56" s="247" t="s">
        <v>709</v>
      </c>
      <c r="G56" s="233" t="str">
        <f t="shared" si="32"/>
        <v>1</v>
      </c>
      <c r="H56" s="233" t="str">
        <f t="shared" si="33"/>
        <v>0</v>
      </c>
      <c r="I56" s="233" t="str">
        <f t="shared" si="34"/>
        <v>0</v>
      </c>
      <c r="J56" s="233" t="str">
        <f t="shared" si="35"/>
        <v>0</v>
      </c>
      <c r="K56" s="233" t="str">
        <f t="shared" si="36"/>
        <v>1000</v>
      </c>
      <c r="L56" s="247" t="str">
        <f t="shared" si="37"/>
        <v>16200058Connect For Success 17-20</v>
      </c>
      <c r="M56" s="225">
        <v>19946</v>
      </c>
      <c r="N56" s="225"/>
      <c r="O56" s="225">
        <v>-2300</v>
      </c>
      <c r="P56" s="225"/>
      <c r="Q56" s="225">
        <f t="shared" si="38"/>
        <v>17646</v>
      </c>
      <c r="R56" s="225">
        <v>79560</v>
      </c>
      <c r="S56" s="225">
        <v>0</v>
      </c>
      <c r="T56" s="225"/>
      <c r="U56" s="225"/>
      <c r="V56" s="225"/>
      <c r="W56" s="225">
        <v>-17646</v>
      </c>
      <c r="X56" s="225"/>
      <c r="Y56" s="225">
        <v>-16415</v>
      </c>
      <c r="Z56" s="225"/>
      <c r="AA56" s="225"/>
      <c r="AB56" s="225"/>
      <c r="AC56" s="225">
        <v>-63145</v>
      </c>
      <c r="AD56" s="225"/>
      <c r="AE56" s="225"/>
      <c r="AF56" s="225">
        <f t="shared" si="39"/>
        <v>0</v>
      </c>
      <c r="AG56" s="225">
        <v>80000</v>
      </c>
      <c r="AH56" s="225">
        <v>0</v>
      </c>
      <c r="AI56" s="225"/>
      <c r="AJ56" s="225"/>
      <c r="AK56" s="225"/>
      <c r="AL56" s="225"/>
      <c r="AM56" s="225"/>
      <c r="AN56" s="225">
        <v>0</v>
      </c>
      <c r="AO56" s="225">
        <v>0</v>
      </c>
      <c r="AP56" s="225"/>
      <c r="AQ56" s="225"/>
      <c r="AR56" s="225"/>
      <c r="AS56" s="225"/>
      <c r="AT56" s="248">
        <v>0</v>
      </c>
      <c r="AU56" s="248">
        <v>0</v>
      </c>
      <c r="AV56" s="248">
        <v>0</v>
      </c>
      <c r="AW56" s="227">
        <f t="shared" si="40"/>
        <v>80000</v>
      </c>
      <c r="AX56" s="249"/>
      <c r="AY56" s="225">
        <v>0</v>
      </c>
      <c r="AZ56" s="227"/>
      <c r="BA56" s="250">
        <v>0</v>
      </c>
      <c r="BB56" s="225">
        <v>0</v>
      </c>
      <c r="BC56" s="225">
        <v>0</v>
      </c>
      <c r="BD56" s="225">
        <v>0</v>
      </c>
      <c r="BE56" s="225">
        <v>-80000</v>
      </c>
      <c r="BF56" s="225"/>
      <c r="BG56" s="225">
        <v>0</v>
      </c>
      <c r="BH56" s="225">
        <v>0</v>
      </c>
      <c r="BI56" s="225">
        <v>0</v>
      </c>
      <c r="BJ56" s="248"/>
      <c r="BK56" s="248"/>
      <c r="BL56" s="248"/>
      <c r="BM56" s="248">
        <f t="shared" si="41"/>
        <v>0</v>
      </c>
      <c r="BN56" s="249"/>
      <c r="BO56" s="225"/>
      <c r="BP56" s="248"/>
      <c r="BQ56" s="249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7">
        <f t="shared" si="10"/>
        <v>0</v>
      </c>
      <c r="CD56" s="244"/>
      <c r="CE56" s="244"/>
      <c r="CF56" s="244"/>
    </row>
    <row r="57" spans="1:84" x14ac:dyDescent="0.2">
      <c r="A57" s="245" t="s">
        <v>627</v>
      </c>
      <c r="B57" s="246" t="s">
        <v>631</v>
      </c>
      <c r="C57" s="246" t="s">
        <v>633</v>
      </c>
      <c r="D57" s="246" t="s">
        <v>637</v>
      </c>
      <c r="E57" s="247" t="s">
        <v>216</v>
      </c>
      <c r="F57" s="247" t="s">
        <v>709</v>
      </c>
      <c r="G57" s="233" t="str">
        <f t="shared" si="32"/>
        <v>0</v>
      </c>
      <c r="H57" s="233" t="str">
        <f t="shared" si="33"/>
        <v>0</v>
      </c>
      <c r="I57" s="233" t="str">
        <f t="shared" si="34"/>
        <v>1</v>
      </c>
      <c r="J57" s="233" t="str">
        <f t="shared" si="35"/>
        <v>0</v>
      </c>
      <c r="K57" s="233" t="str">
        <f t="shared" si="36"/>
        <v>0010</v>
      </c>
      <c r="L57" s="247" t="str">
        <f t="shared" si="37"/>
        <v>25204841Connect For Success 19-22</v>
      </c>
      <c r="M57" s="225"/>
      <c r="N57" s="225"/>
      <c r="O57" s="225"/>
      <c r="P57" s="225"/>
      <c r="Q57" s="225">
        <f t="shared" si="38"/>
        <v>0</v>
      </c>
      <c r="R57" s="225"/>
      <c r="S57" s="225">
        <v>0</v>
      </c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>
        <f t="shared" si="39"/>
        <v>0</v>
      </c>
      <c r="AG57" s="225"/>
      <c r="AH57" s="225">
        <v>0</v>
      </c>
      <c r="AI57" s="225">
        <v>21418</v>
      </c>
      <c r="AJ57" s="225"/>
      <c r="AK57" s="225"/>
      <c r="AL57" s="225"/>
      <c r="AM57" s="225"/>
      <c r="AN57" s="225">
        <v>0</v>
      </c>
      <c r="AO57" s="225">
        <v>0</v>
      </c>
      <c r="AP57" s="225"/>
      <c r="AQ57" s="225"/>
      <c r="AR57" s="225"/>
      <c r="AS57" s="225"/>
      <c r="AT57" s="248">
        <v>0</v>
      </c>
      <c r="AU57" s="248">
        <v>0</v>
      </c>
      <c r="AV57" s="248">
        <v>0</v>
      </c>
      <c r="AW57" s="227">
        <f t="shared" si="40"/>
        <v>21418</v>
      </c>
      <c r="AX57" s="249"/>
      <c r="AY57" s="225">
        <v>80000</v>
      </c>
      <c r="AZ57" s="227"/>
      <c r="BA57" s="250">
        <v>0</v>
      </c>
      <c r="BB57" s="225">
        <v>0</v>
      </c>
      <c r="BC57" s="225">
        <v>0</v>
      </c>
      <c r="BD57" s="225">
        <v>0</v>
      </c>
      <c r="BE57" s="225"/>
      <c r="BF57" s="225"/>
      <c r="BG57" s="225">
        <v>0</v>
      </c>
      <c r="BH57" s="225">
        <v>0</v>
      </c>
      <c r="BI57" s="225">
        <v>0</v>
      </c>
      <c r="BJ57" s="248"/>
      <c r="BK57" s="248"/>
      <c r="BL57" s="248"/>
      <c r="BM57" s="248">
        <f t="shared" si="41"/>
        <v>101418</v>
      </c>
      <c r="BN57" s="249"/>
      <c r="BO57" s="225">
        <v>87624</v>
      </c>
      <c r="BP57" s="248"/>
      <c r="BQ57" s="249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7">
        <f t="shared" si="10"/>
        <v>189042</v>
      </c>
      <c r="CD57" s="244"/>
      <c r="CE57" s="244"/>
      <c r="CF57" s="244"/>
    </row>
    <row r="58" spans="1:84" x14ac:dyDescent="0.2">
      <c r="A58" s="251" t="s">
        <v>627</v>
      </c>
      <c r="B58" s="247" t="s">
        <v>632</v>
      </c>
      <c r="C58" s="246" t="s">
        <v>633</v>
      </c>
      <c r="D58" s="246" t="s">
        <v>638</v>
      </c>
      <c r="E58" s="247" t="s">
        <v>216</v>
      </c>
      <c r="F58" s="247" t="s">
        <v>709</v>
      </c>
      <c r="G58" s="233" t="str">
        <f t="shared" si="32"/>
        <v>0</v>
      </c>
      <c r="H58" s="233" t="str">
        <f t="shared" si="33"/>
        <v>0</v>
      </c>
      <c r="I58" s="233" t="str">
        <f t="shared" si="34"/>
        <v>1</v>
      </c>
      <c r="J58" s="233" t="str">
        <f t="shared" si="35"/>
        <v>0</v>
      </c>
      <c r="K58" s="233" t="str">
        <f t="shared" si="36"/>
        <v>0010</v>
      </c>
      <c r="L58" s="247" t="str">
        <f t="shared" si="37"/>
        <v>25204843Connect For Success 19-22</v>
      </c>
      <c r="M58" s="225"/>
      <c r="N58" s="225"/>
      <c r="O58" s="225"/>
      <c r="P58" s="225"/>
      <c r="Q58" s="225">
        <f t="shared" si="38"/>
        <v>0</v>
      </c>
      <c r="R58" s="225"/>
      <c r="S58" s="225">
        <v>0</v>
      </c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>
        <f t="shared" si="39"/>
        <v>0</v>
      </c>
      <c r="AG58" s="225"/>
      <c r="AH58" s="225">
        <v>0</v>
      </c>
      <c r="AI58" s="225">
        <v>21418</v>
      </c>
      <c r="AJ58" s="225"/>
      <c r="AK58" s="225"/>
      <c r="AL58" s="225"/>
      <c r="AM58" s="225"/>
      <c r="AN58" s="225">
        <v>0</v>
      </c>
      <c r="AO58" s="225">
        <v>0</v>
      </c>
      <c r="AP58" s="225"/>
      <c r="AQ58" s="225"/>
      <c r="AR58" s="225"/>
      <c r="AS58" s="225"/>
      <c r="AT58" s="248">
        <v>0</v>
      </c>
      <c r="AU58" s="248">
        <v>0</v>
      </c>
      <c r="AV58" s="248">
        <v>0</v>
      </c>
      <c r="AW58" s="227">
        <f t="shared" si="40"/>
        <v>21418</v>
      </c>
      <c r="AX58" s="249"/>
      <c r="AY58" s="225">
        <v>80000</v>
      </c>
      <c r="AZ58" s="227"/>
      <c r="BA58" s="250">
        <v>0</v>
      </c>
      <c r="BB58" s="225">
        <v>0</v>
      </c>
      <c r="BC58" s="225">
        <v>0</v>
      </c>
      <c r="BD58" s="225">
        <v>0</v>
      </c>
      <c r="BE58" s="225"/>
      <c r="BF58" s="225"/>
      <c r="BG58" s="225">
        <v>0</v>
      </c>
      <c r="BH58" s="225">
        <v>0</v>
      </c>
      <c r="BI58" s="225">
        <v>0</v>
      </c>
      <c r="BJ58" s="248"/>
      <c r="BK58" s="248"/>
      <c r="BL58" s="248"/>
      <c r="BM58" s="248">
        <f t="shared" si="41"/>
        <v>101418</v>
      </c>
      <c r="BN58" s="249"/>
      <c r="BO58" s="225">
        <v>87624</v>
      </c>
      <c r="BP58" s="248"/>
      <c r="BQ58" s="249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7">
        <f t="shared" si="10"/>
        <v>189042</v>
      </c>
      <c r="CD58" s="244"/>
      <c r="CE58" s="244"/>
      <c r="CF58" s="244"/>
    </row>
    <row r="59" spans="1:84" x14ac:dyDescent="0.2">
      <c r="A59" s="251" t="s">
        <v>332</v>
      </c>
      <c r="B59" s="247" t="s">
        <v>333</v>
      </c>
      <c r="C59" s="246" t="s">
        <v>334</v>
      </c>
      <c r="D59" s="246" t="s">
        <v>335</v>
      </c>
      <c r="E59" s="247" t="s">
        <v>447</v>
      </c>
      <c r="F59" s="247" t="s">
        <v>709</v>
      </c>
      <c r="G59" s="233" t="str">
        <f t="shared" si="32"/>
        <v>0</v>
      </c>
      <c r="H59" s="233" t="str">
        <f t="shared" si="33"/>
        <v>1</v>
      </c>
      <c r="I59" s="233" t="str">
        <f t="shared" si="34"/>
        <v>0</v>
      </c>
      <c r="J59" s="233" t="str">
        <f t="shared" si="35"/>
        <v>0</v>
      </c>
      <c r="K59" s="233" t="str">
        <f t="shared" si="36"/>
        <v>0100</v>
      </c>
      <c r="L59" s="247" t="str">
        <f t="shared" si="37"/>
        <v>27406036Connect For Success 16-19</v>
      </c>
      <c r="M59" s="225">
        <v>0</v>
      </c>
      <c r="N59" s="225"/>
      <c r="O59" s="225"/>
      <c r="P59" s="225"/>
      <c r="Q59" s="225">
        <f t="shared" si="38"/>
        <v>0</v>
      </c>
      <c r="R59" s="225"/>
      <c r="S59" s="225">
        <v>93559</v>
      </c>
      <c r="T59" s="225"/>
      <c r="U59" s="225"/>
      <c r="V59" s="225"/>
      <c r="W59" s="225"/>
      <c r="X59" s="225"/>
      <c r="Y59" s="225"/>
      <c r="Z59" s="225"/>
      <c r="AA59" s="225"/>
      <c r="AB59" s="225">
        <v>-41198</v>
      </c>
      <c r="AC59" s="225"/>
      <c r="AD59" s="225"/>
      <c r="AE59" s="225"/>
      <c r="AF59" s="225">
        <f t="shared" si="39"/>
        <v>52361</v>
      </c>
      <c r="AG59" s="225"/>
      <c r="AH59" s="225">
        <v>0</v>
      </c>
      <c r="AI59" s="225"/>
      <c r="AJ59" s="225">
        <v>-47906</v>
      </c>
      <c r="AK59" s="225"/>
      <c r="AL59" s="225"/>
      <c r="AM59" s="225"/>
      <c r="AN59" s="225">
        <v>0</v>
      </c>
      <c r="AO59" s="225">
        <v>0</v>
      </c>
      <c r="AP59" s="225"/>
      <c r="AQ59" s="225"/>
      <c r="AR59" s="225"/>
      <c r="AS59" s="225"/>
      <c r="AT59" s="248">
        <v>0</v>
      </c>
      <c r="AU59" s="248">
        <v>0</v>
      </c>
      <c r="AV59" s="248">
        <v>0</v>
      </c>
      <c r="AW59" s="227">
        <f t="shared" si="40"/>
        <v>4455</v>
      </c>
      <c r="AX59" s="249"/>
      <c r="AY59" s="225">
        <v>0</v>
      </c>
      <c r="AZ59" s="227"/>
      <c r="BA59" s="250">
        <v>0</v>
      </c>
      <c r="BB59" s="225">
        <v>0</v>
      </c>
      <c r="BC59" s="225">
        <v>0</v>
      </c>
      <c r="BD59" s="225">
        <v>0</v>
      </c>
      <c r="BE59" s="225"/>
      <c r="BF59" s="225"/>
      <c r="BG59" s="225">
        <v>0</v>
      </c>
      <c r="BH59" s="225">
        <v>0</v>
      </c>
      <c r="BI59" s="225">
        <v>0</v>
      </c>
      <c r="BJ59" s="248"/>
      <c r="BK59" s="248"/>
      <c r="BL59" s="248"/>
      <c r="BM59" s="248">
        <f t="shared" si="41"/>
        <v>4455</v>
      </c>
      <c r="BN59" s="249"/>
      <c r="BO59" s="225"/>
      <c r="BP59" s="248"/>
      <c r="BQ59" s="249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7">
        <f t="shared" si="10"/>
        <v>4455</v>
      </c>
      <c r="CD59" s="244"/>
      <c r="CE59" s="244"/>
      <c r="CF59" s="244"/>
    </row>
    <row r="60" spans="1:84" x14ac:dyDescent="0.2">
      <c r="A60" s="251" t="s">
        <v>386</v>
      </c>
      <c r="B60" s="246" t="s">
        <v>396</v>
      </c>
      <c r="C60" s="246" t="s">
        <v>527</v>
      </c>
      <c r="D60" s="246" t="s">
        <v>622</v>
      </c>
      <c r="E60" s="247" t="s">
        <v>215</v>
      </c>
      <c r="F60" s="247" t="s">
        <v>709</v>
      </c>
      <c r="G60" s="233" t="str">
        <f t="shared" si="32"/>
        <v>0</v>
      </c>
      <c r="H60" s="233" t="str">
        <f t="shared" si="33"/>
        <v>1</v>
      </c>
      <c r="I60" s="233" t="str">
        <f t="shared" si="34"/>
        <v>0</v>
      </c>
      <c r="J60" s="233" t="str">
        <f t="shared" si="35"/>
        <v>0</v>
      </c>
      <c r="K60" s="233" t="str">
        <f t="shared" si="36"/>
        <v>0100</v>
      </c>
      <c r="L60" s="247" t="str">
        <f t="shared" si="37"/>
        <v>80010655Connect For Success 18-21</v>
      </c>
      <c r="M60" s="225"/>
      <c r="N60" s="225"/>
      <c r="O60" s="225"/>
      <c r="P60" s="225"/>
      <c r="Q60" s="225">
        <f t="shared" si="38"/>
        <v>0</v>
      </c>
      <c r="R60" s="225"/>
      <c r="S60" s="225">
        <v>20000</v>
      </c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>
        <f t="shared" si="39"/>
        <v>20000</v>
      </c>
      <c r="AG60" s="225"/>
      <c r="AH60" s="225">
        <v>80000</v>
      </c>
      <c r="AI60" s="225"/>
      <c r="AJ60" s="225"/>
      <c r="AK60" s="225">
        <v>-15907</v>
      </c>
      <c r="AL60" s="225"/>
      <c r="AM60" s="225"/>
      <c r="AN60" s="225">
        <v>0</v>
      </c>
      <c r="AO60" s="225">
        <v>0</v>
      </c>
      <c r="AP60" s="225"/>
      <c r="AQ60" s="225"/>
      <c r="AR60" s="225"/>
      <c r="AS60" s="225"/>
      <c r="AT60" s="248">
        <v>0</v>
      </c>
      <c r="AU60" s="248">
        <v>-52039</v>
      </c>
      <c r="AV60" s="248">
        <v>-11273</v>
      </c>
      <c r="AW60" s="227">
        <f t="shared" si="40"/>
        <v>20781</v>
      </c>
      <c r="AX60" s="249">
        <v>80000</v>
      </c>
      <c r="AY60" s="225">
        <v>0</v>
      </c>
      <c r="AZ60" s="227"/>
      <c r="BA60" s="250">
        <v>-19931</v>
      </c>
      <c r="BB60" s="225">
        <v>0</v>
      </c>
      <c r="BC60" s="225">
        <v>0</v>
      </c>
      <c r="BD60" s="225">
        <v>0</v>
      </c>
      <c r="BE60" s="225"/>
      <c r="BF60" s="225"/>
      <c r="BG60" s="225">
        <v>0</v>
      </c>
      <c r="BH60" s="225">
        <v>0</v>
      </c>
      <c r="BI60" s="225">
        <v>0</v>
      </c>
      <c r="BJ60" s="248"/>
      <c r="BK60" s="248">
        <f>-(50321+7333)</f>
        <v>-57654</v>
      </c>
      <c r="BL60" s="248"/>
      <c r="BM60" s="248">
        <f t="shared" si="41"/>
        <v>23196</v>
      </c>
      <c r="BN60" s="249"/>
      <c r="BO60" s="225"/>
      <c r="BP60" s="248"/>
      <c r="BQ60" s="249">
        <v>-10596</v>
      </c>
      <c r="BR60" s="225">
        <v>-11500</v>
      </c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7">
        <f t="shared" si="10"/>
        <v>1100</v>
      </c>
      <c r="CD60" s="244"/>
      <c r="CE60" s="244"/>
      <c r="CF60" s="244"/>
    </row>
    <row r="61" spans="1:84" x14ac:dyDescent="0.2">
      <c r="A61" s="251" t="s">
        <v>386</v>
      </c>
      <c r="B61" s="246" t="s">
        <v>397</v>
      </c>
      <c r="C61" s="246" t="s">
        <v>527</v>
      </c>
      <c r="D61" s="246" t="s">
        <v>623</v>
      </c>
      <c r="E61" s="247" t="s">
        <v>215</v>
      </c>
      <c r="F61" s="247" t="s">
        <v>709</v>
      </c>
      <c r="G61" s="233" t="str">
        <f t="shared" si="32"/>
        <v>0</v>
      </c>
      <c r="H61" s="233" t="str">
        <f t="shared" si="33"/>
        <v>1</v>
      </c>
      <c r="I61" s="233" t="str">
        <f t="shared" si="34"/>
        <v>0</v>
      </c>
      <c r="J61" s="233" t="str">
        <f t="shared" si="35"/>
        <v>0</v>
      </c>
      <c r="K61" s="233" t="str">
        <f t="shared" si="36"/>
        <v>0100</v>
      </c>
      <c r="L61" s="247" t="str">
        <f t="shared" si="37"/>
        <v>80012837Connect For Success 18-21</v>
      </c>
      <c r="M61" s="225"/>
      <c r="N61" s="225"/>
      <c r="O61" s="225"/>
      <c r="P61" s="225"/>
      <c r="Q61" s="225">
        <f t="shared" si="38"/>
        <v>0</v>
      </c>
      <c r="R61" s="225"/>
      <c r="S61" s="225">
        <v>20000</v>
      </c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>
        <f t="shared" si="39"/>
        <v>20000</v>
      </c>
      <c r="AG61" s="225"/>
      <c r="AH61" s="225">
        <v>80000</v>
      </c>
      <c r="AI61" s="225"/>
      <c r="AJ61" s="225"/>
      <c r="AK61" s="225">
        <v>-2810.92</v>
      </c>
      <c r="AL61" s="225">
        <v>-17189.080000000002</v>
      </c>
      <c r="AM61" s="225"/>
      <c r="AN61" s="225">
        <v>0</v>
      </c>
      <c r="AO61" s="225">
        <v>0</v>
      </c>
      <c r="AP61" s="225"/>
      <c r="AQ61" s="225"/>
      <c r="AR61" s="225"/>
      <c r="AS61" s="225"/>
      <c r="AT61" s="248">
        <v>0</v>
      </c>
      <c r="AU61" s="248">
        <v>-63460</v>
      </c>
      <c r="AV61" s="248">
        <v>0</v>
      </c>
      <c r="AW61" s="227">
        <f t="shared" si="40"/>
        <v>16540</v>
      </c>
      <c r="AX61" s="249">
        <v>80000</v>
      </c>
      <c r="AY61" s="225">
        <v>0</v>
      </c>
      <c r="AZ61" s="227"/>
      <c r="BA61" s="250">
        <v>-16360</v>
      </c>
      <c r="BB61" s="225">
        <v>0</v>
      </c>
      <c r="BC61" s="225">
        <v>-180</v>
      </c>
      <c r="BD61" s="225">
        <v>0</v>
      </c>
      <c r="BE61" s="225"/>
      <c r="BF61" s="225"/>
      <c r="BG61" s="225">
        <v>0</v>
      </c>
      <c r="BH61" s="225">
        <v>0</v>
      </c>
      <c r="BI61" s="225">
        <v>0</v>
      </c>
      <c r="BJ61" s="248"/>
      <c r="BK61" s="248"/>
      <c r="BL61" s="248">
        <v>-75000</v>
      </c>
      <c r="BM61" s="248">
        <f t="shared" si="41"/>
        <v>5000</v>
      </c>
      <c r="BN61" s="249"/>
      <c r="BO61" s="225"/>
      <c r="BP61" s="248"/>
      <c r="BQ61" s="249">
        <v>-5000</v>
      </c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7">
        <f t="shared" si="10"/>
        <v>0</v>
      </c>
      <c r="CD61" s="244"/>
      <c r="CE61" s="244"/>
      <c r="CF61" s="244"/>
    </row>
    <row r="62" spans="1:84" x14ac:dyDescent="0.2">
      <c r="A62" s="251" t="s">
        <v>222</v>
      </c>
      <c r="B62" s="246" t="s">
        <v>34</v>
      </c>
      <c r="C62" s="246" t="s">
        <v>223</v>
      </c>
      <c r="D62" s="246" t="s">
        <v>111</v>
      </c>
      <c r="E62" s="247" t="s">
        <v>166</v>
      </c>
      <c r="F62" s="247" t="s">
        <v>710</v>
      </c>
      <c r="G62" s="233" t="str">
        <f t="shared" si="32"/>
        <v>1</v>
      </c>
      <c r="H62" s="233" t="str">
        <f t="shared" si="33"/>
        <v>0</v>
      </c>
      <c r="I62" s="233" t="str">
        <f t="shared" si="34"/>
        <v>0</v>
      </c>
      <c r="J62" s="233" t="str">
        <f t="shared" si="35"/>
        <v>0</v>
      </c>
      <c r="K62" s="233" t="str">
        <f t="shared" si="36"/>
        <v>1000</v>
      </c>
      <c r="L62" s="247" t="str">
        <f t="shared" si="37"/>
        <v>1560N/AConsultation</v>
      </c>
      <c r="M62" s="225">
        <v>15000</v>
      </c>
      <c r="N62" s="225"/>
      <c r="O62" s="225"/>
      <c r="P62" s="225"/>
      <c r="Q62" s="225">
        <f t="shared" si="38"/>
        <v>15000</v>
      </c>
      <c r="R62" s="225"/>
      <c r="S62" s="225">
        <v>0</v>
      </c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>
        <f t="shared" si="39"/>
        <v>15000</v>
      </c>
      <c r="AG62" s="225"/>
      <c r="AH62" s="225">
        <v>0</v>
      </c>
      <c r="AI62" s="225"/>
      <c r="AJ62" s="225"/>
      <c r="AK62" s="225"/>
      <c r="AL62" s="225"/>
      <c r="AM62" s="225"/>
      <c r="AN62" s="225">
        <v>0</v>
      </c>
      <c r="AO62" s="225">
        <v>0</v>
      </c>
      <c r="AP62" s="225"/>
      <c r="AQ62" s="225"/>
      <c r="AR62" s="225"/>
      <c r="AS62" s="225"/>
      <c r="AT62" s="248">
        <v>0</v>
      </c>
      <c r="AU62" s="248">
        <v>0</v>
      </c>
      <c r="AV62" s="248">
        <v>0</v>
      </c>
      <c r="AW62" s="227">
        <f t="shared" si="40"/>
        <v>15000</v>
      </c>
      <c r="AX62" s="249">
        <v>0</v>
      </c>
      <c r="AY62" s="225">
        <v>0</v>
      </c>
      <c r="AZ62" s="227"/>
      <c r="BA62" s="250">
        <v>0</v>
      </c>
      <c r="BB62" s="225">
        <v>0</v>
      </c>
      <c r="BC62" s="225">
        <v>0</v>
      </c>
      <c r="BD62" s="225">
        <v>0</v>
      </c>
      <c r="BE62" s="225"/>
      <c r="BF62" s="225"/>
      <c r="BG62" s="225">
        <v>0</v>
      </c>
      <c r="BH62" s="225">
        <v>0</v>
      </c>
      <c r="BI62" s="225">
        <v>0</v>
      </c>
      <c r="BJ62" s="248"/>
      <c r="BK62" s="248"/>
      <c r="BL62" s="248"/>
      <c r="BM62" s="248">
        <f t="shared" si="41"/>
        <v>15000</v>
      </c>
      <c r="BN62" s="249"/>
      <c r="BO62" s="225"/>
      <c r="BP62" s="248"/>
      <c r="BQ62" s="249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7">
        <f t="shared" si="10"/>
        <v>15000</v>
      </c>
      <c r="CD62" s="244"/>
      <c r="CE62" s="244"/>
      <c r="CF62" s="244"/>
    </row>
    <row r="63" spans="1:84" x14ac:dyDescent="0.2">
      <c r="A63" s="245" t="s">
        <v>28</v>
      </c>
      <c r="B63" s="246" t="s">
        <v>34</v>
      </c>
      <c r="C63" s="246" t="s">
        <v>106</v>
      </c>
      <c r="D63" s="246" t="s">
        <v>111</v>
      </c>
      <c r="E63" s="247" t="s">
        <v>166</v>
      </c>
      <c r="F63" s="247" t="s">
        <v>710</v>
      </c>
      <c r="G63" s="233" t="str">
        <f t="shared" si="32"/>
        <v>1</v>
      </c>
      <c r="H63" s="233" t="str">
        <f t="shared" si="33"/>
        <v>0</v>
      </c>
      <c r="I63" s="233" t="str">
        <f t="shared" si="34"/>
        <v>0</v>
      </c>
      <c r="J63" s="233" t="str">
        <f t="shared" si="35"/>
        <v>0</v>
      </c>
      <c r="K63" s="233" t="str">
        <f t="shared" si="36"/>
        <v>1000</v>
      </c>
      <c r="L63" s="247" t="str">
        <f t="shared" si="37"/>
        <v>1570N/AConsultation</v>
      </c>
      <c r="M63" s="225">
        <v>15000</v>
      </c>
      <c r="N63" s="225"/>
      <c r="O63" s="225"/>
      <c r="P63" s="225"/>
      <c r="Q63" s="225">
        <f t="shared" si="38"/>
        <v>15000</v>
      </c>
      <c r="R63" s="225"/>
      <c r="S63" s="225">
        <v>0</v>
      </c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>
        <f t="shared" si="39"/>
        <v>15000</v>
      </c>
      <c r="AG63" s="225"/>
      <c r="AH63" s="225">
        <v>0</v>
      </c>
      <c r="AI63" s="225"/>
      <c r="AJ63" s="225"/>
      <c r="AK63" s="225"/>
      <c r="AL63" s="225"/>
      <c r="AM63" s="225"/>
      <c r="AN63" s="225">
        <v>0</v>
      </c>
      <c r="AO63" s="225">
        <v>0</v>
      </c>
      <c r="AP63" s="225"/>
      <c r="AQ63" s="225"/>
      <c r="AR63" s="225"/>
      <c r="AS63" s="225"/>
      <c r="AT63" s="248">
        <v>0</v>
      </c>
      <c r="AU63" s="248">
        <v>0</v>
      </c>
      <c r="AV63" s="248">
        <v>0</v>
      </c>
      <c r="AW63" s="227">
        <f t="shared" si="40"/>
        <v>15000</v>
      </c>
      <c r="AX63" s="249">
        <v>0</v>
      </c>
      <c r="AY63" s="225">
        <v>0</v>
      </c>
      <c r="AZ63" s="227"/>
      <c r="BA63" s="250">
        <v>0</v>
      </c>
      <c r="BB63" s="225">
        <v>0</v>
      </c>
      <c r="BC63" s="225">
        <v>0</v>
      </c>
      <c r="BD63" s="225">
        <v>0</v>
      </c>
      <c r="BE63" s="225"/>
      <c r="BF63" s="225"/>
      <c r="BG63" s="225">
        <v>0</v>
      </c>
      <c r="BH63" s="225">
        <v>0</v>
      </c>
      <c r="BI63" s="225">
        <v>0</v>
      </c>
      <c r="BJ63" s="248"/>
      <c r="BK63" s="248"/>
      <c r="BL63" s="248"/>
      <c r="BM63" s="248">
        <f t="shared" si="41"/>
        <v>15000</v>
      </c>
      <c r="BN63" s="249"/>
      <c r="BO63" s="225"/>
      <c r="BP63" s="248"/>
      <c r="BQ63" s="249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7">
        <f t="shared" si="10"/>
        <v>15000</v>
      </c>
      <c r="CD63" s="244"/>
      <c r="CE63" s="244"/>
      <c r="CF63" s="244"/>
    </row>
    <row r="64" spans="1:84" x14ac:dyDescent="0.2">
      <c r="A64" s="245" t="s">
        <v>18</v>
      </c>
      <c r="B64" s="246" t="s">
        <v>34</v>
      </c>
      <c r="C64" s="246" t="s">
        <v>613</v>
      </c>
      <c r="D64" s="246" t="s">
        <v>111</v>
      </c>
      <c r="E64" s="247" t="s">
        <v>166</v>
      </c>
      <c r="F64" s="247" t="s">
        <v>710</v>
      </c>
      <c r="G64" s="233" t="str">
        <f t="shared" si="32"/>
        <v>1</v>
      </c>
      <c r="H64" s="233" t="str">
        <f t="shared" si="33"/>
        <v>0</v>
      </c>
      <c r="I64" s="233" t="str">
        <f t="shared" si="34"/>
        <v>0</v>
      </c>
      <c r="J64" s="233" t="str">
        <f t="shared" si="35"/>
        <v>0</v>
      </c>
      <c r="K64" s="233" t="str">
        <f t="shared" si="36"/>
        <v>1000</v>
      </c>
      <c r="L64" s="247" t="str">
        <f t="shared" si="37"/>
        <v>2395N/AConsultation</v>
      </c>
      <c r="M64" s="225">
        <v>15000</v>
      </c>
      <c r="N64" s="225"/>
      <c r="O64" s="225"/>
      <c r="P64" s="225"/>
      <c r="Q64" s="225">
        <f t="shared" si="38"/>
        <v>15000</v>
      </c>
      <c r="R64" s="225"/>
      <c r="S64" s="225">
        <v>0</v>
      </c>
      <c r="T64" s="225"/>
      <c r="U64" s="225">
        <v>-6250</v>
      </c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>
        <f t="shared" si="39"/>
        <v>8750</v>
      </c>
      <c r="AG64" s="225"/>
      <c r="AH64" s="225">
        <v>0</v>
      </c>
      <c r="AI64" s="225"/>
      <c r="AJ64" s="225"/>
      <c r="AK64" s="225"/>
      <c r="AL64" s="225"/>
      <c r="AM64" s="225"/>
      <c r="AN64" s="225">
        <v>0</v>
      </c>
      <c r="AO64" s="225">
        <v>0</v>
      </c>
      <c r="AP64" s="225"/>
      <c r="AQ64" s="225"/>
      <c r="AR64" s="225"/>
      <c r="AS64" s="225"/>
      <c r="AT64" s="248">
        <v>0</v>
      </c>
      <c r="AU64" s="248">
        <v>0</v>
      </c>
      <c r="AV64" s="248">
        <v>0</v>
      </c>
      <c r="AW64" s="227">
        <f t="shared" si="40"/>
        <v>8750</v>
      </c>
      <c r="AX64" s="249">
        <v>0</v>
      </c>
      <c r="AY64" s="225">
        <v>0</v>
      </c>
      <c r="AZ64" s="227"/>
      <c r="BA64" s="250">
        <v>0</v>
      </c>
      <c r="BB64" s="225">
        <v>0</v>
      </c>
      <c r="BC64" s="225">
        <v>0</v>
      </c>
      <c r="BD64" s="225">
        <v>0</v>
      </c>
      <c r="BE64" s="225"/>
      <c r="BF64" s="225"/>
      <c r="BG64" s="225">
        <v>0</v>
      </c>
      <c r="BH64" s="225">
        <v>0</v>
      </c>
      <c r="BI64" s="225">
        <v>0</v>
      </c>
      <c r="BJ64" s="248"/>
      <c r="BK64" s="248"/>
      <c r="BL64" s="248"/>
      <c r="BM64" s="248">
        <f t="shared" si="41"/>
        <v>8750</v>
      </c>
      <c r="BN64" s="249"/>
      <c r="BO64" s="225"/>
      <c r="BP64" s="248"/>
      <c r="BQ64" s="249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7">
        <f t="shared" si="10"/>
        <v>8750</v>
      </c>
      <c r="CD64" s="244"/>
      <c r="CE64" s="244"/>
      <c r="CF64" s="244"/>
    </row>
    <row r="65" spans="1:84" x14ac:dyDescent="0.2">
      <c r="A65" s="245" t="s">
        <v>19</v>
      </c>
      <c r="B65" s="246" t="s">
        <v>44</v>
      </c>
      <c r="C65" s="246" t="s">
        <v>98</v>
      </c>
      <c r="D65" s="246" t="s">
        <v>120</v>
      </c>
      <c r="E65" s="247" t="s">
        <v>166</v>
      </c>
      <c r="F65" s="247" t="s">
        <v>710</v>
      </c>
      <c r="G65" s="233" t="str">
        <f t="shared" si="32"/>
        <v>1</v>
      </c>
      <c r="H65" s="233" t="str">
        <f t="shared" si="33"/>
        <v>0</v>
      </c>
      <c r="I65" s="233" t="str">
        <f t="shared" si="34"/>
        <v>0</v>
      </c>
      <c r="J65" s="233" t="str">
        <f t="shared" si="35"/>
        <v>0</v>
      </c>
      <c r="K65" s="233" t="str">
        <f t="shared" si="36"/>
        <v>1000</v>
      </c>
      <c r="L65" s="247" t="str">
        <f t="shared" si="37"/>
        <v>26901504Consultation</v>
      </c>
      <c r="M65" s="225">
        <v>4020</v>
      </c>
      <c r="N65" s="225"/>
      <c r="O65" s="225"/>
      <c r="P65" s="225"/>
      <c r="Q65" s="225">
        <f t="shared" si="38"/>
        <v>4020</v>
      </c>
      <c r="R65" s="225"/>
      <c r="S65" s="225">
        <v>0</v>
      </c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>
        <f t="shared" si="39"/>
        <v>4020</v>
      </c>
      <c r="AG65" s="225"/>
      <c r="AH65" s="225">
        <v>0</v>
      </c>
      <c r="AI65" s="225"/>
      <c r="AJ65" s="225"/>
      <c r="AK65" s="225"/>
      <c r="AL65" s="225"/>
      <c r="AM65" s="225"/>
      <c r="AN65" s="225">
        <v>0</v>
      </c>
      <c r="AO65" s="225">
        <v>0</v>
      </c>
      <c r="AP65" s="225"/>
      <c r="AQ65" s="225"/>
      <c r="AR65" s="225"/>
      <c r="AS65" s="225"/>
      <c r="AT65" s="248">
        <v>0</v>
      </c>
      <c r="AU65" s="248">
        <v>0</v>
      </c>
      <c r="AV65" s="248">
        <v>0</v>
      </c>
      <c r="AW65" s="227">
        <f t="shared" si="40"/>
        <v>4020</v>
      </c>
      <c r="AX65" s="249">
        <v>0</v>
      </c>
      <c r="AY65" s="225">
        <v>0</v>
      </c>
      <c r="AZ65" s="227"/>
      <c r="BA65" s="250">
        <v>0</v>
      </c>
      <c r="BB65" s="225">
        <v>0</v>
      </c>
      <c r="BC65" s="225">
        <v>0</v>
      </c>
      <c r="BD65" s="225">
        <v>-4020</v>
      </c>
      <c r="BE65" s="225"/>
      <c r="BF65" s="225"/>
      <c r="BG65" s="225">
        <v>0</v>
      </c>
      <c r="BH65" s="225">
        <v>0</v>
      </c>
      <c r="BI65" s="225">
        <v>0</v>
      </c>
      <c r="BJ65" s="248"/>
      <c r="BK65" s="248"/>
      <c r="BL65" s="248"/>
      <c r="BM65" s="248">
        <f t="shared" si="41"/>
        <v>0</v>
      </c>
      <c r="BN65" s="249"/>
      <c r="BO65" s="225"/>
      <c r="BP65" s="248"/>
      <c r="BQ65" s="249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7">
        <f t="shared" si="10"/>
        <v>0</v>
      </c>
      <c r="CD65" s="244"/>
      <c r="CE65" s="244"/>
      <c r="CF65" s="244"/>
    </row>
    <row r="66" spans="1:84" x14ac:dyDescent="0.2">
      <c r="A66" s="245" t="s">
        <v>20</v>
      </c>
      <c r="B66" s="246" t="s">
        <v>34</v>
      </c>
      <c r="C66" s="246" t="s">
        <v>99</v>
      </c>
      <c r="D66" s="246" t="s">
        <v>111</v>
      </c>
      <c r="E66" s="247" t="s">
        <v>166</v>
      </c>
      <c r="F66" s="247" t="s">
        <v>710</v>
      </c>
      <c r="G66" s="233" t="str">
        <f t="shared" si="32"/>
        <v>1</v>
      </c>
      <c r="H66" s="233" t="str">
        <f t="shared" si="33"/>
        <v>0</v>
      </c>
      <c r="I66" s="233" t="str">
        <f t="shared" si="34"/>
        <v>0</v>
      </c>
      <c r="J66" s="233" t="str">
        <f t="shared" si="35"/>
        <v>0</v>
      </c>
      <c r="K66" s="233" t="str">
        <f t="shared" si="36"/>
        <v>1000</v>
      </c>
      <c r="L66" s="247" t="str">
        <f t="shared" si="37"/>
        <v>2760N/AConsultation</v>
      </c>
      <c r="M66" s="225">
        <v>1044</v>
      </c>
      <c r="N66" s="225"/>
      <c r="O66" s="225"/>
      <c r="P66" s="225">
        <v>-1044</v>
      </c>
      <c r="Q66" s="225">
        <f t="shared" si="38"/>
        <v>0</v>
      </c>
      <c r="R66" s="225"/>
      <c r="S66" s="225">
        <v>0</v>
      </c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>
        <f t="shared" si="39"/>
        <v>0</v>
      </c>
      <c r="AG66" s="225"/>
      <c r="AH66" s="225">
        <v>0</v>
      </c>
      <c r="AI66" s="225"/>
      <c r="AJ66" s="225"/>
      <c r="AK66" s="225"/>
      <c r="AL66" s="225"/>
      <c r="AM66" s="225"/>
      <c r="AN66" s="225">
        <v>0</v>
      </c>
      <c r="AO66" s="225">
        <v>0</v>
      </c>
      <c r="AP66" s="225"/>
      <c r="AQ66" s="225"/>
      <c r="AR66" s="225"/>
      <c r="AS66" s="225"/>
      <c r="AT66" s="248">
        <v>0</v>
      </c>
      <c r="AU66" s="248">
        <v>0</v>
      </c>
      <c r="AV66" s="248">
        <v>0</v>
      </c>
      <c r="AW66" s="227">
        <f t="shared" si="40"/>
        <v>0</v>
      </c>
      <c r="AX66" s="249">
        <v>0</v>
      </c>
      <c r="AY66" s="225">
        <v>0</v>
      </c>
      <c r="AZ66" s="227"/>
      <c r="BA66" s="250">
        <v>0</v>
      </c>
      <c r="BB66" s="225">
        <v>0</v>
      </c>
      <c r="BC66" s="225">
        <v>0</v>
      </c>
      <c r="BD66" s="225">
        <v>0</v>
      </c>
      <c r="BE66" s="225"/>
      <c r="BF66" s="225"/>
      <c r="BG66" s="225">
        <v>0</v>
      </c>
      <c r="BH66" s="225">
        <v>0</v>
      </c>
      <c r="BI66" s="225">
        <v>0</v>
      </c>
      <c r="BJ66" s="248"/>
      <c r="BK66" s="248"/>
      <c r="BL66" s="248"/>
      <c r="BM66" s="248">
        <f t="shared" si="41"/>
        <v>0</v>
      </c>
      <c r="BN66" s="249"/>
      <c r="BO66" s="225"/>
      <c r="BP66" s="248"/>
      <c r="BQ66" s="249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7">
        <f t="shared" si="10"/>
        <v>0</v>
      </c>
      <c r="CD66" s="244"/>
      <c r="CE66" s="244"/>
      <c r="CF66" s="244"/>
    </row>
    <row r="67" spans="1:84" x14ac:dyDescent="0.2">
      <c r="A67" s="245" t="s">
        <v>9</v>
      </c>
      <c r="B67" s="246" t="s">
        <v>640</v>
      </c>
      <c r="C67" s="246" t="s">
        <v>90</v>
      </c>
      <c r="D67" s="246" t="s">
        <v>564</v>
      </c>
      <c r="E67" s="247" t="s">
        <v>201</v>
      </c>
      <c r="F67" s="247" t="s">
        <v>711</v>
      </c>
      <c r="G67" s="233" t="str">
        <f t="shared" ref="G67:G76" si="42">IF(M67&gt;0, "1", "0")</f>
        <v>0</v>
      </c>
      <c r="H67" s="233" t="str">
        <f t="shared" ref="H67:H76" si="43">IF(S67&gt;0, "1", "0")</f>
        <v>1</v>
      </c>
      <c r="I67" s="233" t="str">
        <f t="shared" ref="I67:I76" si="44">IF(AI67&gt;0, "1", "0")</f>
        <v>0</v>
      </c>
      <c r="J67" s="233" t="str">
        <f t="shared" ref="J67:J76" si="45">IF(AZ67&gt;0, "1", "0")</f>
        <v>0</v>
      </c>
      <c r="K67" s="233" t="str">
        <f t="shared" ref="K67:K76" si="46">CONCATENATE(G67,H67,I67,J67)</f>
        <v>0100</v>
      </c>
      <c r="L67" s="247" t="str">
        <f t="shared" ref="L67:L76" si="47">A67&amp;B67&amp;E67</f>
        <v>00300022Diagnostic Review 18-19</v>
      </c>
      <c r="M67" s="225"/>
      <c r="N67" s="225"/>
      <c r="O67" s="225"/>
      <c r="P67" s="225"/>
      <c r="Q67" s="225"/>
      <c r="R67" s="225"/>
      <c r="S67" s="225">
        <v>71825</v>
      </c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>
        <f t="shared" ref="AF67:AF76" si="48">SUM(Q67:AE67)</f>
        <v>71825</v>
      </c>
      <c r="AG67" s="225"/>
      <c r="AH67" s="225">
        <v>0</v>
      </c>
      <c r="AI67" s="225"/>
      <c r="AJ67" s="225"/>
      <c r="AK67" s="225"/>
      <c r="AL67" s="225"/>
      <c r="AM67" s="225"/>
      <c r="AN67" s="225">
        <v>0</v>
      </c>
      <c r="AO67" s="225">
        <v>0</v>
      </c>
      <c r="AP67" s="225"/>
      <c r="AQ67" s="225"/>
      <c r="AR67" s="225">
        <v>-2844.44</v>
      </c>
      <c r="AS67" s="225"/>
      <c r="AT67" s="248"/>
      <c r="AU67" s="248"/>
      <c r="AV67" s="248"/>
      <c r="AW67" s="227">
        <f t="shared" ref="AW67:AW76" si="49">SUM(AF67:AV67)</f>
        <v>68980.56</v>
      </c>
      <c r="AX67" s="249"/>
      <c r="AY67" s="225"/>
      <c r="AZ67" s="227"/>
      <c r="BA67" s="250">
        <v>0</v>
      </c>
      <c r="BB67" s="225">
        <v>0</v>
      </c>
      <c r="BC67" s="225">
        <v>-53877.72</v>
      </c>
      <c r="BD67" s="225">
        <v>0</v>
      </c>
      <c r="BE67" s="225"/>
      <c r="BF67" s="225"/>
      <c r="BG67" s="225">
        <v>0</v>
      </c>
      <c r="BH67" s="225">
        <v>0</v>
      </c>
      <c r="BI67" s="225">
        <v>0</v>
      </c>
      <c r="BJ67" s="248"/>
      <c r="BK67" s="248"/>
      <c r="BL67" s="248"/>
      <c r="BM67" s="248">
        <f>SUM(AW67:BL67)</f>
        <v>15102.839999999997</v>
      </c>
      <c r="BN67" s="249"/>
      <c r="BO67" s="225"/>
      <c r="BP67" s="248"/>
      <c r="BQ67" s="249">
        <v>-7273.62</v>
      </c>
      <c r="BR67" s="225"/>
      <c r="BS67" s="225">
        <v>-7579.22</v>
      </c>
      <c r="BT67" s="225"/>
      <c r="BU67" s="225"/>
      <c r="BV67" s="225"/>
      <c r="BW67" s="225"/>
      <c r="BX67" s="225"/>
      <c r="BY67" s="225"/>
      <c r="BZ67" s="225"/>
      <c r="CA67" s="225"/>
      <c r="CB67" s="225"/>
      <c r="CC67" s="227">
        <f t="shared" ref="CC67:CC80" si="50">SUM(BM67:CB67)</f>
        <v>249.99999999999636</v>
      </c>
      <c r="CD67" s="244"/>
      <c r="CE67" s="244"/>
      <c r="CF67" s="244"/>
    </row>
    <row r="68" spans="1:84" x14ac:dyDescent="0.2">
      <c r="A68" s="245" t="s">
        <v>9</v>
      </c>
      <c r="B68" s="246" t="s">
        <v>640</v>
      </c>
      <c r="C68" s="246" t="s">
        <v>90</v>
      </c>
      <c r="D68" s="246" t="s">
        <v>564</v>
      </c>
      <c r="E68" s="247" t="s">
        <v>202</v>
      </c>
      <c r="F68" s="247" t="s">
        <v>711</v>
      </c>
      <c r="G68" s="233" t="str">
        <f t="shared" si="42"/>
        <v>0</v>
      </c>
      <c r="H68" s="233" t="str">
        <f t="shared" si="43"/>
        <v>0</v>
      </c>
      <c r="I68" s="233" t="str">
        <f t="shared" si="44"/>
        <v>1</v>
      </c>
      <c r="J68" s="233" t="str">
        <f t="shared" si="45"/>
        <v>0</v>
      </c>
      <c r="K68" s="233" t="str">
        <f t="shared" si="46"/>
        <v>0010</v>
      </c>
      <c r="L68" s="247" t="str">
        <f t="shared" si="47"/>
        <v>00300022Diagnostic Review 19-20</v>
      </c>
      <c r="M68" s="225"/>
      <c r="N68" s="225"/>
      <c r="O68" s="225"/>
      <c r="P68" s="225"/>
      <c r="Q68" s="225">
        <f t="shared" ref="Q68:Q76" si="51">SUM(M68:P68)</f>
        <v>0</v>
      </c>
      <c r="R68" s="225"/>
      <c r="S68" s="225">
        <v>0</v>
      </c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>
        <f t="shared" si="48"/>
        <v>0</v>
      </c>
      <c r="AG68" s="225"/>
      <c r="AH68" s="225">
        <v>0</v>
      </c>
      <c r="AI68" s="225">
        <v>11050</v>
      </c>
      <c r="AJ68" s="225"/>
      <c r="AK68" s="225"/>
      <c r="AL68" s="225"/>
      <c r="AM68" s="225"/>
      <c r="AN68" s="225">
        <v>0</v>
      </c>
      <c r="AO68" s="225">
        <v>0</v>
      </c>
      <c r="AP68" s="225"/>
      <c r="AQ68" s="225"/>
      <c r="AR68" s="225">
        <v>0</v>
      </c>
      <c r="AS68" s="225"/>
      <c r="AT68" s="248">
        <v>0</v>
      </c>
      <c r="AU68" s="248">
        <v>-250</v>
      </c>
      <c r="AV68" s="248">
        <v>0</v>
      </c>
      <c r="AW68" s="227">
        <f t="shared" si="49"/>
        <v>10800</v>
      </c>
      <c r="AX68" s="249">
        <v>0</v>
      </c>
      <c r="AY68" s="225">
        <v>0</v>
      </c>
      <c r="AZ68" s="227"/>
      <c r="BA68" s="250">
        <v>0</v>
      </c>
      <c r="BB68" s="225">
        <v>0</v>
      </c>
      <c r="BC68" s="225">
        <v>0</v>
      </c>
      <c r="BD68" s="225">
        <v>0</v>
      </c>
      <c r="BE68" s="225"/>
      <c r="BF68" s="225"/>
      <c r="BG68" s="225">
        <v>0</v>
      </c>
      <c r="BH68" s="225">
        <v>0</v>
      </c>
      <c r="BI68" s="225">
        <v>0</v>
      </c>
      <c r="BJ68" s="248"/>
      <c r="BK68" s="248"/>
      <c r="BL68" s="248"/>
      <c r="BM68" s="248">
        <f t="shared" ref="BM68:BM80" si="52">SUM(AW68:BL68)</f>
        <v>10800</v>
      </c>
      <c r="BN68" s="249"/>
      <c r="BO68" s="225"/>
      <c r="BP68" s="248"/>
      <c r="BQ68" s="249">
        <v>0</v>
      </c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7">
        <f t="shared" si="50"/>
        <v>10800</v>
      </c>
      <c r="CD68" s="244"/>
      <c r="CE68" s="244"/>
      <c r="CF68" s="244"/>
    </row>
    <row r="69" spans="1:84" x14ac:dyDescent="0.2">
      <c r="A69" s="245">
        <v>30</v>
      </c>
      <c r="B69" s="246" t="s">
        <v>342</v>
      </c>
      <c r="C69" s="246" t="s">
        <v>90</v>
      </c>
      <c r="D69" s="246" t="s">
        <v>561</v>
      </c>
      <c r="E69" s="247" t="s">
        <v>201</v>
      </c>
      <c r="F69" s="247" t="s">
        <v>711</v>
      </c>
      <c r="G69" s="233" t="str">
        <f t="shared" si="42"/>
        <v>0</v>
      </c>
      <c r="H69" s="233" t="str">
        <f t="shared" si="43"/>
        <v>1</v>
      </c>
      <c r="I69" s="233" t="str">
        <f t="shared" si="44"/>
        <v>0</v>
      </c>
      <c r="J69" s="233" t="str">
        <f t="shared" si="45"/>
        <v>0</v>
      </c>
      <c r="K69" s="233" t="str">
        <f t="shared" si="46"/>
        <v>0100</v>
      </c>
      <c r="L69" s="247" t="str">
        <f t="shared" si="47"/>
        <v>300024Diagnostic Review 18-19</v>
      </c>
      <c r="M69" s="225"/>
      <c r="N69" s="225"/>
      <c r="O69" s="225"/>
      <c r="P69" s="225"/>
      <c r="Q69" s="225">
        <f t="shared" si="51"/>
        <v>0</v>
      </c>
      <c r="R69" s="225"/>
      <c r="S69" s="225">
        <v>71825</v>
      </c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>
        <f t="shared" si="48"/>
        <v>71825</v>
      </c>
      <c r="AG69" s="225"/>
      <c r="AH69" s="225">
        <v>0</v>
      </c>
      <c r="AI69" s="225"/>
      <c r="AJ69" s="225"/>
      <c r="AK69" s="225"/>
      <c r="AL69" s="225"/>
      <c r="AM69" s="225"/>
      <c r="AN69" s="225">
        <v>0</v>
      </c>
      <c r="AO69" s="225">
        <v>0</v>
      </c>
      <c r="AP69" s="225"/>
      <c r="AQ69" s="225"/>
      <c r="AR69" s="225">
        <v>-8162.66</v>
      </c>
      <c r="AS69" s="225"/>
      <c r="AT69" s="248">
        <v>0</v>
      </c>
      <c r="AU69" s="248">
        <v>-1500</v>
      </c>
      <c r="AV69" s="248">
        <v>0</v>
      </c>
      <c r="AW69" s="227">
        <f t="shared" si="49"/>
        <v>62162.34</v>
      </c>
      <c r="AX69" s="249">
        <v>0</v>
      </c>
      <c r="AY69" s="225">
        <v>0</v>
      </c>
      <c r="AZ69" s="227"/>
      <c r="BA69" s="250">
        <v>0</v>
      </c>
      <c r="BB69" s="225">
        <v>0</v>
      </c>
      <c r="BC69" s="225">
        <v>-48657.33</v>
      </c>
      <c r="BD69" s="225">
        <v>0</v>
      </c>
      <c r="BE69" s="225"/>
      <c r="BF69" s="225"/>
      <c r="BG69" s="225">
        <v>0</v>
      </c>
      <c r="BH69" s="225">
        <v>0</v>
      </c>
      <c r="BI69" s="225">
        <v>0</v>
      </c>
      <c r="BJ69" s="248"/>
      <c r="BK69" s="248"/>
      <c r="BL69" s="248"/>
      <c r="BM69" s="248">
        <f t="shared" si="52"/>
        <v>13505.009999999995</v>
      </c>
      <c r="BN69" s="249"/>
      <c r="BO69" s="225"/>
      <c r="BP69" s="248"/>
      <c r="BQ69" s="249">
        <v>-7273.62</v>
      </c>
      <c r="BR69" s="225"/>
      <c r="BS69" s="225">
        <v>-6231.39</v>
      </c>
      <c r="BT69" s="225"/>
      <c r="BU69" s="225"/>
      <c r="BV69" s="225"/>
      <c r="BW69" s="225"/>
      <c r="BX69" s="225"/>
      <c r="BY69" s="225"/>
      <c r="BZ69" s="225"/>
      <c r="CA69" s="225"/>
      <c r="CB69" s="225"/>
      <c r="CC69" s="227">
        <f t="shared" si="50"/>
        <v>0</v>
      </c>
      <c r="CD69" s="244"/>
      <c r="CE69" s="244"/>
      <c r="CF69" s="244"/>
    </row>
    <row r="70" spans="1:84" x14ac:dyDescent="0.2">
      <c r="A70" s="245" t="s">
        <v>9</v>
      </c>
      <c r="B70" s="246" t="s">
        <v>343</v>
      </c>
      <c r="C70" s="246" t="s">
        <v>90</v>
      </c>
      <c r="D70" s="246" t="s">
        <v>562</v>
      </c>
      <c r="E70" s="247" t="s">
        <v>201</v>
      </c>
      <c r="F70" s="247" t="s">
        <v>711</v>
      </c>
      <c r="G70" s="233" t="str">
        <f t="shared" si="42"/>
        <v>0</v>
      </c>
      <c r="H70" s="233" t="str">
        <f t="shared" si="43"/>
        <v>1</v>
      </c>
      <c r="I70" s="233" t="str">
        <f t="shared" si="44"/>
        <v>0</v>
      </c>
      <c r="J70" s="233" t="str">
        <f t="shared" si="45"/>
        <v>0</v>
      </c>
      <c r="K70" s="233" t="str">
        <f t="shared" si="46"/>
        <v>0100</v>
      </c>
      <c r="L70" s="247" t="str">
        <f t="shared" si="47"/>
        <v>00300186Diagnostic Review 18-19</v>
      </c>
      <c r="M70" s="225"/>
      <c r="N70" s="225"/>
      <c r="O70" s="225"/>
      <c r="P70" s="225"/>
      <c r="Q70" s="225">
        <f t="shared" si="51"/>
        <v>0</v>
      </c>
      <c r="R70" s="225"/>
      <c r="S70" s="225">
        <v>71825</v>
      </c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>
        <f t="shared" si="48"/>
        <v>71825</v>
      </c>
      <c r="AG70" s="225"/>
      <c r="AH70" s="225">
        <v>0</v>
      </c>
      <c r="AI70" s="225"/>
      <c r="AJ70" s="225"/>
      <c r="AK70" s="225"/>
      <c r="AL70" s="225"/>
      <c r="AM70" s="225"/>
      <c r="AN70" s="225">
        <v>0</v>
      </c>
      <c r="AO70" s="225">
        <v>0</v>
      </c>
      <c r="AP70" s="225"/>
      <c r="AQ70" s="225"/>
      <c r="AR70" s="225">
        <v>-4380.04</v>
      </c>
      <c r="AS70" s="225"/>
      <c r="AT70" s="248">
        <v>-738.8</v>
      </c>
      <c r="AU70" s="248">
        <v>-1200</v>
      </c>
      <c r="AV70" s="248">
        <v>0</v>
      </c>
      <c r="AW70" s="227">
        <f t="shared" si="49"/>
        <v>65506.16</v>
      </c>
      <c r="AX70" s="249">
        <v>0</v>
      </c>
      <c r="AY70" s="225">
        <v>0</v>
      </c>
      <c r="AZ70" s="227"/>
      <c r="BA70" s="250">
        <v>0</v>
      </c>
      <c r="BB70" s="225">
        <v>0</v>
      </c>
      <c r="BC70" s="225">
        <v>-53122.25</v>
      </c>
      <c r="BD70" s="225">
        <v>-2252.1</v>
      </c>
      <c r="BE70" s="225"/>
      <c r="BF70" s="225">
        <v>-181.17</v>
      </c>
      <c r="BG70" s="225">
        <v>0</v>
      </c>
      <c r="BH70" s="225">
        <v>0</v>
      </c>
      <c r="BI70" s="225">
        <v>0</v>
      </c>
      <c r="BJ70" s="248"/>
      <c r="BK70" s="248"/>
      <c r="BL70" s="248"/>
      <c r="BM70" s="248">
        <f t="shared" si="52"/>
        <v>9950.6400000000031</v>
      </c>
      <c r="BN70" s="249"/>
      <c r="BO70" s="225"/>
      <c r="BP70" s="248"/>
      <c r="BQ70" s="249"/>
      <c r="BR70" s="225"/>
      <c r="BS70" s="225">
        <v>-9950.64</v>
      </c>
      <c r="BT70" s="225"/>
      <c r="BU70" s="225"/>
      <c r="BV70" s="225"/>
      <c r="BW70" s="225"/>
      <c r="BX70" s="225"/>
      <c r="BY70" s="225"/>
      <c r="BZ70" s="225"/>
      <c r="CA70" s="225"/>
      <c r="CB70" s="225"/>
      <c r="CC70" s="227">
        <f t="shared" si="50"/>
        <v>0</v>
      </c>
      <c r="CD70" s="244"/>
      <c r="CE70" s="244"/>
      <c r="CF70" s="244"/>
    </row>
    <row r="71" spans="1:84" x14ac:dyDescent="0.2">
      <c r="A71" s="245" t="s">
        <v>9</v>
      </c>
      <c r="B71" s="246" t="s">
        <v>344</v>
      </c>
      <c r="C71" s="246" t="s">
        <v>90</v>
      </c>
      <c r="D71" s="246" t="s">
        <v>563</v>
      </c>
      <c r="E71" s="247" t="s">
        <v>201</v>
      </c>
      <c r="F71" s="247" t="s">
        <v>711</v>
      </c>
      <c r="G71" s="233" t="str">
        <f t="shared" si="42"/>
        <v>0</v>
      </c>
      <c r="H71" s="233" t="str">
        <f t="shared" si="43"/>
        <v>1</v>
      </c>
      <c r="I71" s="233" t="str">
        <f t="shared" si="44"/>
        <v>0</v>
      </c>
      <c r="J71" s="233" t="str">
        <f t="shared" si="45"/>
        <v>0</v>
      </c>
      <c r="K71" s="233" t="str">
        <f t="shared" si="46"/>
        <v>0100</v>
      </c>
      <c r="L71" s="247" t="str">
        <f t="shared" si="47"/>
        <v>00302308Diagnostic Review 18-19</v>
      </c>
      <c r="M71" s="225"/>
      <c r="N71" s="225"/>
      <c r="O71" s="225"/>
      <c r="P71" s="225"/>
      <c r="Q71" s="225">
        <f t="shared" si="51"/>
        <v>0</v>
      </c>
      <c r="R71" s="225"/>
      <c r="S71" s="225">
        <v>71825</v>
      </c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>
        <f t="shared" si="48"/>
        <v>71825</v>
      </c>
      <c r="AG71" s="225"/>
      <c r="AH71" s="225">
        <v>0</v>
      </c>
      <c r="AI71" s="225"/>
      <c r="AJ71" s="225"/>
      <c r="AK71" s="225"/>
      <c r="AL71" s="225"/>
      <c r="AM71" s="225"/>
      <c r="AN71" s="225">
        <v>0</v>
      </c>
      <c r="AO71" s="225">
        <v>0</v>
      </c>
      <c r="AP71" s="225"/>
      <c r="AQ71" s="225"/>
      <c r="AR71" s="225">
        <v>-2396.2199999999998</v>
      </c>
      <c r="AS71" s="225"/>
      <c r="AT71" s="248">
        <v>0</v>
      </c>
      <c r="AU71" s="248">
        <v>-550</v>
      </c>
      <c r="AV71" s="248">
        <v>0</v>
      </c>
      <c r="AW71" s="227">
        <f t="shared" si="49"/>
        <v>68878.78</v>
      </c>
      <c r="AX71" s="249">
        <v>0</v>
      </c>
      <c r="AY71" s="225">
        <v>0</v>
      </c>
      <c r="AZ71" s="227"/>
      <c r="BA71" s="250">
        <v>0</v>
      </c>
      <c r="BB71" s="225">
        <v>0</v>
      </c>
      <c r="BC71" s="225">
        <v>-54723.79</v>
      </c>
      <c r="BD71" s="225">
        <v>-303.68</v>
      </c>
      <c r="BE71" s="225"/>
      <c r="BF71" s="225">
        <v>-24.29</v>
      </c>
      <c r="BG71" s="225">
        <v>-440.72</v>
      </c>
      <c r="BH71" s="225">
        <v>0</v>
      </c>
      <c r="BI71" s="225">
        <v>0</v>
      </c>
      <c r="BJ71" s="248"/>
      <c r="BK71" s="248"/>
      <c r="BL71" s="248"/>
      <c r="BM71" s="248">
        <f t="shared" si="52"/>
        <v>13386.299999999997</v>
      </c>
      <c r="BN71" s="249"/>
      <c r="BO71" s="225"/>
      <c r="BP71" s="248"/>
      <c r="BQ71" s="249"/>
      <c r="BR71" s="225"/>
      <c r="BS71" s="225">
        <v>-13386.3</v>
      </c>
      <c r="BT71" s="225"/>
      <c r="BU71" s="225"/>
      <c r="BV71" s="225"/>
      <c r="BW71" s="225"/>
      <c r="BX71" s="225"/>
      <c r="BY71" s="225"/>
      <c r="BZ71" s="225"/>
      <c r="CA71" s="225"/>
      <c r="CB71" s="225"/>
      <c r="CC71" s="227">
        <f t="shared" si="50"/>
        <v>0</v>
      </c>
      <c r="CD71" s="244"/>
      <c r="CE71" s="244"/>
      <c r="CF71" s="244"/>
    </row>
    <row r="72" spans="1:84" x14ac:dyDescent="0.2">
      <c r="A72" s="245" t="s">
        <v>9</v>
      </c>
      <c r="B72" s="246" t="s">
        <v>345</v>
      </c>
      <c r="C72" s="246" t="s">
        <v>90</v>
      </c>
      <c r="D72" s="246" t="s">
        <v>346</v>
      </c>
      <c r="E72" s="247" t="s">
        <v>201</v>
      </c>
      <c r="F72" s="247" t="s">
        <v>711</v>
      </c>
      <c r="G72" s="233" t="str">
        <f t="shared" si="42"/>
        <v>0</v>
      </c>
      <c r="H72" s="233" t="str">
        <f t="shared" si="43"/>
        <v>1</v>
      </c>
      <c r="I72" s="233" t="str">
        <f t="shared" si="44"/>
        <v>0</v>
      </c>
      <c r="J72" s="233" t="str">
        <f t="shared" si="45"/>
        <v>0</v>
      </c>
      <c r="K72" s="233" t="str">
        <f t="shared" si="46"/>
        <v>0100</v>
      </c>
      <c r="L72" s="247" t="str">
        <f t="shared" si="47"/>
        <v>00304516Diagnostic Review 18-19</v>
      </c>
      <c r="M72" s="225"/>
      <c r="N72" s="225"/>
      <c r="O72" s="225"/>
      <c r="P72" s="225"/>
      <c r="Q72" s="225">
        <f t="shared" si="51"/>
        <v>0</v>
      </c>
      <c r="R72" s="225"/>
      <c r="S72" s="225">
        <v>44200</v>
      </c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>
        <f t="shared" si="48"/>
        <v>44200</v>
      </c>
      <c r="AG72" s="225"/>
      <c r="AH72" s="225">
        <v>0</v>
      </c>
      <c r="AI72" s="225"/>
      <c r="AJ72" s="225"/>
      <c r="AK72" s="225"/>
      <c r="AL72" s="225"/>
      <c r="AM72" s="225"/>
      <c r="AN72" s="225">
        <v>0</v>
      </c>
      <c r="AO72" s="225">
        <v>0</v>
      </c>
      <c r="AP72" s="225"/>
      <c r="AQ72" s="225"/>
      <c r="AR72" s="225"/>
      <c r="AS72" s="225"/>
      <c r="AT72" s="248">
        <v>0</v>
      </c>
      <c r="AU72" s="248">
        <v>0</v>
      </c>
      <c r="AV72" s="248">
        <v>0</v>
      </c>
      <c r="AW72" s="227">
        <f t="shared" si="49"/>
        <v>44200</v>
      </c>
      <c r="AX72" s="249">
        <v>0</v>
      </c>
      <c r="AY72" s="225">
        <v>0</v>
      </c>
      <c r="AZ72" s="227"/>
      <c r="BA72" s="250">
        <v>0</v>
      </c>
      <c r="BB72" s="225">
        <v>0</v>
      </c>
      <c r="BC72" s="225">
        <v>-29700</v>
      </c>
      <c r="BD72" s="225">
        <v>-1552.48</v>
      </c>
      <c r="BE72" s="225"/>
      <c r="BF72" s="225">
        <v>-124.2</v>
      </c>
      <c r="BG72" s="225">
        <v>0</v>
      </c>
      <c r="BH72" s="225">
        <v>0</v>
      </c>
      <c r="BI72" s="225">
        <v>0</v>
      </c>
      <c r="BJ72" s="248"/>
      <c r="BK72" s="248"/>
      <c r="BL72" s="248"/>
      <c r="BM72" s="248">
        <f t="shared" si="52"/>
        <v>12823.32</v>
      </c>
      <c r="BN72" s="249"/>
      <c r="BO72" s="225"/>
      <c r="BP72" s="248"/>
      <c r="BQ72" s="249">
        <v>-7273.62</v>
      </c>
      <c r="BR72" s="225"/>
      <c r="BS72" s="225">
        <v>-5549.7</v>
      </c>
      <c r="BT72" s="225"/>
      <c r="BU72" s="225"/>
      <c r="BV72" s="225"/>
      <c r="BW72" s="225"/>
      <c r="BX72" s="225"/>
      <c r="BY72" s="225"/>
      <c r="BZ72" s="225"/>
      <c r="CA72" s="225"/>
      <c r="CB72" s="225"/>
      <c r="CC72" s="227">
        <f t="shared" si="50"/>
        <v>0</v>
      </c>
      <c r="CD72" s="244"/>
      <c r="CE72" s="244"/>
      <c r="CF72" s="244"/>
    </row>
    <row r="73" spans="1:84" x14ac:dyDescent="0.2">
      <c r="A73" s="245" t="s">
        <v>9</v>
      </c>
      <c r="B73" s="246" t="s">
        <v>347</v>
      </c>
      <c r="C73" s="246" t="s">
        <v>90</v>
      </c>
      <c r="D73" s="246" t="s">
        <v>565</v>
      </c>
      <c r="E73" s="247" t="s">
        <v>201</v>
      </c>
      <c r="F73" s="247" t="s">
        <v>711</v>
      </c>
      <c r="G73" s="233" t="str">
        <f t="shared" si="42"/>
        <v>0</v>
      </c>
      <c r="H73" s="233" t="str">
        <f t="shared" si="43"/>
        <v>1</v>
      </c>
      <c r="I73" s="233" t="str">
        <f t="shared" si="44"/>
        <v>1</v>
      </c>
      <c r="J73" s="233" t="str">
        <f t="shared" si="45"/>
        <v>0</v>
      </c>
      <c r="K73" s="233" t="str">
        <f t="shared" si="46"/>
        <v>0110</v>
      </c>
      <c r="L73" s="247" t="str">
        <f t="shared" si="47"/>
        <v>00304536Diagnostic Review 18-19</v>
      </c>
      <c r="M73" s="225"/>
      <c r="N73" s="225"/>
      <c r="O73" s="225"/>
      <c r="P73" s="225"/>
      <c r="Q73" s="225">
        <f t="shared" si="51"/>
        <v>0</v>
      </c>
      <c r="R73" s="225"/>
      <c r="S73" s="225">
        <v>71825</v>
      </c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>
        <f t="shared" si="48"/>
        <v>71825</v>
      </c>
      <c r="AG73" s="225"/>
      <c r="AH73" s="225">
        <v>0</v>
      </c>
      <c r="AI73" s="225">
        <v>11050</v>
      </c>
      <c r="AJ73" s="225"/>
      <c r="AK73" s="225"/>
      <c r="AL73" s="225"/>
      <c r="AM73" s="225"/>
      <c r="AN73" s="225">
        <v>0</v>
      </c>
      <c r="AO73" s="225">
        <v>0</v>
      </c>
      <c r="AP73" s="225"/>
      <c r="AQ73" s="225"/>
      <c r="AR73" s="225">
        <v>-2721.05</v>
      </c>
      <c r="AS73" s="225"/>
      <c r="AT73" s="248">
        <v>0</v>
      </c>
      <c r="AU73" s="248">
        <v>-550</v>
      </c>
      <c r="AV73" s="248">
        <v>0</v>
      </c>
      <c r="AW73" s="227">
        <f t="shared" si="49"/>
        <v>79603.95</v>
      </c>
      <c r="AX73" s="249">
        <v>0</v>
      </c>
      <c r="AY73" s="225">
        <v>0</v>
      </c>
      <c r="AZ73" s="227"/>
      <c r="BA73" s="250">
        <v>0</v>
      </c>
      <c r="BB73" s="225">
        <v>0</v>
      </c>
      <c r="BC73" s="225">
        <v>-54041.37</v>
      </c>
      <c r="BD73" s="225">
        <v>0</v>
      </c>
      <c r="BE73" s="225"/>
      <c r="BF73" s="225"/>
      <c r="BG73" s="225">
        <v>0</v>
      </c>
      <c r="BH73" s="225">
        <v>0</v>
      </c>
      <c r="BI73" s="225">
        <v>0</v>
      </c>
      <c r="BJ73" s="248"/>
      <c r="BK73" s="248"/>
      <c r="BL73" s="248"/>
      <c r="BM73" s="248">
        <f t="shared" si="52"/>
        <v>25562.579999999994</v>
      </c>
      <c r="BN73" s="249"/>
      <c r="BO73" s="225"/>
      <c r="BP73" s="248"/>
      <c r="BQ73" s="249"/>
      <c r="BR73" s="225"/>
      <c r="BS73" s="225">
        <v>-14512.58</v>
      </c>
      <c r="BT73" s="225"/>
      <c r="BU73" s="225"/>
      <c r="BV73" s="225"/>
      <c r="BW73" s="225"/>
      <c r="BX73" s="225"/>
      <c r="BY73" s="225"/>
      <c r="BZ73" s="225"/>
      <c r="CA73" s="225"/>
      <c r="CB73" s="225"/>
      <c r="CC73" s="227">
        <f t="shared" si="50"/>
        <v>11049.999999999995</v>
      </c>
      <c r="CD73" s="244"/>
      <c r="CE73" s="244"/>
      <c r="CF73" s="244"/>
    </row>
    <row r="74" spans="1:84" x14ac:dyDescent="0.2">
      <c r="A74" s="245" t="s">
        <v>9</v>
      </c>
      <c r="B74" s="246" t="s">
        <v>295</v>
      </c>
      <c r="C74" s="246" t="s">
        <v>90</v>
      </c>
      <c r="D74" s="246" t="s">
        <v>280</v>
      </c>
      <c r="E74" s="247" t="s">
        <v>201</v>
      </c>
      <c r="F74" s="247" t="s">
        <v>711</v>
      </c>
      <c r="G74" s="233" t="str">
        <f t="shared" si="42"/>
        <v>0</v>
      </c>
      <c r="H74" s="233" t="str">
        <f t="shared" si="43"/>
        <v>1</v>
      </c>
      <c r="I74" s="233" t="str">
        <f t="shared" si="44"/>
        <v>1</v>
      </c>
      <c r="J74" s="233" t="str">
        <f t="shared" si="45"/>
        <v>0</v>
      </c>
      <c r="K74" s="233" t="str">
        <f t="shared" si="46"/>
        <v>0110</v>
      </c>
      <c r="L74" s="247" t="str">
        <f t="shared" si="47"/>
        <v>00305982Diagnostic Review 18-19</v>
      </c>
      <c r="M74" s="225"/>
      <c r="N74" s="225"/>
      <c r="O74" s="225"/>
      <c r="P74" s="225"/>
      <c r="Q74" s="225">
        <f t="shared" si="51"/>
        <v>0</v>
      </c>
      <c r="R74" s="225"/>
      <c r="S74" s="225">
        <v>71825</v>
      </c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>
        <f t="shared" si="48"/>
        <v>71825</v>
      </c>
      <c r="AG74" s="225"/>
      <c r="AH74" s="225">
        <v>0</v>
      </c>
      <c r="AI74" s="225">
        <v>11050</v>
      </c>
      <c r="AJ74" s="225"/>
      <c r="AK74" s="225"/>
      <c r="AL74" s="225"/>
      <c r="AM74" s="225"/>
      <c r="AN74" s="225">
        <v>0</v>
      </c>
      <c r="AO74" s="225">
        <v>0</v>
      </c>
      <c r="AP74" s="225"/>
      <c r="AQ74" s="225"/>
      <c r="AR74" s="225">
        <v>-2313.7399999999998</v>
      </c>
      <c r="AS74" s="225"/>
      <c r="AT74" s="248">
        <v>0</v>
      </c>
      <c r="AU74" s="248">
        <v>0</v>
      </c>
      <c r="AV74" s="248">
        <v>0</v>
      </c>
      <c r="AW74" s="227">
        <f t="shared" si="49"/>
        <v>80561.259999999995</v>
      </c>
      <c r="AX74" s="249">
        <v>0</v>
      </c>
      <c r="AY74" s="225">
        <v>0</v>
      </c>
      <c r="AZ74" s="227"/>
      <c r="BA74" s="250">
        <v>0</v>
      </c>
      <c r="BB74" s="225">
        <v>0</v>
      </c>
      <c r="BC74" s="225">
        <v>-54802</v>
      </c>
      <c r="BD74" s="225">
        <v>0</v>
      </c>
      <c r="BE74" s="225"/>
      <c r="BF74" s="225"/>
      <c r="BG74" s="225">
        <v>0</v>
      </c>
      <c r="BH74" s="225">
        <v>0</v>
      </c>
      <c r="BI74" s="225">
        <v>0</v>
      </c>
      <c r="BJ74" s="248"/>
      <c r="BK74" s="248"/>
      <c r="BL74" s="248"/>
      <c r="BM74" s="248">
        <f t="shared" si="52"/>
        <v>25759.259999999995</v>
      </c>
      <c r="BN74" s="249"/>
      <c r="BO74" s="225"/>
      <c r="BP74" s="248"/>
      <c r="BQ74" s="249">
        <v>-7273.62</v>
      </c>
      <c r="BR74" s="225"/>
      <c r="BS74" s="225">
        <v>-7435.64</v>
      </c>
      <c r="BT74" s="225"/>
      <c r="BU74" s="225"/>
      <c r="BV74" s="225"/>
      <c r="BW74" s="225"/>
      <c r="BX74" s="225"/>
      <c r="BY74" s="225"/>
      <c r="BZ74" s="225"/>
      <c r="CA74" s="225"/>
      <c r="CB74" s="225"/>
      <c r="CC74" s="227">
        <f t="shared" si="50"/>
        <v>11049.999999999996</v>
      </c>
      <c r="CD74" s="244"/>
      <c r="CE74" s="244"/>
      <c r="CF74" s="244"/>
    </row>
    <row r="75" spans="1:84" x14ac:dyDescent="0.2">
      <c r="A75" s="245" t="s">
        <v>9</v>
      </c>
      <c r="B75" s="246" t="s">
        <v>348</v>
      </c>
      <c r="C75" s="246" t="s">
        <v>90</v>
      </c>
      <c r="D75" s="246" t="s">
        <v>566</v>
      </c>
      <c r="E75" s="247" t="s">
        <v>201</v>
      </c>
      <c r="F75" s="247" t="s">
        <v>711</v>
      </c>
      <c r="G75" s="233" t="str">
        <f t="shared" si="42"/>
        <v>0</v>
      </c>
      <c r="H75" s="233" t="str">
        <f t="shared" si="43"/>
        <v>1</v>
      </c>
      <c r="I75" s="233" t="str">
        <f t="shared" si="44"/>
        <v>1</v>
      </c>
      <c r="J75" s="233" t="str">
        <f t="shared" si="45"/>
        <v>0</v>
      </c>
      <c r="K75" s="233" t="str">
        <f t="shared" si="46"/>
        <v>0110</v>
      </c>
      <c r="L75" s="247" t="str">
        <f t="shared" si="47"/>
        <v>00306534Diagnostic Review 18-19</v>
      </c>
      <c r="M75" s="225"/>
      <c r="N75" s="225"/>
      <c r="O75" s="225"/>
      <c r="P75" s="225"/>
      <c r="Q75" s="225">
        <f t="shared" si="51"/>
        <v>0</v>
      </c>
      <c r="R75" s="225"/>
      <c r="S75" s="225">
        <v>71825</v>
      </c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>
        <f t="shared" si="48"/>
        <v>71825</v>
      </c>
      <c r="AG75" s="225"/>
      <c r="AH75" s="225">
        <v>0</v>
      </c>
      <c r="AI75" s="225">
        <v>11050</v>
      </c>
      <c r="AJ75" s="225"/>
      <c r="AK75" s="225"/>
      <c r="AL75" s="225"/>
      <c r="AM75" s="225"/>
      <c r="AN75" s="225">
        <v>0</v>
      </c>
      <c r="AO75" s="225">
        <v>0</v>
      </c>
      <c r="AP75" s="225"/>
      <c r="AQ75" s="225"/>
      <c r="AR75" s="225">
        <v>-6344.44</v>
      </c>
      <c r="AS75" s="225"/>
      <c r="AT75" s="248">
        <v>0</v>
      </c>
      <c r="AU75" s="248">
        <v>-450</v>
      </c>
      <c r="AV75" s="248">
        <v>0</v>
      </c>
      <c r="AW75" s="227">
        <f t="shared" si="49"/>
        <v>76080.56</v>
      </c>
      <c r="AX75" s="249">
        <v>0</v>
      </c>
      <c r="AY75" s="225">
        <v>0</v>
      </c>
      <c r="AZ75" s="227"/>
      <c r="BA75" s="250">
        <v>0</v>
      </c>
      <c r="BB75" s="225">
        <v>0</v>
      </c>
      <c r="BC75" s="225">
        <v>-50391.56</v>
      </c>
      <c r="BD75" s="225">
        <v>0</v>
      </c>
      <c r="BE75" s="225"/>
      <c r="BF75" s="225"/>
      <c r="BG75" s="225">
        <v>0</v>
      </c>
      <c r="BH75" s="225">
        <v>0</v>
      </c>
      <c r="BI75" s="225">
        <v>0</v>
      </c>
      <c r="BJ75" s="248"/>
      <c r="BK75" s="248"/>
      <c r="BL75" s="248"/>
      <c r="BM75" s="248">
        <f t="shared" si="52"/>
        <v>25689</v>
      </c>
      <c r="BN75" s="249"/>
      <c r="BO75" s="225"/>
      <c r="BP75" s="248"/>
      <c r="BQ75" s="249"/>
      <c r="BR75" s="225"/>
      <c r="BS75" s="225">
        <v>-14639</v>
      </c>
      <c r="BT75" s="225"/>
      <c r="BU75" s="225"/>
      <c r="BV75" s="225"/>
      <c r="BW75" s="225"/>
      <c r="BX75" s="225"/>
      <c r="BY75" s="225"/>
      <c r="BZ75" s="225"/>
      <c r="CA75" s="225"/>
      <c r="CB75" s="225"/>
      <c r="CC75" s="227">
        <f t="shared" si="50"/>
        <v>11050</v>
      </c>
      <c r="CD75" s="244"/>
      <c r="CE75" s="244"/>
      <c r="CF75" s="244"/>
    </row>
    <row r="76" spans="1:84" x14ac:dyDescent="0.2">
      <c r="A76" s="245" t="s">
        <v>9</v>
      </c>
      <c r="B76" s="246" t="s">
        <v>349</v>
      </c>
      <c r="C76" s="246" t="s">
        <v>90</v>
      </c>
      <c r="D76" s="246" t="s">
        <v>567</v>
      </c>
      <c r="E76" s="247" t="s">
        <v>201</v>
      </c>
      <c r="F76" s="247" t="s">
        <v>711</v>
      </c>
      <c r="G76" s="233" t="str">
        <f t="shared" si="42"/>
        <v>0</v>
      </c>
      <c r="H76" s="233" t="str">
        <f t="shared" si="43"/>
        <v>1</v>
      </c>
      <c r="I76" s="233" t="str">
        <f t="shared" si="44"/>
        <v>0</v>
      </c>
      <c r="J76" s="233" t="str">
        <f t="shared" si="45"/>
        <v>0</v>
      </c>
      <c r="K76" s="233" t="str">
        <f t="shared" si="46"/>
        <v>0100</v>
      </c>
      <c r="L76" s="247" t="str">
        <f t="shared" si="47"/>
        <v>00307500Diagnostic Review 18-19</v>
      </c>
      <c r="M76" s="225"/>
      <c r="N76" s="225"/>
      <c r="O76" s="225"/>
      <c r="P76" s="225"/>
      <c r="Q76" s="225">
        <f t="shared" si="51"/>
        <v>0</v>
      </c>
      <c r="R76" s="225"/>
      <c r="S76" s="225">
        <v>71825</v>
      </c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>
        <f t="shared" si="48"/>
        <v>71825</v>
      </c>
      <c r="AG76" s="225"/>
      <c r="AH76" s="225">
        <v>0</v>
      </c>
      <c r="AI76" s="225"/>
      <c r="AJ76" s="225"/>
      <c r="AK76" s="225"/>
      <c r="AL76" s="225"/>
      <c r="AM76" s="225"/>
      <c r="AN76" s="225">
        <v>0</v>
      </c>
      <c r="AO76" s="225">
        <v>0</v>
      </c>
      <c r="AP76" s="225"/>
      <c r="AQ76" s="225"/>
      <c r="AR76" s="225">
        <v>-3486.85</v>
      </c>
      <c r="AS76" s="225"/>
      <c r="AT76" s="248">
        <v>0</v>
      </c>
      <c r="AU76" s="248">
        <v>-550</v>
      </c>
      <c r="AV76" s="248">
        <v>0</v>
      </c>
      <c r="AW76" s="227">
        <f t="shared" si="49"/>
        <v>67788.149999999994</v>
      </c>
      <c r="AX76" s="249">
        <v>0</v>
      </c>
      <c r="AY76" s="225">
        <v>0</v>
      </c>
      <c r="AZ76" s="227"/>
      <c r="BA76" s="250">
        <v>0</v>
      </c>
      <c r="BB76" s="225">
        <v>0</v>
      </c>
      <c r="BC76" s="225">
        <v>-53294.3</v>
      </c>
      <c r="BD76" s="225">
        <v>0</v>
      </c>
      <c r="BE76" s="225"/>
      <c r="BF76" s="225"/>
      <c r="BG76" s="225">
        <v>0</v>
      </c>
      <c r="BH76" s="225">
        <v>0</v>
      </c>
      <c r="BI76" s="225">
        <v>0</v>
      </c>
      <c r="BJ76" s="248"/>
      <c r="BK76" s="248"/>
      <c r="BL76" s="248"/>
      <c r="BM76" s="248">
        <f t="shared" si="52"/>
        <v>14493.849999999991</v>
      </c>
      <c r="BN76" s="249"/>
      <c r="BO76" s="225"/>
      <c r="BP76" s="248"/>
      <c r="BQ76" s="249">
        <v>-7273.62</v>
      </c>
      <c r="BR76" s="225"/>
      <c r="BS76" s="225">
        <v>-7220.23</v>
      </c>
      <c r="BT76" s="225"/>
      <c r="BU76" s="225"/>
      <c r="BV76" s="225"/>
      <c r="BW76" s="225"/>
      <c r="BX76" s="225"/>
      <c r="BY76" s="225"/>
      <c r="BZ76" s="225"/>
      <c r="CA76" s="225"/>
      <c r="CB76" s="225"/>
      <c r="CC76" s="227">
        <f t="shared" si="50"/>
        <v>-8.1854523159563541E-12</v>
      </c>
      <c r="CD76" s="244"/>
      <c r="CE76" s="244"/>
      <c r="CF76" s="244"/>
    </row>
    <row r="77" spans="1:84" x14ac:dyDescent="0.2">
      <c r="A77" s="245" t="s">
        <v>9</v>
      </c>
      <c r="B77" s="247" t="s">
        <v>748</v>
      </c>
      <c r="C77" s="246" t="s">
        <v>90</v>
      </c>
      <c r="D77" s="246" t="s">
        <v>111</v>
      </c>
      <c r="E77" s="247" t="s">
        <v>749</v>
      </c>
      <c r="F77" s="247"/>
      <c r="G77" s="233"/>
      <c r="H77" s="233"/>
      <c r="I77" s="233"/>
      <c r="J77" s="233"/>
      <c r="K77" s="233"/>
      <c r="L77" s="247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48"/>
      <c r="AU77" s="248"/>
      <c r="AV77" s="248"/>
      <c r="AW77" s="227"/>
      <c r="AX77" s="249"/>
      <c r="AY77" s="225"/>
      <c r="AZ77" s="227">
        <v>205331</v>
      </c>
      <c r="BA77" s="250"/>
      <c r="BB77" s="225"/>
      <c r="BC77" s="225"/>
      <c r="BD77" s="225"/>
      <c r="BE77" s="225"/>
      <c r="BF77" s="225"/>
      <c r="BG77" s="225"/>
      <c r="BH77" s="225"/>
      <c r="BI77" s="225"/>
      <c r="BJ77" s="248"/>
      <c r="BK77" s="248"/>
      <c r="BL77" s="248"/>
      <c r="BM77" s="248">
        <f t="shared" si="52"/>
        <v>205331</v>
      </c>
      <c r="BN77" s="249"/>
      <c r="BO77" s="225"/>
      <c r="BP77" s="248">
        <v>382356</v>
      </c>
      <c r="BQ77" s="249"/>
      <c r="BR77" s="225"/>
      <c r="BS77" s="225">
        <v>-126560.91</v>
      </c>
      <c r="BT77" s="225"/>
      <c r="BU77" s="225"/>
      <c r="BV77" s="225"/>
      <c r="BW77" s="225"/>
      <c r="BX77" s="225"/>
      <c r="BY77" s="225"/>
      <c r="BZ77" s="225"/>
      <c r="CA77" s="225"/>
      <c r="CB77" s="225"/>
      <c r="CC77" s="227">
        <f t="shared" si="50"/>
        <v>461126.08999999997</v>
      </c>
      <c r="CD77" s="244"/>
      <c r="CE77" s="244"/>
      <c r="CF77" s="244"/>
    </row>
    <row r="78" spans="1:84" x14ac:dyDescent="0.2">
      <c r="A78" s="245" t="s">
        <v>10</v>
      </c>
      <c r="B78" s="246" t="s">
        <v>371</v>
      </c>
      <c r="C78" s="246" t="s">
        <v>600</v>
      </c>
      <c r="D78" s="246" t="s">
        <v>568</v>
      </c>
      <c r="E78" s="247" t="s">
        <v>201</v>
      </c>
      <c r="F78" s="247" t="s">
        <v>711</v>
      </c>
      <c r="G78" s="233" t="str">
        <f t="shared" ref="G78:G92" si="53">IF(M78&gt;0, "1", "0")</f>
        <v>0</v>
      </c>
      <c r="H78" s="233" t="str">
        <f t="shared" ref="H78:H92" si="54">IF(S78&gt;0, "1", "0")</f>
        <v>1</v>
      </c>
      <c r="I78" s="233" t="str">
        <f t="shared" ref="I78:I92" si="55">IF(AI78&gt;0, "1", "0")</f>
        <v>0</v>
      </c>
      <c r="J78" s="233" t="str">
        <f t="shared" ref="J78:J92" si="56">IF(AZ78&gt;0, "1", "0")</f>
        <v>0</v>
      </c>
      <c r="K78" s="233" t="str">
        <f t="shared" ref="K78:K92" si="57">CONCATENATE(G78,H78,I78,J78)</f>
        <v>0100</v>
      </c>
      <c r="L78" s="247" t="str">
        <f t="shared" ref="L78:L92" si="58">A78&amp;B78&amp;E78</f>
        <v>00500775Diagnostic Review 18-19</v>
      </c>
      <c r="M78" s="225"/>
      <c r="N78" s="225"/>
      <c r="O78" s="225"/>
      <c r="P78" s="225"/>
      <c r="Q78" s="225">
        <f t="shared" ref="Q78:Q92" si="59">SUM(M78:P78)</f>
        <v>0</v>
      </c>
      <c r="R78" s="225"/>
      <c r="S78" s="225">
        <v>60700</v>
      </c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>
        <v>-28200</v>
      </c>
      <c r="AE78" s="225"/>
      <c r="AF78" s="225">
        <f t="shared" ref="AF78:AF92" si="60">SUM(Q78:AE78)</f>
        <v>32500</v>
      </c>
      <c r="AG78" s="225"/>
      <c r="AH78" s="225">
        <v>0</v>
      </c>
      <c r="AI78" s="225"/>
      <c r="AJ78" s="225"/>
      <c r="AK78" s="225"/>
      <c r="AL78" s="225"/>
      <c r="AM78" s="225"/>
      <c r="AN78" s="225">
        <v>0</v>
      </c>
      <c r="AO78" s="225">
        <v>-19000</v>
      </c>
      <c r="AP78" s="225"/>
      <c r="AQ78" s="225"/>
      <c r="AR78" s="225"/>
      <c r="AS78" s="225"/>
      <c r="AT78" s="248">
        <v>0</v>
      </c>
      <c r="AU78" s="248">
        <v>0</v>
      </c>
      <c r="AV78" s="248">
        <v>0</v>
      </c>
      <c r="AW78" s="227">
        <f t="shared" ref="AW78:AW92" si="61">SUM(AF78:AV78)</f>
        <v>13500</v>
      </c>
      <c r="AX78" s="249">
        <v>0</v>
      </c>
      <c r="AY78" s="225">
        <v>0</v>
      </c>
      <c r="AZ78" s="227"/>
      <c r="BA78" s="250">
        <v>0</v>
      </c>
      <c r="BB78" s="225">
        <v>0</v>
      </c>
      <c r="BC78" s="225">
        <v>0</v>
      </c>
      <c r="BD78" s="225">
        <v>0</v>
      </c>
      <c r="BE78" s="225"/>
      <c r="BF78" s="225"/>
      <c r="BG78" s="225">
        <v>0</v>
      </c>
      <c r="BH78" s="225">
        <v>0</v>
      </c>
      <c r="BI78" s="225">
        <v>0</v>
      </c>
      <c r="BJ78" s="248"/>
      <c r="BK78" s="248"/>
      <c r="BL78" s="248"/>
      <c r="BM78" s="248">
        <f t="shared" si="52"/>
        <v>13500</v>
      </c>
      <c r="BN78" s="249"/>
      <c r="BO78" s="225"/>
      <c r="BP78" s="248"/>
      <c r="BQ78" s="249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7">
        <f t="shared" si="50"/>
        <v>13500</v>
      </c>
      <c r="CD78" s="244"/>
      <c r="CE78" s="244"/>
      <c r="CF78" s="244"/>
    </row>
    <row r="79" spans="1:84" x14ac:dyDescent="0.2">
      <c r="A79" s="245" t="s">
        <v>11</v>
      </c>
      <c r="B79" s="246" t="s">
        <v>35</v>
      </c>
      <c r="C79" s="246" t="s">
        <v>92</v>
      </c>
      <c r="D79" s="246" t="s">
        <v>112</v>
      </c>
      <c r="E79" s="247" t="s">
        <v>200</v>
      </c>
      <c r="F79" s="247" t="s">
        <v>711</v>
      </c>
      <c r="G79" s="233" t="str">
        <f t="shared" si="53"/>
        <v>1</v>
      </c>
      <c r="H79" s="233" t="str">
        <f t="shared" si="54"/>
        <v>0</v>
      </c>
      <c r="I79" s="233" t="str">
        <f t="shared" si="55"/>
        <v>0</v>
      </c>
      <c r="J79" s="233" t="str">
        <f t="shared" si="56"/>
        <v>0</v>
      </c>
      <c r="K79" s="233" t="str">
        <f t="shared" si="57"/>
        <v>1000</v>
      </c>
      <c r="L79" s="247" t="str">
        <f t="shared" si="58"/>
        <v>00608334Diagnostic Review 17-18</v>
      </c>
      <c r="M79" s="225">
        <v>49859</v>
      </c>
      <c r="N79" s="225"/>
      <c r="O79" s="225"/>
      <c r="P79" s="225"/>
      <c r="Q79" s="225">
        <f t="shared" si="59"/>
        <v>49859</v>
      </c>
      <c r="R79" s="225"/>
      <c r="S79" s="225">
        <v>0</v>
      </c>
      <c r="T79" s="225"/>
      <c r="U79" s="225"/>
      <c r="V79" s="225"/>
      <c r="W79" s="225">
        <v>-42604</v>
      </c>
      <c r="X79" s="225"/>
      <c r="Y79" s="225"/>
      <c r="Z79" s="225"/>
      <c r="AA79" s="225"/>
      <c r="AB79" s="225">
        <v>-1680</v>
      </c>
      <c r="AC79" s="225"/>
      <c r="AD79" s="225">
        <v>-5575</v>
      </c>
      <c r="AE79" s="225"/>
      <c r="AF79" s="225">
        <f t="shared" si="60"/>
        <v>0</v>
      </c>
      <c r="AG79" s="225"/>
      <c r="AH79" s="225">
        <v>0</v>
      </c>
      <c r="AI79" s="225"/>
      <c r="AJ79" s="225"/>
      <c r="AK79" s="225"/>
      <c r="AL79" s="225"/>
      <c r="AM79" s="225"/>
      <c r="AN79" s="225">
        <v>0</v>
      </c>
      <c r="AO79" s="225">
        <v>0</v>
      </c>
      <c r="AP79" s="225"/>
      <c r="AQ79" s="225"/>
      <c r="AR79" s="225"/>
      <c r="AS79" s="225"/>
      <c r="AT79" s="248">
        <v>0</v>
      </c>
      <c r="AU79" s="248">
        <v>0</v>
      </c>
      <c r="AV79" s="248">
        <v>0</v>
      </c>
      <c r="AW79" s="227">
        <f t="shared" si="61"/>
        <v>0</v>
      </c>
      <c r="AX79" s="249">
        <v>0</v>
      </c>
      <c r="AY79" s="225">
        <v>0</v>
      </c>
      <c r="AZ79" s="227"/>
      <c r="BA79" s="250">
        <v>0</v>
      </c>
      <c r="BB79" s="225">
        <v>0</v>
      </c>
      <c r="BC79" s="225">
        <v>0</v>
      </c>
      <c r="BD79" s="225">
        <v>0</v>
      </c>
      <c r="BE79" s="225"/>
      <c r="BF79" s="225"/>
      <c r="BG79" s="225">
        <v>0</v>
      </c>
      <c r="BH79" s="225">
        <v>0</v>
      </c>
      <c r="BI79" s="225">
        <v>0</v>
      </c>
      <c r="BJ79" s="248"/>
      <c r="BK79" s="248"/>
      <c r="BL79" s="248"/>
      <c r="BM79" s="248">
        <f t="shared" si="52"/>
        <v>0</v>
      </c>
      <c r="BN79" s="249"/>
      <c r="BO79" s="225"/>
      <c r="BP79" s="248"/>
      <c r="BQ79" s="249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7">
        <f t="shared" si="50"/>
        <v>0</v>
      </c>
      <c r="CD79" s="244"/>
      <c r="CE79" s="244"/>
      <c r="CF79" s="244"/>
    </row>
    <row r="80" spans="1:84" x14ac:dyDescent="0.2">
      <c r="A80" s="245" t="s">
        <v>12</v>
      </c>
      <c r="B80" s="247" t="s">
        <v>651</v>
      </c>
      <c r="C80" s="246" t="s">
        <v>93</v>
      </c>
      <c r="D80" s="246" t="s">
        <v>662</v>
      </c>
      <c r="E80" s="247" t="s">
        <v>202</v>
      </c>
      <c r="F80" s="247" t="s">
        <v>711</v>
      </c>
      <c r="G80" s="233" t="str">
        <f t="shared" si="53"/>
        <v>0</v>
      </c>
      <c r="H80" s="233" t="str">
        <f t="shared" si="54"/>
        <v>0</v>
      </c>
      <c r="I80" s="233" t="str">
        <f t="shared" si="55"/>
        <v>1</v>
      </c>
      <c r="J80" s="233" t="str">
        <f t="shared" si="56"/>
        <v>0</v>
      </c>
      <c r="K80" s="233" t="str">
        <f t="shared" si="57"/>
        <v>0010</v>
      </c>
      <c r="L80" s="247" t="str">
        <f t="shared" si="58"/>
        <v>00703931Diagnostic Review 19-20</v>
      </c>
      <c r="M80" s="225"/>
      <c r="N80" s="225"/>
      <c r="O80" s="225"/>
      <c r="P80" s="225"/>
      <c r="Q80" s="225">
        <f t="shared" si="59"/>
        <v>0</v>
      </c>
      <c r="R80" s="225"/>
      <c r="S80" s="225">
        <v>0</v>
      </c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>
        <f t="shared" si="60"/>
        <v>0</v>
      </c>
      <c r="AG80" s="225"/>
      <c r="AH80" s="225">
        <v>0</v>
      </c>
      <c r="AI80" s="225">
        <v>38675</v>
      </c>
      <c r="AJ80" s="225"/>
      <c r="AK80" s="225"/>
      <c r="AL80" s="225"/>
      <c r="AM80" s="225"/>
      <c r="AN80" s="225">
        <v>0</v>
      </c>
      <c r="AO80" s="225">
        <v>0</v>
      </c>
      <c r="AP80" s="225"/>
      <c r="AQ80" s="225"/>
      <c r="AR80" s="225"/>
      <c r="AS80" s="225"/>
      <c r="AT80" s="248">
        <v>0</v>
      </c>
      <c r="AU80" s="248">
        <v>0</v>
      </c>
      <c r="AV80" s="248">
        <v>0</v>
      </c>
      <c r="AW80" s="227">
        <f t="shared" si="61"/>
        <v>38675</v>
      </c>
      <c r="AX80" s="249">
        <v>0</v>
      </c>
      <c r="AY80" s="225">
        <v>0</v>
      </c>
      <c r="AZ80" s="227"/>
      <c r="BA80" s="250">
        <v>0</v>
      </c>
      <c r="BB80" s="225">
        <v>-23250</v>
      </c>
      <c r="BC80" s="225">
        <v>0</v>
      </c>
      <c r="BD80" s="225">
        <v>0</v>
      </c>
      <c r="BE80" s="225">
        <v>-2441.25</v>
      </c>
      <c r="BF80" s="225"/>
      <c r="BG80" s="225">
        <v>0</v>
      </c>
      <c r="BH80" s="225">
        <v>0</v>
      </c>
      <c r="BI80" s="225">
        <v>0</v>
      </c>
      <c r="BJ80" s="248"/>
      <c r="BK80" s="248"/>
      <c r="BL80" s="248">
        <v>-10513.13</v>
      </c>
      <c r="BM80" s="248">
        <f t="shared" si="52"/>
        <v>2470.6200000000008</v>
      </c>
      <c r="BN80" s="249"/>
      <c r="BO80" s="225"/>
      <c r="BP80" s="248"/>
      <c r="BQ80" s="249"/>
      <c r="BR80" s="225"/>
      <c r="BS80" s="225"/>
      <c r="BT80" s="225"/>
      <c r="BU80" s="225"/>
      <c r="BV80" s="225">
        <v>-2471</v>
      </c>
      <c r="BW80" s="225"/>
      <c r="BX80" s="225"/>
      <c r="BY80" s="225"/>
      <c r="BZ80" s="225"/>
      <c r="CA80" s="225"/>
      <c r="CB80" s="225"/>
      <c r="CC80" s="227">
        <f t="shared" si="50"/>
        <v>-0.37999999999919964</v>
      </c>
      <c r="CD80" s="244"/>
      <c r="CE80" s="244"/>
      <c r="CF80" s="244"/>
    </row>
    <row r="81" spans="1:84" x14ac:dyDescent="0.2">
      <c r="A81" s="245" t="s">
        <v>230</v>
      </c>
      <c r="B81" s="247" t="s">
        <v>646</v>
      </c>
      <c r="C81" s="246" t="s">
        <v>232</v>
      </c>
      <c r="D81" s="246" t="s">
        <v>657</v>
      </c>
      <c r="E81" s="254" t="s">
        <v>202</v>
      </c>
      <c r="F81" s="247" t="s">
        <v>711</v>
      </c>
      <c r="G81" s="233" t="str">
        <f t="shared" si="53"/>
        <v>0</v>
      </c>
      <c r="H81" s="233" t="str">
        <f t="shared" si="54"/>
        <v>0</v>
      </c>
      <c r="I81" s="233" t="str">
        <f t="shared" si="55"/>
        <v>1</v>
      </c>
      <c r="J81" s="233" t="str">
        <f t="shared" si="56"/>
        <v>0</v>
      </c>
      <c r="K81" s="233" t="str">
        <f t="shared" si="57"/>
        <v>0010</v>
      </c>
      <c r="L81" s="247" t="str">
        <f t="shared" si="58"/>
        <v>10100871Diagnostic Review 19-20</v>
      </c>
      <c r="M81" s="225"/>
      <c r="N81" s="225"/>
      <c r="O81" s="225"/>
      <c r="P81" s="225"/>
      <c r="Q81" s="225">
        <f t="shared" si="59"/>
        <v>0</v>
      </c>
      <c r="R81" s="225"/>
      <c r="S81" s="225">
        <v>0</v>
      </c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>
        <f t="shared" si="60"/>
        <v>0</v>
      </c>
      <c r="AG81" s="225"/>
      <c r="AH81" s="225">
        <v>0</v>
      </c>
      <c r="AI81" s="225">
        <v>15313.30616</v>
      </c>
      <c r="AJ81" s="225"/>
      <c r="AK81" s="225"/>
      <c r="AL81" s="225"/>
      <c r="AM81" s="225"/>
      <c r="AN81" s="225">
        <v>0</v>
      </c>
      <c r="AO81" s="225">
        <v>0</v>
      </c>
      <c r="AP81" s="225"/>
      <c r="AQ81" s="225"/>
      <c r="AR81" s="225"/>
      <c r="AS81" s="225"/>
      <c r="AT81" s="248">
        <v>0</v>
      </c>
      <c r="AU81" s="248">
        <v>0</v>
      </c>
      <c r="AV81" s="248">
        <v>0</v>
      </c>
      <c r="AW81" s="227">
        <f t="shared" si="61"/>
        <v>15313.30616</v>
      </c>
      <c r="AX81" s="249">
        <v>0</v>
      </c>
      <c r="AY81" s="225">
        <v>0</v>
      </c>
      <c r="AZ81" s="227"/>
      <c r="BA81" s="250">
        <v>0</v>
      </c>
      <c r="BB81" s="225">
        <v>0</v>
      </c>
      <c r="BC81" s="225">
        <v>0</v>
      </c>
      <c r="BD81" s="225">
        <v>0</v>
      </c>
      <c r="BE81" s="225"/>
      <c r="BF81" s="225"/>
      <c r="BG81" s="225">
        <v>0</v>
      </c>
      <c r="BH81" s="225">
        <v>0</v>
      </c>
      <c r="BI81" s="225">
        <v>0</v>
      </c>
      <c r="BJ81" s="248"/>
      <c r="BK81" s="248"/>
      <c r="BL81" s="248">
        <v>-927.52</v>
      </c>
      <c r="BM81" s="248">
        <f t="shared" ref="BM81:BM112" si="62">SUM(AW81:BL81)</f>
        <v>14385.78616</v>
      </c>
      <c r="BN81" s="249"/>
      <c r="BO81" s="225"/>
      <c r="BP81" s="244"/>
      <c r="BQ81" s="249">
        <v>-279.72000000000003</v>
      </c>
      <c r="BR81" s="225"/>
      <c r="BS81" s="225">
        <v>-72.430000000000007</v>
      </c>
      <c r="BT81" s="225">
        <v>-4488.7700000000004</v>
      </c>
      <c r="BU81" s="225"/>
      <c r="BV81" s="225"/>
      <c r="BW81" s="225">
        <v>-6703.03</v>
      </c>
      <c r="BX81" s="225">
        <v>-165.65</v>
      </c>
      <c r="BY81" s="225"/>
      <c r="BZ81" s="225"/>
      <c r="CA81" s="225"/>
      <c r="CB81" s="225"/>
      <c r="CC81" s="227">
        <f t="shared" ref="CC81:CC144" si="63">SUM(BM81:CB81)</f>
        <v>2676.1861599999997</v>
      </c>
      <c r="CD81" s="244"/>
      <c r="CE81" s="244"/>
      <c r="CF81" s="244"/>
    </row>
    <row r="82" spans="1:84" x14ac:dyDescent="0.2">
      <c r="A82" s="245" t="s">
        <v>13</v>
      </c>
      <c r="B82" s="246" t="s">
        <v>350</v>
      </c>
      <c r="C82" s="246" t="s">
        <v>94</v>
      </c>
      <c r="D82" s="246" t="s">
        <v>569</v>
      </c>
      <c r="E82" s="247" t="s">
        <v>201</v>
      </c>
      <c r="F82" s="247" t="s">
        <v>711</v>
      </c>
      <c r="G82" s="233" t="str">
        <f t="shared" si="53"/>
        <v>0</v>
      </c>
      <c r="H82" s="233" t="str">
        <f t="shared" si="54"/>
        <v>1</v>
      </c>
      <c r="I82" s="233" t="str">
        <f t="shared" si="55"/>
        <v>0</v>
      </c>
      <c r="J82" s="233" t="str">
        <f t="shared" si="56"/>
        <v>0</v>
      </c>
      <c r="K82" s="233" t="str">
        <f t="shared" si="57"/>
        <v>0100</v>
      </c>
      <c r="L82" s="247" t="str">
        <f t="shared" si="58"/>
        <v>01201514Diagnostic Review 18-19</v>
      </c>
      <c r="M82" s="225"/>
      <c r="N82" s="225"/>
      <c r="O82" s="225"/>
      <c r="P82" s="225"/>
      <c r="Q82" s="225">
        <f t="shared" si="59"/>
        <v>0</v>
      </c>
      <c r="R82" s="225"/>
      <c r="S82" s="225">
        <v>8840</v>
      </c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>
        <f t="shared" si="60"/>
        <v>8840</v>
      </c>
      <c r="AG82" s="225"/>
      <c r="AH82" s="225">
        <v>0</v>
      </c>
      <c r="AI82" s="225"/>
      <c r="AJ82" s="225"/>
      <c r="AK82" s="225"/>
      <c r="AL82" s="225"/>
      <c r="AM82" s="225"/>
      <c r="AN82" s="225">
        <v>0</v>
      </c>
      <c r="AO82" s="225">
        <v>0</v>
      </c>
      <c r="AP82" s="225"/>
      <c r="AQ82" s="225"/>
      <c r="AR82" s="225"/>
      <c r="AS82" s="225">
        <v>-5460</v>
      </c>
      <c r="AT82" s="248">
        <v>0</v>
      </c>
      <c r="AU82" s="248">
        <v>0</v>
      </c>
      <c r="AV82" s="248">
        <v>0</v>
      </c>
      <c r="AW82" s="227">
        <f t="shared" si="61"/>
        <v>3380</v>
      </c>
      <c r="AX82" s="249">
        <v>0</v>
      </c>
      <c r="AY82" s="225">
        <v>0</v>
      </c>
      <c r="AZ82" s="227"/>
      <c r="BA82" s="250">
        <v>0</v>
      </c>
      <c r="BB82" s="225">
        <v>0</v>
      </c>
      <c r="BC82" s="225">
        <v>0</v>
      </c>
      <c r="BD82" s="225">
        <v>0</v>
      </c>
      <c r="BE82" s="225"/>
      <c r="BF82" s="225"/>
      <c r="BG82" s="225">
        <v>0</v>
      </c>
      <c r="BH82" s="225">
        <v>0</v>
      </c>
      <c r="BI82" s="225">
        <v>0</v>
      </c>
      <c r="BJ82" s="248"/>
      <c r="BK82" s="248"/>
      <c r="BL82" s="248"/>
      <c r="BM82" s="248">
        <f t="shared" si="62"/>
        <v>3380</v>
      </c>
      <c r="BN82" s="249"/>
      <c r="BO82" s="225"/>
      <c r="BP82" s="248"/>
      <c r="BQ82" s="249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7">
        <f t="shared" si="63"/>
        <v>3380</v>
      </c>
      <c r="CD82" s="244"/>
      <c r="CE82" s="244"/>
      <c r="CF82" s="244"/>
    </row>
    <row r="83" spans="1:84" x14ac:dyDescent="0.2">
      <c r="A83" s="245" t="s">
        <v>14</v>
      </c>
      <c r="B83" s="246" t="s">
        <v>351</v>
      </c>
      <c r="C83" s="246" t="s">
        <v>95</v>
      </c>
      <c r="D83" s="246" t="s">
        <v>570</v>
      </c>
      <c r="E83" s="247" t="s">
        <v>201</v>
      </c>
      <c r="F83" s="247" t="s">
        <v>711</v>
      </c>
      <c r="G83" s="233" t="str">
        <f t="shared" si="53"/>
        <v>0</v>
      </c>
      <c r="H83" s="233" t="str">
        <f t="shared" si="54"/>
        <v>1</v>
      </c>
      <c r="I83" s="233" t="str">
        <f t="shared" si="55"/>
        <v>0</v>
      </c>
      <c r="J83" s="233" t="str">
        <f t="shared" si="56"/>
        <v>0</v>
      </c>
      <c r="K83" s="233" t="str">
        <f t="shared" si="57"/>
        <v>0100</v>
      </c>
      <c r="L83" s="247" t="str">
        <f t="shared" si="58"/>
        <v>01233054Diagnostic Review 18-19</v>
      </c>
      <c r="M83" s="225"/>
      <c r="N83" s="225"/>
      <c r="O83" s="225"/>
      <c r="P83" s="225"/>
      <c r="Q83" s="225">
        <f t="shared" si="59"/>
        <v>0</v>
      </c>
      <c r="R83" s="225"/>
      <c r="S83" s="225">
        <v>19035</v>
      </c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>
        <f t="shared" si="60"/>
        <v>19035</v>
      </c>
      <c r="AG83" s="225"/>
      <c r="AH83" s="225">
        <v>0</v>
      </c>
      <c r="AI83" s="225"/>
      <c r="AJ83" s="225">
        <v>-1862</v>
      </c>
      <c r="AK83" s="225"/>
      <c r="AL83" s="225"/>
      <c r="AM83" s="225"/>
      <c r="AN83" s="225">
        <v>0</v>
      </c>
      <c r="AO83" s="225">
        <v>0</v>
      </c>
      <c r="AP83" s="225"/>
      <c r="AQ83" s="225"/>
      <c r="AR83" s="225"/>
      <c r="AS83" s="225">
        <v>-7712</v>
      </c>
      <c r="AT83" s="248">
        <v>0</v>
      </c>
      <c r="AU83" s="248">
        <v>0</v>
      </c>
      <c r="AV83" s="248">
        <v>0</v>
      </c>
      <c r="AW83" s="227">
        <f t="shared" si="61"/>
        <v>9461</v>
      </c>
      <c r="AX83" s="249">
        <v>0</v>
      </c>
      <c r="AY83" s="225">
        <v>0</v>
      </c>
      <c r="AZ83" s="227"/>
      <c r="BA83" s="250">
        <v>0</v>
      </c>
      <c r="BB83" s="225">
        <v>0</v>
      </c>
      <c r="BC83" s="225">
        <v>0</v>
      </c>
      <c r="BD83" s="225">
        <v>0</v>
      </c>
      <c r="BE83" s="225"/>
      <c r="BF83" s="225"/>
      <c r="BG83" s="225">
        <v>0</v>
      </c>
      <c r="BH83" s="225">
        <v>0</v>
      </c>
      <c r="BI83" s="225">
        <v>0</v>
      </c>
      <c r="BJ83" s="248"/>
      <c r="BK83" s="248"/>
      <c r="BL83" s="248"/>
      <c r="BM83" s="248">
        <f t="shared" si="62"/>
        <v>9461</v>
      </c>
      <c r="BN83" s="249"/>
      <c r="BO83" s="225"/>
      <c r="BP83" s="248"/>
      <c r="BQ83" s="249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7">
        <f t="shared" si="63"/>
        <v>9461</v>
      </c>
      <c r="CD83" s="244"/>
      <c r="CE83" s="244"/>
      <c r="CF83" s="244"/>
    </row>
    <row r="84" spans="1:84" x14ac:dyDescent="0.2">
      <c r="A84" s="245" t="s">
        <v>14</v>
      </c>
      <c r="B84" s="246" t="s">
        <v>352</v>
      </c>
      <c r="C84" s="246" t="s">
        <v>95</v>
      </c>
      <c r="D84" s="246" t="s">
        <v>571</v>
      </c>
      <c r="E84" s="247" t="s">
        <v>201</v>
      </c>
      <c r="F84" s="247" t="s">
        <v>711</v>
      </c>
      <c r="G84" s="233" t="str">
        <f t="shared" si="53"/>
        <v>0</v>
      </c>
      <c r="H84" s="233" t="str">
        <f t="shared" si="54"/>
        <v>1</v>
      </c>
      <c r="I84" s="233" t="str">
        <f t="shared" si="55"/>
        <v>0</v>
      </c>
      <c r="J84" s="233" t="str">
        <f t="shared" si="56"/>
        <v>0</v>
      </c>
      <c r="K84" s="233" t="str">
        <f t="shared" si="57"/>
        <v>0100</v>
      </c>
      <c r="L84" s="247" t="str">
        <f t="shared" si="58"/>
        <v>01237837Diagnostic Review 18-19</v>
      </c>
      <c r="M84" s="225"/>
      <c r="N84" s="225"/>
      <c r="O84" s="225"/>
      <c r="P84" s="225"/>
      <c r="Q84" s="225">
        <f t="shared" si="59"/>
        <v>0</v>
      </c>
      <c r="R84" s="225"/>
      <c r="S84" s="225">
        <v>19035</v>
      </c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>
        <f t="shared" si="60"/>
        <v>19035</v>
      </c>
      <c r="AG84" s="225"/>
      <c r="AH84" s="225">
        <v>0</v>
      </c>
      <c r="AI84" s="225"/>
      <c r="AJ84" s="225"/>
      <c r="AK84" s="225"/>
      <c r="AL84" s="225">
        <v>-986.97</v>
      </c>
      <c r="AM84" s="225"/>
      <c r="AN84" s="225">
        <v>-5257.97</v>
      </c>
      <c r="AO84" s="225">
        <v>0</v>
      </c>
      <c r="AP84" s="225">
        <v>-4288.7700000000004</v>
      </c>
      <c r="AQ84" s="225"/>
      <c r="AR84" s="225"/>
      <c r="AS84" s="225"/>
      <c r="AT84" s="248">
        <v>0</v>
      </c>
      <c r="AU84" s="248">
        <v>0</v>
      </c>
      <c r="AV84" s="248">
        <v>0</v>
      </c>
      <c r="AW84" s="227">
        <f t="shared" si="61"/>
        <v>8501.2899999999972</v>
      </c>
      <c r="AX84" s="249">
        <v>0</v>
      </c>
      <c r="AY84" s="225">
        <v>0</v>
      </c>
      <c r="AZ84" s="227"/>
      <c r="BA84" s="250">
        <v>0</v>
      </c>
      <c r="BB84" s="225">
        <v>0</v>
      </c>
      <c r="BC84" s="225">
        <v>0</v>
      </c>
      <c r="BD84" s="225">
        <v>0</v>
      </c>
      <c r="BE84" s="225"/>
      <c r="BF84" s="225"/>
      <c r="BG84" s="225">
        <v>0</v>
      </c>
      <c r="BH84" s="225">
        <v>0</v>
      </c>
      <c r="BI84" s="225">
        <v>0</v>
      </c>
      <c r="BJ84" s="248"/>
      <c r="BK84" s="248"/>
      <c r="BL84" s="248"/>
      <c r="BM84" s="248">
        <f t="shared" si="62"/>
        <v>8501.2899999999972</v>
      </c>
      <c r="BN84" s="249"/>
      <c r="BO84" s="225"/>
      <c r="BP84" s="248"/>
      <c r="BQ84" s="249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7">
        <f t="shared" si="63"/>
        <v>8501.2899999999972</v>
      </c>
      <c r="CD84" s="244"/>
      <c r="CE84" s="244"/>
      <c r="CF84" s="244"/>
    </row>
    <row r="85" spans="1:84" x14ac:dyDescent="0.2">
      <c r="A85" s="245" t="s">
        <v>14</v>
      </c>
      <c r="B85" s="247" t="s">
        <v>34</v>
      </c>
      <c r="C85" s="246" t="s">
        <v>95</v>
      </c>
      <c r="D85" s="246" t="s">
        <v>111</v>
      </c>
      <c r="E85" s="247" t="s">
        <v>202</v>
      </c>
      <c r="F85" s="247" t="s">
        <v>711</v>
      </c>
      <c r="G85" s="233" t="str">
        <f t="shared" si="53"/>
        <v>0</v>
      </c>
      <c r="H85" s="233" t="str">
        <f t="shared" si="54"/>
        <v>0</v>
      </c>
      <c r="I85" s="233" t="str">
        <f t="shared" si="55"/>
        <v>0</v>
      </c>
      <c r="J85" s="233" t="str">
        <f t="shared" si="56"/>
        <v>0</v>
      </c>
      <c r="K85" s="233" t="str">
        <f t="shared" si="57"/>
        <v>0000</v>
      </c>
      <c r="L85" s="247" t="str">
        <f t="shared" si="58"/>
        <v>0123N/ADiagnostic Review 19-20</v>
      </c>
      <c r="M85" s="225"/>
      <c r="N85" s="225"/>
      <c r="O85" s="225"/>
      <c r="P85" s="225"/>
      <c r="Q85" s="225">
        <f t="shared" si="59"/>
        <v>0</v>
      </c>
      <c r="R85" s="225"/>
      <c r="S85" s="225">
        <v>0</v>
      </c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>
        <f t="shared" si="60"/>
        <v>0</v>
      </c>
      <c r="AG85" s="225"/>
      <c r="AH85" s="225">
        <v>0</v>
      </c>
      <c r="AI85" s="225"/>
      <c r="AJ85" s="225"/>
      <c r="AK85" s="225"/>
      <c r="AL85" s="225"/>
      <c r="AM85" s="225"/>
      <c r="AN85" s="225">
        <v>0</v>
      </c>
      <c r="AO85" s="225">
        <v>0</v>
      </c>
      <c r="AP85" s="225"/>
      <c r="AQ85" s="225"/>
      <c r="AR85" s="225"/>
      <c r="AS85" s="225"/>
      <c r="AT85" s="248">
        <v>0</v>
      </c>
      <c r="AU85" s="248">
        <v>0</v>
      </c>
      <c r="AV85" s="248">
        <v>0</v>
      </c>
      <c r="AW85" s="227">
        <f t="shared" si="61"/>
        <v>0</v>
      </c>
      <c r="AX85" s="249">
        <v>0</v>
      </c>
      <c r="AY85" s="225">
        <v>0</v>
      </c>
      <c r="AZ85" s="227"/>
      <c r="BA85" s="250">
        <v>0</v>
      </c>
      <c r="BB85" s="225">
        <v>0</v>
      </c>
      <c r="BC85" s="225">
        <v>0</v>
      </c>
      <c r="BD85" s="225">
        <v>0</v>
      </c>
      <c r="BE85" s="225"/>
      <c r="BF85" s="225"/>
      <c r="BG85" s="225">
        <v>0</v>
      </c>
      <c r="BH85" s="225">
        <v>0</v>
      </c>
      <c r="BI85" s="225">
        <v>0</v>
      </c>
      <c r="BJ85" s="248"/>
      <c r="BK85" s="248"/>
      <c r="BL85" s="248"/>
      <c r="BM85" s="248">
        <f t="shared" si="62"/>
        <v>0</v>
      </c>
      <c r="BN85" s="249"/>
      <c r="BO85" s="225"/>
      <c r="BP85" s="248"/>
      <c r="BQ85" s="249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7">
        <f t="shared" si="63"/>
        <v>0</v>
      </c>
      <c r="CD85" s="244"/>
      <c r="CE85" s="244"/>
      <c r="CF85" s="244"/>
    </row>
    <row r="86" spans="1:84" x14ac:dyDescent="0.2">
      <c r="A86" s="245" t="s">
        <v>230</v>
      </c>
      <c r="B86" s="246" t="s">
        <v>426</v>
      </c>
      <c r="C86" s="246" t="s">
        <v>232</v>
      </c>
      <c r="D86" s="246" t="s">
        <v>552</v>
      </c>
      <c r="E86" s="254" t="s">
        <v>213</v>
      </c>
      <c r="F86" s="247" t="s">
        <v>712</v>
      </c>
      <c r="G86" s="233" t="str">
        <f t="shared" si="53"/>
        <v>0</v>
      </c>
      <c r="H86" s="233" t="str">
        <f t="shared" si="54"/>
        <v>1</v>
      </c>
      <c r="I86" s="233" t="str">
        <f t="shared" si="55"/>
        <v>0</v>
      </c>
      <c r="J86" s="233" t="str">
        <f t="shared" si="56"/>
        <v>0</v>
      </c>
      <c r="K86" s="233" t="str">
        <f t="shared" si="57"/>
        <v>0100</v>
      </c>
      <c r="L86" s="247" t="str">
        <f t="shared" si="58"/>
        <v>10102400District Design and Led 18-21</v>
      </c>
      <c r="M86" s="255"/>
      <c r="N86" s="255"/>
      <c r="O86" s="255"/>
      <c r="P86" s="255"/>
      <c r="Q86" s="225">
        <f t="shared" si="59"/>
        <v>0</v>
      </c>
      <c r="R86" s="225"/>
      <c r="S86" s="225">
        <v>28967</v>
      </c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25">
        <f t="shared" si="60"/>
        <v>28967</v>
      </c>
      <c r="AG86" s="225"/>
      <c r="AH86" s="225">
        <v>115825</v>
      </c>
      <c r="AI86" s="225"/>
      <c r="AJ86" s="255"/>
      <c r="AK86" s="255"/>
      <c r="AL86" s="225">
        <v>-19149</v>
      </c>
      <c r="AM86" s="255"/>
      <c r="AN86" s="255">
        <v>0</v>
      </c>
      <c r="AO86" s="255">
        <v>0</v>
      </c>
      <c r="AP86" s="255"/>
      <c r="AQ86" s="225">
        <v>-31223.410000000003</v>
      </c>
      <c r="AR86" s="225">
        <v>-10901.54</v>
      </c>
      <c r="AS86" s="225">
        <v>-5871.53</v>
      </c>
      <c r="AT86" s="248">
        <v>-10006.67</v>
      </c>
      <c r="AU86" s="248">
        <v>-4383.7</v>
      </c>
      <c r="AV86" s="248">
        <v>-12335.6</v>
      </c>
      <c r="AW86" s="227">
        <f t="shared" si="61"/>
        <v>50920.549999999996</v>
      </c>
      <c r="AX86" s="249">
        <v>116720</v>
      </c>
      <c r="AY86" s="225">
        <v>0</v>
      </c>
      <c r="AZ86" s="227"/>
      <c r="BA86" s="250">
        <v>0</v>
      </c>
      <c r="BB86" s="225">
        <v>-5897.42</v>
      </c>
      <c r="BC86" s="255">
        <v>0</v>
      </c>
      <c r="BD86" s="255">
        <v>-16164.35</v>
      </c>
      <c r="BE86" s="255">
        <v>-5431.17</v>
      </c>
      <c r="BF86" s="255">
        <v>-5959.15</v>
      </c>
      <c r="BG86" s="225">
        <v>-12202.59</v>
      </c>
      <c r="BH86" s="225">
        <v>-8020.74</v>
      </c>
      <c r="BI86" s="225">
        <v>-6983.82</v>
      </c>
      <c r="BJ86" s="248">
        <v>-12496.29</v>
      </c>
      <c r="BK86" s="248">
        <v>-7117.11</v>
      </c>
      <c r="BL86" s="248">
        <v>-8853.2099999999991</v>
      </c>
      <c r="BM86" s="248">
        <f t="shared" si="62"/>
        <v>78514.699999999953</v>
      </c>
      <c r="BN86" s="249"/>
      <c r="BO86" s="225"/>
      <c r="BP86" s="248"/>
      <c r="BQ86" s="249">
        <v>-1195.81</v>
      </c>
      <c r="BR86" s="225">
        <v>-6185.83</v>
      </c>
      <c r="BS86" s="225">
        <v>-10580.06</v>
      </c>
      <c r="BT86" s="225">
        <v>-6931.79</v>
      </c>
      <c r="BU86" s="225">
        <v>-7786.19</v>
      </c>
      <c r="BV86" s="225">
        <v>-6732.41</v>
      </c>
      <c r="BW86" s="225">
        <v>-7224.72</v>
      </c>
      <c r="BX86" s="225">
        <v>-9815.4699999999993</v>
      </c>
      <c r="BY86" s="225">
        <v>-9083.4500000000007</v>
      </c>
      <c r="BZ86" s="225"/>
      <c r="CA86" s="225"/>
      <c r="CB86" s="225"/>
      <c r="CC86" s="227">
        <f t="shared" si="63"/>
        <v>12978.969999999954</v>
      </c>
      <c r="CD86" s="244"/>
      <c r="CE86" s="244"/>
      <c r="CF86" s="244"/>
    </row>
    <row r="87" spans="1:84" x14ac:dyDescent="0.2">
      <c r="A87" s="245" t="s">
        <v>15</v>
      </c>
      <c r="B87" s="246" t="s">
        <v>372</v>
      </c>
      <c r="C87" s="246" t="s">
        <v>296</v>
      </c>
      <c r="D87" s="246" t="s">
        <v>625</v>
      </c>
      <c r="E87" s="247" t="s">
        <v>201</v>
      </c>
      <c r="F87" s="247" t="s">
        <v>711</v>
      </c>
      <c r="G87" s="233" t="str">
        <f t="shared" si="53"/>
        <v>0</v>
      </c>
      <c r="H87" s="233" t="str">
        <f t="shared" si="54"/>
        <v>1</v>
      </c>
      <c r="I87" s="233" t="str">
        <f t="shared" si="55"/>
        <v>0</v>
      </c>
      <c r="J87" s="233" t="str">
        <f t="shared" si="56"/>
        <v>0</v>
      </c>
      <c r="K87" s="233" t="str">
        <f t="shared" si="57"/>
        <v>0100</v>
      </c>
      <c r="L87" s="247" t="str">
        <f t="shared" si="58"/>
        <v>01800213Diagnostic Review 18-19</v>
      </c>
      <c r="M87" s="225"/>
      <c r="N87" s="225"/>
      <c r="O87" s="225"/>
      <c r="P87" s="225"/>
      <c r="Q87" s="225">
        <f t="shared" si="59"/>
        <v>0</v>
      </c>
      <c r="R87" s="225"/>
      <c r="S87" s="225">
        <v>16278</v>
      </c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>
        <f t="shared" si="60"/>
        <v>16278</v>
      </c>
      <c r="AG87" s="225"/>
      <c r="AH87" s="225">
        <v>0</v>
      </c>
      <c r="AI87" s="225"/>
      <c r="AJ87" s="225"/>
      <c r="AK87" s="225"/>
      <c r="AL87" s="225"/>
      <c r="AM87" s="225">
        <v>-15000</v>
      </c>
      <c r="AN87" s="225">
        <v>0</v>
      </c>
      <c r="AO87" s="225">
        <v>0</v>
      </c>
      <c r="AP87" s="225"/>
      <c r="AQ87" s="225"/>
      <c r="AR87" s="225"/>
      <c r="AS87" s="225"/>
      <c r="AT87" s="248">
        <v>0</v>
      </c>
      <c r="AU87" s="248">
        <v>0</v>
      </c>
      <c r="AV87" s="248">
        <v>0</v>
      </c>
      <c r="AW87" s="227">
        <f t="shared" si="61"/>
        <v>1278</v>
      </c>
      <c r="AX87" s="249">
        <v>0</v>
      </c>
      <c r="AY87" s="225">
        <v>0</v>
      </c>
      <c r="AZ87" s="227"/>
      <c r="BA87" s="250">
        <v>0</v>
      </c>
      <c r="BB87" s="225">
        <v>0</v>
      </c>
      <c r="BC87" s="225">
        <v>0</v>
      </c>
      <c r="BD87" s="225">
        <v>0</v>
      </c>
      <c r="BE87" s="225"/>
      <c r="BF87" s="225"/>
      <c r="BG87" s="225">
        <v>0</v>
      </c>
      <c r="BH87" s="225">
        <v>0</v>
      </c>
      <c r="BI87" s="225">
        <v>0</v>
      </c>
      <c r="BJ87" s="248"/>
      <c r="BK87" s="248"/>
      <c r="BL87" s="248"/>
      <c r="BM87" s="248">
        <f t="shared" si="62"/>
        <v>1278</v>
      </c>
      <c r="BN87" s="249"/>
      <c r="BO87" s="225"/>
      <c r="BP87" s="248"/>
      <c r="BQ87" s="249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7">
        <f t="shared" si="63"/>
        <v>1278</v>
      </c>
      <c r="CD87" s="244"/>
      <c r="CE87" s="244"/>
      <c r="CF87" s="244"/>
    </row>
    <row r="88" spans="1:84" x14ac:dyDescent="0.2">
      <c r="A88" s="245" t="s">
        <v>15</v>
      </c>
      <c r="B88" s="246" t="s">
        <v>38</v>
      </c>
      <c r="C88" s="246" t="s">
        <v>296</v>
      </c>
      <c r="D88" s="246" t="s">
        <v>572</v>
      </c>
      <c r="E88" s="247" t="s">
        <v>200</v>
      </c>
      <c r="F88" s="247" t="s">
        <v>711</v>
      </c>
      <c r="G88" s="233" t="str">
        <f t="shared" si="53"/>
        <v>1</v>
      </c>
      <c r="H88" s="233" t="str">
        <f t="shared" si="54"/>
        <v>0</v>
      </c>
      <c r="I88" s="233" t="str">
        <f t="shared" si="55"/>
        <v>0</v>
      </c>
      <c r="J88" s="233" t="str">
        <f t="shared" si="56"/>
        <v>0</v>
      </c>
      <c r="K88" s="233" t="str">
        <f t="shared" si="57"/>
        <v>1000</v>
      </c>
      <c r="L88" s="247" t="str">
        <f t="shared" si="58"/>
        <v>01800219Diagnostic Review 17-18</v>
      </c>
      <c r="M88" s="225">
        <v>31313.4</v>
      </c>
      <c r="N88" s="225"/>
      <c r="O88" s="225"/>
      <c r="P88" s="225"/>
      <c r="Q88" s="225">
        <f t="shared" si="59"/>
        <v>31313.4</v>
      </c>
      <c r="R88" s="225"/>
      <c r="S88" s="225">
        <v>0</v>
      </c>
      <c r="T88" s="225"/>
      <c r="U88" s="225"/>
      <c r="V88" s="225">
        <v>-27625</v>
      </c>
      <c r="W88" s="225"/>
      <c r="X88" s="225"/>
      <c r="Y88" s="225"/>
      <c r="Z88" s="225"/>
      <c r="AA88" s="225"/>
      <c r="AB88" s="225"/>
      <c r="AC88" s="225"/>
      <c r="AD88" s="225"/>
      <c r="AE88" s="225"/>
      <c r="AF88" s="225">
        <f t="shared" si="60"/>
        <v>3688.4000000000015</v>
      </c>
      <c r="AG88" s="225"/>
      <c r="AH88" s="225">
        <v>0</v>
      </c>
      <c r="AI88" s="225"/>
      <c r="AJ88" s="225"/>
      <c r="AK88" s="225"/>
      <c r="AL88" s="225"/>
      <c r="AM88" s="225"/>
      <c r="AN88" s="225">
        <v>0</v>
      </c>
      <c r="AO88" s="225">
        <v>0</v>
      </c>
      <c r="AP88" s="225"/>
      <c r="AQ88" s="225"/>
      <c r="AR88" s="225"/>
      <c r="AS88" s="225"/>
      <c r="AT88" s="248">
        <v>0</v>
      </c>
      <c r="AU88" s="248">
        <v>0</v>
      </c>
      <c r="AV88" s="248">
        <v>0</v>
      </c>
      <c r="AW88" s="227">
        <f t="shared" si="61"/>
        <v>3688.4000000000015</v>
      </c>
      <c r="AX88" s="249">
        <v>0</v>
      </c>
      <c r="AY88" s="225">
        <v>0</v>
      </c>
      <c r="AZ88" s="227"/>
      <c r="BA88" s="250">
        <v>0</v>
      </c>
      <c r="BB88" s="225">
        <v>0</v>
      </c>
      <c r="BC88" s="225">
        <v>0</v>
      </c>
      <c r="BD88" s="225">
        <v>0</v>
      </c>
      <c r="BE88" s="225"/>
      <c r="BF88" s="225"/>
      <c r="BG88" s="225">
        <v>0</v>
      </c>
      <c r="BH88" s="225">
        <v>0</v>
      </c>
      <c r="BI88" s="225">
        <v>0</v>
      </c>
      <c r="BJ88" s="248"/>
      <c r="BK88" s="248"/>
      <c r="BL88" s="248"/>
      <c r="BM88" s="248">
        <f t="shared" si="62"/>
        <v>3688.4000000000015</v>
      </c>
      <c r="BN88" s="249"/>
      <c r="BO88" s="225"/>
      <c r="BP88" s="248"/>
      <c r="BQ88" s="249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7">
        <f t="shared" si="63"/>
        <v>3688.4000000000015</v>
      </c>
      <c r="CD88" s="244"/>
      <c r="CE88" s="244"/>
      <c r="CF88" s="244"/>
    </row>
    <row r="89" spans="1:84" x14ac:dyDescent="0.2">
      <c r="A89" s="245" t="s">
        <v>15</v>
      </c>
      <c r="B89" s="246" t="s">
        <v>373</v>
      </c>
      <c r="C89" s="246" t="s">
        <v>296</v>
      </c>
      <c r="D89" s="246" t="s">
        <v>573</v>
      </c>
      <c r="E89" s="247" t="s">
        <v>201</v>
      </c>
      <c r="F89" s="247" t="s">
        <v>711</v>
      </c>
      <c r="G89" s="233" t="str">
        <f t="shared" si="53"/>
        <v>0</v>
      </c>
      <c r="H89" s="233" t="str">
        <f t="shared" si="54"/>
        <v>1</v>
      </c>
      <c r="I89" s="233" t="str">
        <f t="shared" si="55"/>
        <v>0</v>
      </c>
      <c r="J89" s="233" t="str">
        <f t="shared" si="56"/>
        <v>0</v>
      </c>
      <c r="K89" s="233" t="str">
        <f t="shared" si="57"/>
        <v>0100</v>
      </c>
      <c r="L89" s="247" t="str">
        <f t="shared" si="58"/>
        <v>01800458Diagnostic Review 18-19</v>
      </c>
      <c r="M89" s="225"/>
      <c r="N89" s="225"/>
      <c r="O89" s="225"/>
      <c r="P89" s="225"/>
      <c r="Q89" s="225">
        <f t="shared" si="59"/>
        <v>0</v>
      </c>
      <c r="R89" s="225"/>
      <c r="S89" s="225">
        <v>18991</v>
      </c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>
        <f t="shared" si="60"/>
        <v>18991</v>
      </c>
      <c r="AG89" s="225"/>
      <c r="AH89" s="225">
        <v>0</v>
      </c>
      <c r="AI89" s="225"/>
      <c r="AJ89" s="225"/>
      <c r="AK89" s="225"/>
      <c r="AL89" s="225"/>
      <c r="AM89" s="225">
        <v>-17500</v>
      </c>
      <c r="AN89" s="225">
        <v>0</v>
      </c>
      <c r="AO89" s="225">
        <v>0</v>
      </c>
      <c r="AP89" s="225"/>
      <c r="AQ89" s="225"/>
      <c r="AR89" s="225"/>
      <c r="AS89" s="225"/>
      <c r="AT89" s="248">
        <v>0</v>
      </c>
      <c r="AU89" s="248">
        <v>0</v>
      </c>
      <c r="AV89" s="248">
        <v>0</v>
      </c>
      <c r="AW89" s="227">
        <f t="shared" si="61"/>
        <v>1491</v>
      </c>
      <c r="AX89" s="249">
        <v>0</v>
      </c>
      <c r="AY89" s="225">
        <v>0</v>
      </c>
      <c r="AZ89" s="227"/>
      <c r="BA89" s="250">
        <v>0</v>
      </c>
      <c r="BB89" s="225">
        <v>0</v>
      </c>
      <c r="BC89" s="225">
        <v>0</v>
      </c>
      <c r="BD89" s="225">
        <v>0</v>
      </c>
      <c r="BE89" s="225"/>
      <c r="BF89" s="225"/>
      <c r="BG89" s="225">
        <v>0</v>
      </c>
      <c r="BH89" s="225">
        <v>0</v>
      </c>
      <c r="BI89" s="225">
        <v>0</v>
      </c>
      <c r="BJ89" s="248"/>
      <c r="BK89" s="248"/>
      <c r="BL89" s="248"/>
      <c r="BM89" s="248">
        <f t="shared" si="62"/>
        <v>1491</v>
      </c>
      <c r="BN89" s="249"/>
      <c r="BO89" s="225"/>
      <c r="BP89" s="248"/>
      <c r="BQ89" s="249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7">
        <f t="shared" si="63"/>
        <v>1491</v>
      </c>
      <c r="CD89" s="244"/>
      <c r="CE89" s="244"/>
      <c r="CF89" s="244"/>
    </row>
    <row r="90" spans="1:84" x14ac:dyDescent="0.2">
      <c r="A90" s="245" t="s">
        <v>15</v>
      </c>
      <c r="B90" s="246" t="s">
        <v>374</v>
      </c>
      <c r="C90" s="246" t="s">
        <v>296</v>
      </c>
      <c r="D90" s="246" t="s">
        <v>574</v>
      </c>
      <c r="E90" s="247" t="s">
        <v>201</v>
      </c>
      <c r="F90" s="247" t="s">
        <v>711</v>
      </c>
      <c r="G90" s="233" t="str">
        <f t="shared" si="53"/>
        <v>0</v>
      </c>
      <c r="H90" s="233" t="str">
        <f t="shared" si="54"/>
        <v>1</v>
      </c>
      <c r="I90" s="233" t="str">
        <f t="shared" si="55"/>
        <v>0</v>
      </c>
      <c r="J90" s="233" t="str">
        <f t="shared" si="56"/>
        <v>0</v>
      </c>
      <c r="K90" s="233" t="str">
        <f t="shared" si="57"/>
        <v>0100</v>
      </c>
      <c r="L90" s="247" t="str">
        <f t="shared" si="58"/>
        <v>01802095Diagnostic Review 18-19</v>
      </c>
      <c r="M90" s="225"/>
      <c r="N90" s="225"/>
      <c r="O90" s="225"/>
      <c r="P90" s="225"/>
      <c r="Q90" s="225">
        <f t="shared" si="59"/>
        <v>0</v>
      </c>
      <c r="R90" s="225"/>
      <c r="S90" s="225">
        <v>16278</v>
      </c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>
        <f t="shared" si="60"/>
        <v>16278</v>
      </c>
      <c r="AG90" s="225"/>
      <c r="AH90" s="225">
        <v>0</v>
      </c>
      <c r="AI90" s="225"/>
      <c r="AJ90" s="225"/>
      <c r="AK90" s="225"/>
      <c r="AL90" s="225"/>
      <c r="AM90" s="225">
        <v>-15000</v>
      </c>
      <c r="AN90" s="225">
        <v>0</v>
      </c>
      <c r="AO90" s="225">
        <v>0</v>
      </c>
      <c r="AP90" s="225"/>
      <c r="AQ90" s="225"/>
      <c r="AR90" s="225"/>
      <c r="AS90" s="225"/>
      <c r="AT90" s="248">
        <v>0</v>
      </c>
      <c r="AU90" s="248">
        <v>0</v>
      </c>
      <c r="AV90" s="248">
        <v>0</v>
      </c>
      <c r="AW90" s="227">
        <f t="shared" si="61"/>
        <v>1278</v>
      </c>
      <c r="AX90" s="249">
        <v>0</v>
      </c>
      <c r="AY90" s="225">
        <v>0</v>
      </c>
      <c r="AZ90" s="227"/>
      <c r="BA90" s="250">
        <v>0</v>
      </c>
      <c r="BB90" s="225">
        <v>0</v>
      </c>
      <c r="BC90" s="225">
        <v>0</v>
      </c>
      <c r="BD90" s="225">
        <v>0</v>
      </c>
      <c r="BE90" s="225"/>
      <c r="BF90" s="225"/>
      <c r="BG90" s="225">
        <v>0</v>
      </c>
      <c r="BH90" s="225">
        <v>0</v>
      </c>
      <c r="BI90" s="225">
        <v>0</v>
      </c>
      <c r="BJ90" s="248"/>
      <c r="BK90" s="248"/>
      <c r="BL90" s="248"/>
      <c r="BM90" s="248">
        <f t="shared" si="62"/>
        <v>1278</v>
      </c>
      <c r="BN90" s="249"/>
      <c r="BO90" s="225"/>
      <c r="BP90" s="248"/>
      <c r="BQ90" s="249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7">
        <f t="shared" si="63"/>
        <v>1278</v>
      </c>
      <c r="CD90" s="244"/>
      <c r="CE90" s="244"/>
      <c r="CF90" s="244"/>
    </row>
    <row r="91" spans="1:84" x14ac:dyDescent="0.2">
      <c r="A91" s="245" t="s">
        <v>15</v>
      </c>
      <c r="B91" s="246" t="s">
        <v>39</v>
      </c>
      <c r="C91" s="246" t="s">
        <v>296</v>
      </c>
      <c r="D91" s="246" t="s">
        <v>115</v>
      </c>
      <c r="E91" s="247" t="s">
        <v>200</v>
      </c>
      <c r="F91" s="247" t="s">
        <v>711</v>
      </c>
      <c r="G91" s="233" t="str">
        <f t="shared" si="53"/>
        <v>1</v>
      </c>
      <c r="H91" s="233" t="str">
        <f t="shared" si="54"/>
        <v>0</v>
      </c>
      <c r="I91" s="233" t="str">
        <f t="shared" si="55"/>
        <v>0</v>
      </c>
      <c r="J91" s="233" t="str">
        <f t="shared" si="56"/>
        <v>0</v>
      </c>
      <c r="K91" s="233" t="str">
        <f t="shared" si="57"/>
        <v>1000</v>
      </c>
      <c r="L91" s="247" t="str">
        <f t="shared" si="58"/>
        <v>01803471Diagnostic Review 17-18</v>
      </c>
      <c r="M91" s="225">
        <v>47407.6</v>
      </c>
      <c r="N91" s="225"/>
      <c r="O91" s="225"/>
      <c r="P91" s="225"/>
      <c r="Q91" s="225">
        <f t="shared" si="59"/>
        <v>47407.6</v>
      </c>
      <c r="R91" s="225"/>
      <c r="S91" s="225">
        <v>0</v>
      </c>
      <c r="T91" s="225"/>
      <c r="U91" s="225"/>
      <c r="V91" s="225">
        <v>-23205</v>
      </c>
      <c r="W91" s="225"/>
      <c r="X91" s="225"/>
      <c r="Y91" s="225"/>
      <c r="Z91" s="225"/>
      <c r="AA91" s="225"/>
      <c r="AB91" s="225"/>
      <c r="AC91" s="225"/>
      <c r="AD91" s="225"/>
      <c r="AE91" s="225"/>
      <c r="AF91" s="225">
        <f t="shared" si="60"/>
        <v>24202.6</v>
      </c>
      <c r="AG91" s="225"/>
      <c r="AH91" s="225">
        <v>0</v>
      </c>
      <c r="AI91" s="225"/>
      <c r="AJ91" s="225"/>
      <c r="AK91" s="225"/>
      <c r="AL91" s="225"/>
      <c r="AM91" s="225"/>
      <c r="AN91" s="225">
        <v>0</v>
      </c>
      <c r="AO91" s="225">
        <v>0</v>
      </c>
      <c r="AP91" s="225"/>
      <c r="AQ91" s="225"/>
      <c r="AR91" s="225"/>
      <c r="AS91" s="225"/>
      <c r="AT91" s="248">
        <v>0</v>
      </c>
      <c r="AU91" s="248">
        <v>0</v>
      </c>
      <c r="AV91" s="248">
        <v>0</v>
      </c>
      <c r="AW91" s="227">
        <f t="shared" si="61"/>
        <v>24202.6</v>
      </c>
      <c r="AX91" s="249">
        <v>0</v>
      </c>
      <c r="AY91" s="225">
        <v>0</v>
      </c>
      <c r="AZ91" s="227"/>
      <c r="BA91" s="250">
        <v>0</v>
      </c>
      <c r="BB91" s="225">
        <v>0</v>
      </c>
      <c r="BC91" s="225">
        <v>0</v>
      </c>
      <c r="BD91" s="225">
        <v>0</v>
      </c>
      <c r="BE91" s="225"/>
      <c r="BF91" s="225"/>
      <c r="BG91" s="225">
        <v>0</v>
      </c>
      <c r="BH91" s="225">
        <v>0</v>
      </c>
      <c r="BI91" s="225">
        <v>0</v>
      </c>
      <c r="BJ91" s="248"/>
      <c r="BK91" s="248"/>
      <c r="BL91" s="248"/>
      <c r="BM91" s="248">
        <f t="shared" si="62"/>
        <v>24202.6</v>
      </c>
      <c r="BN91" s="249"/>
      <c r="BO91" s="225"/>
      <c r="BP91" s="248"/>
      <c r="BQ91" s="249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7">
        <f t="shared" si="63"/>
        <v>24202.6</v>
      </c>
      <c r="CD91" s="244"/>
      <c r="CE91" s="244"/>
      <c r="CF91" s="244"/>
    </row>
    <row r="92" spans="1:84" x14ac:dyDescent="0.2">
      <c r="A92" s="245" t="s">
        <v>15</v>
      </c>
      <c r="B92" s="246" t="s">
        <v>375</v>
      </c>
      <c r="C92" s="246" t="s">
        <v>296</v>
      </c>
      <c r="D92" s="246" t="s">
        <v>575</v>
      </c>
      <c r="E92" s="247" t="s">
        <v>201</v>
      </c>
      <c r="F92" s="247" t="s">
        <v>711</v>
      </c>
      <c r="G92" s="233" t="str">
        <f t="shared" si="53"/>
        <v>0</v>
      </c>
      <c r="H92" s="233" t="str">
        <f t="shared" si="54"/>
        <v>1</v>
      </c>
      <c r="I92" s="233" t="str">
        <f t="shared" si="55"/>
        <v>0</v>
      </c>
      <c r="J92" s="233" t="str">
        <f t="shared" si="56"/>
        <v>0</v>
      </c>
      <c r="K92" s="233" t="str">
        <f t="shared" si="57"/>
        <v>0100</v>
      </c>
      <c r="L92" s="247" t="str">
        <f t="shared" si="58"/>
        <v>01806758Diagnostic Review 18-19</v>
      </c>
      <c r="M92" s="225"/>
      <c r="N92" s="225"/>
      <c r="O92" s="225"/>
      <c r="P92" s="225"/>
      <c r="Q92" s="225">
        <f t="shared" si="59"/>
        <v>0</v>
      </c>
      <c r="R92" s="225"/>
      <c r="S92" s="225">
        <v>16278</v>
      </c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>
        <f t="shared" si="60"/>
        <v>16278</v>
      </c>
      <c r="AG92" s="225"/>
      <c r="AH92" s="225">
        <v>0</v>
      </c>
      <c r="AI92" s="225"/>
      <c r="AJ92" s="225"/>
      <c r="AK92" s="225"/>
      <c r="AL92" s="225"/>
      <c r="AM92" s="225">
        <v>-15000</v>
      </c>
      <c r="AN92" s="225">
        <v>0</v>
      </c>
      <c r="AO92" s="225">
        <v>0</v>
      </c>
      <c r="AP92" s="225"/>
      <c r="AQ92" s="225"/>
      <c r="AR92" s="225"/>
      <c r="AS92" s="225"/>
      <c r="AT92" s="248">
        <v>0</v>
      </c>
      <c r="AU92" s="248">
        <v>0</v>
      </c>
      <c r="AV92" s="248">
        <v>0</v>
      </c>
      <c r="AW92" s="227">
        <f t="shared" si="61"/>
        <v>1278</v>
      </c>
      <c r="AX92" s="249">
        <v>0</v>
      </c>
      <c r="AY92" s="225">
        <v>0</v>
      </c>
      <c r="AZ92" s="227"/>
      <c r="BA92" s="250">
        <v>0</v>
      </c>
      <c r="BB92" s="225">
        <v>0</v>
      </c>
      <c r="BC92" s="225">
        <v>0</v>
      </c>
      <c r="BD92" s="225">
        <v>0</v>
      </c>
      <c r="BE92" s="225"/>
      <c r="BF92" s="225"/>
      <c r="BG92" s="225">
        <v>0</v>
      </c>
      <c r="BH92" s="225">
        <v>0</v>
      </c>
      <c r="BI92" s="225">
        <v>0</v>
      </c>
      <c r="BJ92" s="248"/>
      <c r="BK92" s="248"/>
      <c r="BL92" s="248"/>
      <c r="BM92" s="248">
        <f t="shared" si="62"/>
        <v>1278</v>
      </c>
      <c r="BN92" s="249"/>
      <c r="BO92" s="225"/>
      <c r="BP92" s="248"/>
      <c r="BQ92" s="249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7">
        <f t="shared" si="63"/>
        <v>1278</v>
      </c>
      <c r="CD92" s="244"/>
      <c r="CE92" s="244"/>
      <c r="CF92" s="244"/>
    </row>
    <row r="93" spans="1:84" x14ac:dyDescent="0.2">
      <c r="A93" s="245" t="s">
        <v>15</v>
      </c>
      <c r="B93" s="247" t="s">
        <v>750</v>
      </c>
      <c r="C93" s="246" t="s">
        <v>296</v>
      </c>
      <c r="D93" s="246" t="s">
        <v>751</v>
      </c>
      <c r="E93" s="247" t="s">
        <v>749</v>
      </c>
      <c r="F93" s="247"/>
      <c r="G93" s="233"/>
      <c r="H93" s="233"/>
      <c r="I93" s="233"/>
      <c r="J93" s="233"/>
      <c r="K93" s="233"/>
      <c r="L93" s="247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48"/>
      <c r="AU93" s="248"/>
      <c r="AV93" s="248"/>
      <c r="AW93" s="227"/>
      <c r="AX93" s="249"/>
      <c r="AY93" s="225"/>
      <c r="AZ93" s="227">
        <v>20000</v>
      </c>
      <c r="BA93" s="250"/>
      <c r="BB93" s="225"/>
      <c r="BC93" s="225"/>
      <c r="BD93" s="225"/>
      <c r="BE93" s="225"/>
      <c r="BF93" s="225"/>
      <c r="BG93" s="225"/>
      <c r="BH93" s="225"/>
      <c r="BI93" s="225"/>
      <c r="BJ93" s="248"/>
      <c r="BK93" s="248"/>
      <c r="BL93" s="248"/>
      <c r="BM93" s="248">
        <f t="shared" si="62"/>
        <v>20000</v>
      </c>
      <c r="BN93" s="249"/>
      <c r="BO93" s="225"/>
      <c r="BP93" s="248"/>
      <c r="BQ93" s="249"/>
      <c r="BR93" s="225"/>
      <c r="BS93" s="225"/>
      <c r="BT93" s="225">
        <v>-20000</v>
      </c>
      <c r="BU93" s="225"/>
      <c r="BV93" s="225"/>
      <c r="BW93" s="225"/>
      <c r="BX93" s="225"/>
      <c r="BY93" s="225"/>
      <c r="BZ93" s="225"/>
      <c r="CA93" s="225"/>
      <c r="CB93" s="225"/>
      <c r="CC93" s="227">
        <f t="shared" si="63"/>
        <v>0</v>
      </c>
      <c r="CD93" s="244"/>
      <c r="CE93" s="244"/>
      <c r="CF93" s="244"/>
    </row>
    <row r="94" spans="1:84" x14ac:dyDescent="0.2">
      <c r="A94" s="245" t="s">
        <v>51</v>
      </c>
      <c r="B94" s="247" t="s">
        <v>451</v>
      </c>
      <c r="C94" s="246" t="s">
        <v>614</v>
      </c>
      <c r="D94" s="246" t="s">
        <v>576</v>
      </c>
      <c r="E94" s="247" t="s">
        <v>202</v>
      </c>
      <c r="F94" s="247" t="s">
        <v>711</v>
      </c>
      <c r="G94" s="233" t="str">
        <f>IF(M94&gt;0, "1", "0")</f>
        <v>0</v>
      </c>
      <c r="H94" s="233" t="str">
        <f>IF(S94&gt;0, "1", "0")</f>
        <v>0</v>
      </c>
      <c r="I94" s="233" t="str">
        <f>IF(AI94&gt;0, "1", "0")</f>
        <v>0</v>
      </c>
      <c r="J94" s="233" t="str">
        <f>IF(AZ94&gt;0, "1", "0")</f>
        <v>0</v>
      </c>
      <c r="K94" s="233" t="str">
        <f>CONCATENATE(G94,H94,I94,J94)</f>
        <v>0000</v>
      </c>
      <c r="L94" s="247" t="str">
        <f>A94&amp;B94&amp;E94</f>
        <v>02206679Diagnostic Review 19-20</v>
      </c>
      <c r="M94" s="225"/>
      <c r="N94" s="225"/>
      <c r="O94" s="225"/>
      <c r="P94" s="225"/>
      <c r="Q94" s="225">
        <f>SUM(M94:P94)</f>
        <v>0</v>
      </c>
      <c r="R94" s="225"/>
      <c r="S94" s="225">
        <v>0</v>
      </c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>
        <f>SUM(Q94:AE94)</f>
        <v>0</v>
      </c>
      <c r="AG94" s="225"/>
      <c r="AH94" s="225">
        <v>0</v>
      </c>
      <c r="AI94" s="225"/>
      <c r="AJ94" s="225"/>
      <c r="AK94" s="225"/>
      <c r="AL94" s="225"/>
      <c r="AM94" s="225"/>
      <c r="AN94" s="225">
        <v>0</v>
      </c>
      <c r="AO94" s="225">
        <v>0</v>
      </c>
      <c r="AP94" s="225"/>
      <c r="AQ94" s="225"/>
      <c r="AR94" s="225"/>
      <c r="AS94" s="225"/>
      <c r="AT94" s="248">
        <v>0</v>
      </c>
      <c r="AU94" s="248">
        <v>0</v>
      </c>
      <c r="AV94" s="248">
        <v>0</v>
      </c>
      <c r="AW94" s="227">
        <f>SUM(AF94:AV94)</f>
        <v>0</v>
      </c>
      <c r="AX94" s="249">
        <v>0</v>
      </c>
      <c r="AY94" s="225">
        <v>0</v>
      </c>
      <c r="AZ94" s="227"/>
      <c r="BA94" s="250">
        <v>0</v>
      </c>
      <c r="BB94" s="225">
        <v>0</v>
      </c>
      <c r="BC94" s="225">
        <v>0</v>
      </c>
      <c r="BD94" s="225">
        <v>0</v>
      </c>
      <c r="BE94" s="225"/>
      <c r="BF94" s="225"/>
      <c r="BG94" s="225">
        <v>0</v>
      </c>
      <c r="BH94" s="225">
        <v>0</v>
      </c>
      <c r="BI94" s="225">
        <v>0</v>
      </c>
      <c r="BJ94" s="248"/>
      <c r="BK94" s="248"/>
      <c r="BL94" s="248"/>
      <c r="BM94" s="248">
        <f t="shared" si="62"/>
        <v>0</v>
      </c>
      <c r="BN94" s="249"/>
      <c r="BO94" s="225"/>
      <c r="BP94" s="248"/>
      <c r="BQ94" s="249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7">
        <f t="shared" si="63"/>
        <v>0</v>
      </c>
      <c r="CD94" s="244"/>
      <c r="CE94" s="244"/>
      <c r="CF94" s="244"/>
    </row>
    <row r="95" spans="1:84" x14ac:dyDescent="0.2">
      <c r="A95" s="245" t="s">
        <v>455</v>
      </c>
      <c r="B95" s="246" t="s">
        <v>641</v>
      </c>
      <c r="C95" s="246" t="s">
        <v>506</v>
      </c>
      <c r="D95" s="246" t="s">
        <v>654</v>
      </c>
      <c r="E95" s="247" t="s">
        <v>202</v>
      </c>
      <c r="F95" s="247" t="s">
        <v>711</v>
      </c>
      <c r="G95" s="233" t="str">
        <f>IF(M95&gt;0, "1", "0")</f>
        <v>0</v>
      </c>
      <c r="H95" s="233" t="str">
        <f>IF(S95&gt;0, "1", "0")</f>
        <v>0</v>
      </c>
      <c r="I95" s="233" t="str">
        <f>IF(AI95&gt;0, "1", "0")</f>
        <v>1</v>
      </c>
      <c r="J95" s="233" t="str">
        <f>IF(AZ95&gt;0, "1", "0")</f>
        <v>0</v>
      </c>
      <c r="K95" s="233" t="str">
        <f>CONCATENATE(G95,H95,I95,J95)</f>
        <v>0010</v>
      </c>
      <c r="L95" s="247" t="str">
        <f>A95&amp;B95&amp;E95</f>
        <v>04800934Diagnostic Review 19-20</v>
      </c>
      <c r="M95" s="225"/>
      <c r="N95" s="225"/>
      <c r="O95" s="225"/>
      <c r="P95" s="225"/>
      <c r="Q95" s="225">
        <f>SUM(M95:P95)</f>
        <v>0</v>
      </c>
      <c r="R95" s="225"/>
      <c r="S95" s="225">
        <v>0</v>
      </c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>
        <f>SUM(Q95:AE95)</f>
        <v>0</v>
      </c>
      <c r="AG95" s="225"/>
      <c r="AH95" s="225">
        <v>0</v>
      </c>
      <c r="AI95" s="225">
        <v>50026.447500000002</v>
      </c>
      <c r="AJ95" s="225"/>
      <c r="AK95" s="225"/>
      <c r="AL95" s="225"/>
      <c r="AM95" s="225"/>
      <c r="AN95" s="225">
        <v>0</v>
      </c>
      <c r="AO95" s="225">
        <v>0</v>
      </c>
      <c r="AP95" s="225"/>
      <c r="AQ95" s="225"/>
      <c r="AR95" s="225"/>
      <c r="AS95" s="225"/>
      <c r="AT95" s="248">
        <v>0</v>
      </c>
      <c r="AU95" s="248">
        <v>0</v>
      </c>
      <c r="AV95" s="248">
        <v>0</v>
      </c>
      <c r="AW95" s="227">
        <f>SUM(AF95:AV95)</f>
        <v>50026.447500000002</v>
      </c>
      <c r="AX95" s="249">
        <v>0</v>
      </c>
      <c r="AY95" s="225">
        <v>0</v>
      </c>
      <c r="AZ95" s="227"/>
      <c r="BA95" s="250">
        <v>0</v>
      </c>
      <c r="BB95" s="225">
        <v>0</v>
      </c>
      <c r="BC95" s="225">
        <v>0</v>
      </c>
      <c r="BD95" s="225">
        <v>0</v>
      </c>
      <c r="BE95" s="225"/>
      <c r="BF95" s="225"/>
      <c r="BG95" s="225">
        <v>0</v>
      </c>
      <c r="BH95" s="225">
        <v>0</v>
      </c>
      <c r="BI95" s="225">
        <v>0</v>
      </c>
      <c r="BJ95" s="248"/>
      <c r="BK95" s="248">
        <v>-15000</v>
      </c>
      <c r="BL95" s="248"/>
      <c r="BM95" s="248">
        <f t="shared" si="62"/>
        <v>35026.447500000002</v>
      </c>
      <c r="BN95" s="249"/>
      <c r="BO95" s="225"/>
      <c r="BP95" s="248"/>
      <c r="BQ95" s="249"/>
      <c r="BR95" s="225"/>
      <c r="BS95" s="225"/>
      <c r="BT95" s="225">
        <v>-18660</v>
      </c>
      <c r="BU95" s="225"/>
      <c r="BV95" s="252">
        <v>-16366.45</v>
      </c>
      <c r="BW95" s="225"/>
      <c r="BX95" s="225"/>
      <c r="BY95" s="225"/>
      <c r="BZ95" s="225"/>
      <c r="CA95" s="225"/>
      <c r="CB95" s="225"/>
      <c r="CC95" s="227">
        <f t="shared" si="63"/>
        <v>-2.4999999986903276E-3</v>
      </c>
      <c r="CD95" s="244"/>
      <c r="CE95" s="244"/>
      <c r="CF95" s="244"/>
    </row>
    <row r="96" spans="1:84" x14ac:dyDescent="0.2">
      <c r="A96" s="245" t="s">
        <v>377</v>
      </c>
      <c r="B96" s="246" t="s">
        <v>353</v>
      </c>
      <c r="C96" s="246" t="s">
        <v>601</v>
      </c>
      <c r="D96" s="246" t="s">
        <v>577</v>
      </c>
      <c r="E96" s="247" t="s">
        <v>201</v>
      </c>
      <c r="F96" s="247" t="s">
        <v>711</v>
      </c>
      <c r="G96" s="233" t="str">
        <f>IF(M96&gt;0, "1", "0")</f>
        <v>0</v>
      </c>
      <c r="H96" s="233" t="str">
        <f>IF(S96&gt;0, "1", "0")</f>
        <v>1</v>
      </c>
      <c r="I96" s="233" t="str">
        <f>IF(AI96&gt;0, "1", "0")</f>
        <v>0</v>
      </c>
      <c r="J96" s="233" t="str">
        <f>IF(AZ96&gt;0, "1", "0")</f>
        <v>0</v>
      </c>
      <c r="K96" s="233" t="str">
        <f>CONCATENATE(G96,H96,I96,J96)</f>
        <v>0100</v>
      </c>
      <c r="L96" s="247" t="str">
        <f>A96&amp;B96&amp;E96</f>
        <v>05004085Diagnostic Review 18-19</v>
      </c>
      <c r="M96" s="225"/>
      <c r="N96" s="225"/>
      <c r="O96" s="225"/>
      <c r="P96" s="225"/>
      <c r="Q96" s="225">
        <f>SUM(M96:P96)</f>
        <v>0</v>
      </c>
      <c r="R96" s="225"/>
      <c r="S96" s="225">
        <v>35748</v>
      </c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>
        <f>SUM(Q96:AE96)</f>
        <v>35748</v>
      </c>
      <c r="AG96" s="225"/>
      <c r="AH96" s="225">
        <v>5504</v>
      </c>
      <c r="AI96" s="225"/>
      <c r="AJ96" s="225">
        <v>-26984</v>
      </c>
      <c r="AK96" s="225"/>
      <c r="AL96" s="225"/>
      <c r="AM96" s="225">
        <v>-151.9</v>
      </c>
      <c r="AN96" s="225">
        <v>-1155</v>
      </c>
      <c r="AO96" s="225">
        <v>-32.229999999999997</v>
      </c>
      <c r="AP96" s="225">
        <v>-1234.4100000000001</v>
      </c>
      <c r="AQ96" s="225">
        <v>-531.05999999999995</v>
      </c>
      <c r="AR96" s="225"/>
      <c r="AS96" s="225">
        <v>-5659.4</v>
      </c>
      <c r="AT96" s="248">
        <v>0</v>
      </c>
      <c r="AU96" s="248">
        <v>0</v>
      </c>
      <c r="AV96" s="248">
        <v>0</v>
      </c>
      <c r="AW96" s="227">
        <f>SUM(AF96:AV96)</f>
        <v>5504.0000000000018</v>
      </c>
      <c r="AX96" s="249">
        <v>0</v>
      </c>
      <c r="AY96" s="225">
        <v>0</v>
      </c>
      <c r="AZ96" s="227"/>
      <c r="BA96" s="250">
        <v>0</v>
      </c>
      <c r="BB96" s="225">
        <v>0</v>
      </c>
      <c r="BC96" s="225">
        <v>0</v>
      </c>
      <c r="BD96" s="225">
        <v>0</v>
      </c>
      <c r="BE96" s="225"/>
      <c r="BF96" s="225"/>
      <c r="BG96" s="225">
        <v>0</v>
      </c>
      <c r="BH96" s="225">
        <v>0</v>
      </c>
      <c r="BI96" s="225">
        <v>0</v>
      </c>
      <c r="BJ96" s="248"/>
      <c r="BK96" s="248"/>
      <c r="BL96" s="248"/>
      <c r="BM96" s="248">
        <f t="shared" si="62"/>
        <v>5504.0000000000018</v>
      </c>
      <c r="BN96" s="249"/>
      <c r="BO96" s="225"/>
      <c r="BP96" s="248"/>
      <c r="BQ96" s="249"/>
      <c r="BR96" s="225"/>
      <c r="BS96" s="225"/>
      <c r="BT96" s="225"/>
      <c r="BU96" s="225"/>
      <c r="BV96" s="147"/>
      <c r="BW96" s="242"/>
      <c r="BX96" s="225"/>
      <c r="BY96" s="225"/>
      <c r="BZ96" s="225"/>
      <c r="CA96" s="225"/>
      <c r="CB96" s="225"/>
      <c r="CC96" s="227">
        <f t="shared" si="63"/>
        <v>5504.0000000000018</v>
      </c>
      <c r="CD96" s="244"/>
      <c r="CE96" s="244"/>
      <c r="CF96" s="244"/>
    </row>
    <row r="97" spans="1:84" x14ac:dyDescent="0.2">
      <c r="A97" s="245" t="s">
        <v>770</v>
      </c>
      <c r="B97" s="247" t="s">
        <v>771</v>
      </c>
      <c r="C97" s="246" t="s">
        <v>773</v>
      </c>
      <c r="D97" s="246" t="s">
        <v>772</v>
      </c>
      <c r="E97" s="247" t="s">
        <v>755</v>
      </c>
      <c r="F97" s="247"/>
      <c r="G97" s="233"/>
      <c r="H97" s="233"/>
      <c r="I97" s="233"/>
      <c r="J97" s="233"/>
      <c r="K97" s="233"/>
      <c r="L97" s="247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48"/>
      <c r="AU97" s="248"/>
      <c r="AV97" s="248"/>
      <c r="AW97" s="227"/>
      <c r="AX97" s="249"/>
      <c r="AY97" s="225"/>
      <c r="AZ97" s="227">
        <v>20000</v>
      </c>
      <c r="BA97" s="250"/>
      <c r="BB97" s="225"/>
      <c r="BC97" s="225"/>
      <c r="BD97" s="225"/>
      <c r="BE97" s="225"/>
      <c r="BF97" s="225"/>
      <c r="BG97" s="225"/>
      <c r="BH97" s="225"/>
      <c r="BI97" s="225"/>
      <c r="BJ97" s="248"/>
      <c r="BK97" s="248"/>
      <c r="BL97" s="248"/>
      <c r="BM97" s="248">
        <f t="shared" si="62"/>
        <v>20000</v>
      </c>
      <c r="BN97" s="249"/>
      <c r="BO97" s="225"/>
      <c r="BP97" s="248">
        <v>10000</v>
      </c>
      <c r="BQ97" s="249"/>
      <c r="BR97" s="225"/>
      <c r="BS97" s="225"/>
      <c r="BT97" s="225"/>
      <c r="BU97" s="225"/>
      <c r="BV97" s="252"/>
      <c r="BW97" s="225"/>
      <c r="BX97" s="225"/>
      <c r="BY97" s="225"/>
      <c r="BZ97" s="225"/>
      <c r="CA97" s="225"/>
      <c r="CB97" s="225"/>
      <c r="CC97" s="227">
        <f t="shared" si="63"/>
        <v>30000</v>
      </c>
      <c r="CD97" s="244"/>
      <c r="CE97" s="244"/>
      <c r="CF97" s="244"/>
    </row>
    <row r="98" spans="1:84" x14ac:dyDescent="0.2">
      <c r="A98" s="245" t="s">
        <v>22</v>
      </c>
      <c r="B98" s="246" t="s">
        <v>50</v>
      </c>
      <c r="C98" s="246" t="s">
        <v>101</v>
      </c>
      <c r="D98" s="246" t="s">
        <v>126</v>
      </c>
      <c r="E98" s="247" t="s">
        <v>200</v>
      </c>
      <c r="F98" s="247" t="s">
        <v>711</v>
      </c>
      <c r="G98" s="233" t="str">
        <f>IF(M98&gt;0, "1", "0")</f>
        <v>1</v>
      </c>
      <c r="H98" s="233" t="str">
        <f>IF(S98&gt;0, "1", "0")</f>
        <v>0</v>
      </c>
      <c r="I98" s="233" t="str">
        <f>IF(AI98&gt;0, "1", "0")</f>
        <v>0</v>
      </c>
      <c r="J98" s="233" t="str">
        <f>IF(AZ98&gt;0, "1", "0")</f>
        <v>0</v>
      </c>
      <c r="K98" s="233" t="str">
        <f>CONCATENATE(G98,H98,I98,J98)</f>
        <v>1000</v>
      </c>
      <c r="L98" s="247" t="str">
        <f>A98&amp;B98&amp;E98</f>
        <v>07407880Diagnostic Review 17-18</v>
      </c>
      <c r="M98" s="225">
        <v>49590</v>
      </c>
      <c r="N98" s="225"/>
      <c r="O98" s="225"/>
      <c r="P98" s="225"/>
      <c r="Q98" s="225">
        <f>SUM(M98:P98)</f>
        <v>49590</v>
      </c>
      <c r="R98" s="225"/>
      <c r="S98" s="225">
        <v>0</v>
      </c>
      <c r="T98" s="225"/>
      <c r="U98" s="225">
        <v>-49590</v>
      </c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>
        <f>SUM(Q98:AE98)</f>
        <v>0</v>
      </c>
      <c r="AG98" s="225"/>
      <c r="AH98" s="225">
        <v>0</v>
      </c>
      <c r="AI98" s="225"/>
      <c r="AJ98" s="225"/>
      <c r="AK98" s="225"/>
      <c r="AL98" s="225"/>
      <c r="AM98" s="225"/>
      <c r="AN98" s="225">
        <v>0</v>
      </c>
      <c r="AO98" s="225">
        <v>0</v>
      </c>
      <c r="AP98" s="225"/>
      <c r="AQ98" s="225"/>
      <c r="AR98" s="225"/>
      <c r="AS98" s="225"/>
      <c r="AT98" s="248">
        <v>0</v>
      </c>
      <c r="AU98" s="248">
        <v>0</v>
      </c>
      <c r="AV98" s="248">
        <v>0</v>
      </c>
      <c r="AW98" s="227">
        <f>SUM(AF98:AV98)</f>
        <v>0</v>
      </c>
      <c r="AX98" s="249">
        <v>0</v>
      </c>
      <c r="AY98" s="225">
        <v>0</v>
      </c>
      <c r="AZ98" s="227"/>
      <c r="BA98" s="250">
        <v>0</v>
      </c>
      <c r="BB98" s="225">
        <v>0</v>
      </c>
      <c r="BC98" s="225">
        <v>0</v>
      </c>
      <c r="BD98" s="225">
        <v>0</v>
      </c>
      <c r="BE98" s="225"/>
      <c r="BF98" s="225"/>
      <c r="BG98" s="225">
        <v>0</v>
      </c>
      <c r="BH98" s="225">
        <v>0</v>
      </c>
      <c r="BI98" s="225">
        <v>0</v>
      </c>
      <c r="BJ98" s="248"/>
      <c r="BK98" s="248"/>
      <c r="BL98" s="248"/>
      <c r="BM98" s="248">
        <f t="shared" si="62"/>
        <v>0</v>
      </c>
      <c r="BN98" s="249"/>
      <c r="BO98" s="225"/>
      <c r="BP98" s="248"/>
      <c r="BQ98" s="249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7">
        <f t="shared" si="63"/>
        <v>0</v>
      </c>
      <c r="CD98" s="244"/>
      <c r="CE98" s="244"/>
      <c r="CF98" s="244"/>
    </row>
    <row r="99" spans="1:84" x14ac:dyDescent="0.2">
      <c r="A99" s="245" t="s">
        <v>378</v>
      </c>
      <c r="B99" s="246" t="s">
        <v>354</v>
      </c>
      <c r="C99" s="246" t="s">
        <v>615</v>
      </c>
      <c r="D99" s="246" t="s">
        <v>578</v>
      </c>
      <c r="E99" s="247" t="s">
        <v>201</v>
      </c>
      <c r="F99" s="247" t="s">
        <v>711</v>
      </c>
      <c r="G99" s="233" t="str">
        <f>IF(M99&gt;0, "1", "0")</f>
        <v>0</v>
      </c>
      <c r="H99" s="233" t="str">
        <f>IF(S99&gt;0, "1", "0")</f>
        <v>1</v>
      </c>
      <c r="I99" s="233" t="str">
        <f>IF(AI99&gt;0, "1", "0")</f>
        <v>0</v>
      </c>
      <c r="J99" s="233" t="str">
        <f>IF(AZ99&gt;0, "1", "0")</f>
        <v>0</v>
      </c>
      <c r="K99" s="233" t="str">
        <f>CONCATENATE(G99,H99,I99,J99)</f>
        <v>0100</v>
      </c>
      <c r="L99" s="247" t="str">
        <f>A99&amp;B99&amp;E99</f>
        <v>08702155Diagnostic Review 18-19</v>
      </c>
      <c r="M99" s="225"/>
      <c r="N99" s="225"/>
      <c r="O99" s="225"/>
      <c r="P99" s="225"/>
      <c r="Q99" s="225">
        <f>SUM(M99:P99)</f>
        <v>0</v>
      </c>
      <c r="R99" s="225"/>
      <c r="S99" s="225">
        <v>54281</v>
      </c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>
        <v>-21000</v>
      </c>
      <c r="AF99" s="225">
        <f>SUM(Q99:AE99)</f>
        <v>33281</v>
      </c>
      <c r="AG99" s="225"/>
      <c r="AH99" s="225">
        <v>0</v>
      </c>
      <c r="AI99" s="225"/>
      <c r="AJ99" s="225"/>
      <c r="AK99" s="225"/>
      <c r="AL99" s="225"/>
      <c r="AM99" s="225"/>
      <c r="AN99" s="225">
        <v>-21920</v>
      </c>
      <c r="AO99" s="225">
        <v>0</v>
      </c>
      <c r="AP99" s="225"/>
      <c r="AQ99" s="225"/>
      <c r="AR99" s="225"/>
      <c r="AS99" s="225"/>
      <c r="AT99" s="248">
        <v>0</v>
      </c>
      <c r="AU99" s="248">
        <v>0</v>
      </c>
      <c r="AV99" s="248">
        <v>0</v>
      </c>
      <c r="AW99" s="227">
        <f>SUM(AF99:AV99)</f>
        <v>11361</v>
      </c>
      <c r="AX99" s="249">
        <v>0</v>
      </c>
      <c r="AY99" s="225">
        <v>0</v>
      </c>
      <c r="AZ99" s="227"/>
      <c r="BA99" s="250">
        <v>0</v>
      </c>
      <c r="BB99" s="225">
        <v>-3750</v>
      </c>
      <c r="BC99" s="225">
        <v>0</v>
      </c>
      <c r="BD99" s="225">
        <v>0</v>
      </c>
      <c r="BE99" s="225"/>
      <c r="BF99" s="225"/>
      <c r="BG99" s="225">
        <v>0</v>
      </c>
      <c r="BH99" s="225">
        <v>0</v>
      </c>
      <c r="BI99" s="225">
        <v>0</v>
      </c>
      <c r="BJ99" s="248"/>
      <c r="BK99" s="248"/>
      <c r="BL99" s="248"/>
      <c r="BM99" s="248">
        <f t="shared" si="62"/>
        <v>7611</v>
      </c>
      <c r="BN99" s="249"/>
      <c r="BO99" s="225"/>
      <c r="BP99" s="248"/>
      <c r="BQ99" s="249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7">
        <f t="shared" si="63"/>
        <v>7611</v>
      </c>
      <c r="CD99" s="244"/>
      <c r="CE99" s="244"/>
      <c r="CF99" s="244"/>
    </row>
    <row r="100" spans="1:84" x14ac:dyDescent="0.2">
      <c r="A100" s="245" t="s">
        <v>378</v>
      </c>
      <c r="B100" s="246" t="s">
        <v>355</v>
      </c>
      <c r="C100" s="246" t="s">
        <v>615</v>
      </c>
      <c r="D100" s="246" t="s">
        <v>579</v>
      </c>
      <c r="E100" s="247" t="s">
        <v>201</v>
      </c>
      <c r="F100" s="247" t="s">
        <v>711</v>
      </c>
      <c r="G100" s="233" t="str">
        <f>IF(M100&gt;0, "1", "0")</f>
        <v>0</v>
      </c>
      <c r="H100" s="233" t="str">
        <f>IF(S100&gt;0, "1", "0")</f>
        <v>1</v>
      </c>
      <c r="I100" s="233" t="str">
        <f>IF(AI100&gt;0, "1", "0")</f>
        <v>0</v>
      </c>
      <c r="J100" s="233" t="str">
        <f>IF(AZ100&gt;0, "1", "0")</f>
        <v>0</v>
      </c>
      <c r="K100" s="233" t="str">
        <f>CONCATENATE(G100,H100,I100,J100)</f>
        <v>0100</v>
      </c>
      <c r="L100" s="247" t="str">
        <f>A100&amp;B100&amp;E100</f>
        <v>08702166Diagnostic Review 18-19</v>
      </c>
      <c r="M100" s="225"/>
      <c r="N100" s="225"/>
      <c r="O100" s="225"/>
      <c r="P100" s="225"/>
      <c r="Q100" s="225">
        <f>SUM(M100:P100)</f>
        <v>0</v>
      </c>
      <c r="R100" s="225"/>
      <c r="S100" s="225">
        <v>28283</v>
      </c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>
        <v>-18000</v>
      </c>
      <c r="AF100" s="225">
        <f>SUM(Q100:AE100)</f>
        <v>10283</v>
      </c>
      <c r="AG100" s="225"/>
      <c r="AH100" s="225">
        <v>0</v>
      </c>
      <c r="AI100" s="225"/>
      <c r="AJ100" s="225"/>
      <c r="AK100" s="225"/>
      <c r="AL100" s="225"/>
      <c r="AM100" s="225"/>
      <c r="AN100" s="225">
        <v>0</v>
      </c>
      <c r="AO100" s="225">
        <v>0</v>
      </c>
      <c r="AP100" s="225"/>
      <c r="AQ100" s="225"/>
      <c r="AR100" s="225"/>
      <c r="AS100" s="225">
        <v>-9405.4500000000007</v>
      </c>
      <c r="AT100" s="248">
        <v>0</v>
      </c>
      <c r="AU100" s="248">
        <v>0</v>
      </c>
      <c r="AV100" s="248">
        <v>0</v>
      </c>
      <c r="AW100" s="227">
        <f>SUM(AF100:AV100)</f>
        <v>877.54999999999927</v>
      </c>
      <c r="AX100" s="249">
        <v>0</v>
      </c>
      <c r="AY100" s="225">
        <v>0</v>
      </c>
      <c r="AZ100" s="227"/>
      <c r="BA100" s="250">
        <v>0</v>
      </c>
      <c r="BB100" s="225">
        <v>0</v>
      </c>
      <c r="BC100" s="225">
        <v>0</v>
      </c>
      <c r="BD100" s="225">
        <v>0</v>
      </c>
      <c r="BE100" s="225"/>
      <c r="BF100" s="225"/>
      <c r="BG100" s="225">
        <v>0</v>
      </c>
      <c r="BH100" s="225">
        <v>0</v>
      </c>
      <c r="BI100" s="225">
        <v>0</v>
      </c>
      <c r="BJ100" s="248"/>
      <c r="BK100" s="248"/>
      <c r="BL100" s="248"/>
      <c r="BM100" s="248">
        <f t="shared" si="62"/>
        <v>877.54999999999927</v>
      </c>
      <c r="BN100" s="249"/>
      <c r="BO100" s="225"/>
      <c r="BP100" s="248"/>
      <c r="BQ100" s="249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7">
        <f t="shared" si="63"/>
        <v>877.54999999999927</v>
      </c>
      <c r="CD100" s="244"/>
      <c r="CE100" s="244"/>
      <c r="CF100" s="244"/>
    </row>
    <row r="101" spans="1:84" x14ac:dyDescent="0.2">
      <c r="A101" s="245" t="s">
        <v>23</v>
      </c>
      <c r="B101" s="246" t="s">
        <v>54</v>
      </c>
      <c r="C101" s="246" t="s">
        <v>507</v>
      </c>
      <c r="D101" s="246" t="s">
        <v>130</v>
      </c>
      <c r="E101" s="247" t="s">
        <v>201</v>
      </c>
      <c r="F101" s="247" t="s">
        <v>711</v>
      </c>
      <c r="G101" s="233" t="str">
        <f>IF(M101&gt;0, "1", "0")</f>
        <v>0</v>
      </c>
      <c r="H101" s="233" t="str">
        <f>IF(S101&gt;0, "1", "0")</f>
        <v>1</v>
      </c>
      <c r="I101" s="233" t="str">
        <f>IF(AI101&gt;0, "1", "0")</f>
        <v>0</v>
      </c>
      <c r="J101" s="233" t="str">
        <f>IF(AZ101&gt;0, "1", "0")</f>
        <v>0</v>
      </c>
      <c r="K101" s="233" t="str">
        <f>CONCATENATE(G101,H101,I101,J101)</f>
        <v>0100</v>
      </c>
      <c r="L101" s="247" t="str">
        <f>A101&amp;B101&amp;E101</f>
        <v>08800650Diagnostic Review 18-19</v>
      </c>
      <c r="M101" s="225"/>
      <c r="N101" s="225"/>
      <c r="O101" s="225"/>
      <c r="P101" s="225"/>
      <c r="Q101" s="225">
        <f>SUM(M101:P101)</f>
        <v>0</v>
      </c>
      <c r="R101" s="225"/>
      <c r="S101" s="225">
        <v>18296</v>
      </c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>
        <f>SUM(Q101:AE101)</f>
        <v>18296</v>
      </c>
      <c r="AG101" s="225"/>
      <c r="AH101" s="225">
        <v>0</v>
      </c>
      <c r="AI101" s="225"/>
      <c r="AJ101" s="225"/>
      <c r="AK101" s="225"/>
      <c r="AL101" s="225"/>
      <c r="AM101" s="225"/>
      <c r="AN101" s="225">
        <v>0</v>
      </c>
      <c r="AO101" s="225">
        <v>0</v>
      </c>
      <c r="AP101" s="225"/>
      <c r="AQ101" s="225"/>
      <c r="AR101" s="225"/>
      <c r="AS101" s="225"/>
      <c r="AT101" s="248">
        <v>0</v>
      </c>
      <c r="AU101" s="248">
        <v>0</v>
      </c>
      <c r="AV101" s="248">
        <v>0</v>
      </c>
      <c r="AW101" s="227">
        <f>SUM(AF101:AV101)</f>
        <v>18296</v>
      </c>
      <c r="AX101" s="249">
        <v>0</v>
      </c>
      <c r="AY101" s="225">
        <v>0</v>
      </c>
      <c r="AZ101" s="227"/>
      <c r="BA101" s="250">
        <v>0</v>
      </c>
      <c r="BB101" s="225">
        <v>0</v>
      </c>
      <c r="BC101" s="225">
        <v>0</v>
      </c>
      <c r="BD101" s="225">
        <v>0</v>
      </c>
      <c r="BE101" s="225"/>
      <c r="BF101" s="225"/>
      <c r="BG101" s="225">
        <v>0</v>
      </c>
      <c r="BH101" s="225">
        <v>0</v>
      </c>
      <c r="BI101" s="225">
        <v>0</v>
      </c>
      <c r="BJ101" s="248"/>
      <c r="BK101" s="248"/>
      <c r="BL101" s="248"/>
      <c r="BM101" s="248">
        <f t="shared" si="62"/>
        <v>18296</v>
      </c>
      <c r="BN101" s="249"/>
      <c r="BO101" s="225"/>
      <c r="BP101" s="248"/>
      <c r="BQ101" s="249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7">
        <f t="shared" si="63"/>
        <v>18296</v>
      </c>
      <c r="CD101" s="244"/>
      <c r="CE101" s="244"/>
      <c r="CF101" s="244"/>
    </row>
    <row r="102" spans="1:84" x14ac:dyDescent="0.2">
      <c r="A102" s="245" t="s">
        <v>23</v>
      </c>
      <c r="B102" s="247" t="s">
        <v>383</v>
      </c>
      <c r="C102" s="246" t="s">
        <v>507</v>
      </c>
      <c r="D102" s="246" t="s">
        <v>762</v>
      </c>
      <c r="E102" s="247" t="s">
        <v>755</v>
      </c>
      <c r="F102" s="247"/>
      <c r="G102" s="233"/>
      <c r="H102" s="233"/>
      <c r="I102" s="233"/>
      <c r="J102" s="233"/>
      <c r="K102" s="233"/>
      <c r="L102" s="247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48"/>
      <c r="AU102" s="248"/>
      <c r="AV102" s="248"/>
      <c r="AW102" s="227"/>
      <c r="AX102" s="249"/>
      <c r="AY102" s="225"/>
      <c r="AZ102" s="227">
        <v>25000</v>
      </c>
      <c r="BA102" s="250"/>
      <c r="BB102" s="225"/>
      <c r="BC102" s="225"/>
      <c r="BD102" s="225"/>
      <c r="BE102" s="225"/>
      <c r="BF102" s="225"/>
      <c r="BG102" s="225"/>
      <c r="BH102" s="225"/>
      <c r="BI102" s="225"/>
      <c r="BJ102" s="248"/>
      <c r="BK102" s="248"/>
      <c r="BL102" s="248"/>
      <c r="BM102" s="248">
        <f t="shared" si="62"/>
        <v>25000</v>
      </c>
      <c r="BN102" s="249"/>
      <c r="BO102" s="225"/>
      <c r="BP102" s="248">
        <v>40000</v>
      </c>
      <c r="BQ102" s="249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7">
        <f t="shared" si="63"/>
        <v>65000</v>
      </c>
      <c r="CD102" s="244"/>
      <c r="CE102" s="244"/>
      <c r="CF102" s="244"/>
    </row>
    <row r="103" spans="1:84" x14ac:dyDescent="0.2">
      <c r="A103" s="245" t="s">
        <v>23</v>
      </c>
      <c r="B103" s="246" t="s">
        <v>647</v>
      </c>
      <c r="C103" s="246" t="s">
        <v>507</v>
      </c>
      <c r="D103" s="246" t="s">
        <v>658</v>
      </c>
      <c r="E103" s="247" t="s">
        <v>202</v>
      </c>
      <c r="F103" s="247" t="s">
        <v>711</v>
      </c>
      <c r="G103" s="233" t="str">
        <f t="shared" ref="G103:G110" si="64">IF(M103&gt;0, "1", "0")</f>
        <v>0</v>
      </c>
      <c r="H103" s="233" t="str">
        <f t="shared" ref="H103:H110" si="65">IF(S103&gt;0, "1", "0")</f>
        <v>0</v>
      </c>
      <c r="I103" s="233" t="str">
        <f t="shared" ref="I103:I110" si="66">IF(AI103&gt;0, "1", "0")</f>
        <v>1</v>
      </c>
      <c r="J103" s="233" t="str">
        <f t="shared" ref="J103:J110" si="67">IF(AZ103&gt;0, "1", "0")</f>
        <v>0</v>
      </c>
      <c r="K103" s="233" t="str">
        <f t="shared" ref="K103:K110" si="68">CONCATENATE(G103,H103,I103,J103)</f>
        <v>0010</v>
      </c>
      <c r="L103" s="247" t="str">
        <f t="shared" ref="L103:L110" si="69">A103&amp;B103&amp;E103</f>
        <v>08804140Diagnostic Review 19-20</v>
      </c>
      <c r="M103" s="225"/>
      <c r="N103" s="225"/>
      <c r="O103" s="225"/>
      <c r="P103" s="225"/>
      <c r="Q103" s="225">
        <f t="shared" ref="Q103:Q110" si="70">SUM(M103:P103)</f>
        <v>0</v>
      </c>
      <c r="R103" s="225"/>
      <c r="S103" s="225">
        <v>0</v>
      </c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>
        <f t="shared" ref="AF103:AF110" si="71">SUM(Q103:AE103)</f>
        <v>0</v>
      </c>
      <c r="AG103" s="225"/>
      <c r="AH103" s="225">
        <v>0</v>
      </c>
      <c r="AI103" s="225">
        <v>21454</v>
      </c>
      <c r="AJ103" s="225"/>
      <c r="AK103" s="225"/>
      <c r="AL103" s="225"/>
      <c r="AM103" s="225"/>
      <c r="AN103" s="225">
        <v>0</v>
      </c>
      <c r="AO103" s="225">
        <v>0</v>
      </c>
      <c r="AP103" s="225"/>
      <c r="AQ103" s="225"/>
      <c r="AR103" s="225"/>
      <c r="AS103" s="225"/>
      <c r="AT103" s="248">
        <v>0</v>
      </c>
      <c r="AU103" s="248">
        <v>0</v>
      </c>
      <c r="AV103" s="248">
        <v>0</v>
      </c>
      <c r="AW103" s="227">
        <f t="shared" ref="AW103:AW110" si="72">SUM(AF103:AV103)</f>
        <v>21454</v>
      </c>
      <c r="AX103" s="249">
        <v>0</v>
      </c>
      <c r="AY103" s="225">
        <v>0</v>
      </c>
      <c r="AZ103" s="227"/>
      <c r="BA103" s="250">
        <v>0</v>
      </c>
      <c r="BB103" s="225">
        <v>0</v>
      </c>
      <c r="BC103" s="225">
        <v>0</v>
      </c>
      <c r="BD103" s="225">
        <v>0</v>
      </c>
      <c r="BE103" s="225"/>
      <c r="BF103" s="225"/>
      <c r="BG103" s="225">
        <v>0</v>
      </c>
      <c r="BH103" s="225">
        <v>0</v>
      </c>
      <c r="BI103" s="225">
        <v>0</v>
      </c>
      <c r="BJ103" s="248"/>
      <c r="BK103" s="248"/>
      <c r="BL103" s="248"/>
      <c r="BM103" s="248">
        <f t="shared" si="62"/>
        <v>21454</v>
      </c>
      <c r="BN103" s="249"/>
      <c r="BO103" s="225"/>
      <c r="BP103" s="248"/>
      <c r="BQ103" s="249"/>
      <c r="BR103" s="225"/>
      <c r="BS103" s="225"/>
      <c r="BT103" s="225"/>
      <c r="BU103" s="252">
        <v>-2883.97</v>
      </c>
      <c r="BV103" s="225"/>
      <c r="BW103" s="225"/>
      <c r="BX103" s="225"/>
      <c r="BY103" s="225"/>
      <c r="BZ103" s="225"/>
      <c r="CA103" s="225"/>
      <c r="CB103" s="225"/>
      <c r="CC103" s="227">
        <f t="shared" si="63"/>
        <v>18570.03</v>
      </c>
      <c r="CD103" s="244"/>
      <c r="CE103" s="244"/>
      <c r="CF103" s="244"/>
    </row>
    <row r="104" spans="1:84" x14ac:dyDescent="0.2">
      <c r="A104" s="245" t="s">
        <v>23</v>
      </c>
      <c r="B104" s="246" t="s">
        <v>66</v>
      </c>
      <c r="C104" s="246" t="s">
        <v>507</v>
      </c>
      <c r="D104" s="246" t="s">
        <v>139</v>
      </c>
      <c r="E104" s="247" t="s">
        <v>201</v>
      </c>
      <c r="F104" s="247" t="s">
        <v>711</v>
      </c>
      <c r="G104" s="233" t="str">
        <f t="shared" si="64"/>
        <v>0</v>
      </c>
      <c r="H104" s="233" t="str">
        <f t="shared" si="65"/>
        <v>1</v>
      </c>
      <c r="I104" s="233" t="str">
        <f t="shared" si="66"/>
        <v>0</v>
      </c>
      <c r="J104" s="233" t="str">
        <f t="shared" si="67"/>
        <v>0</v>
      </c>
      <c r="K104" s="233" t="str">
        <f t="shared" si="68"/>
        <v>0100</v>
      </c>
      <c r="L104" s="247" t="str">
        <f t="shared" si="69"/>
        <v>08804782Diagnostic Review 18-19</v>
      </c>
      <c r="M104" s="225"/>
      <c r="N104" s="225"/>
      <c r="O104" s="225"/>
      <c r="P104" s="225"/>
      <c r="Q104" s="225">
        <f t="shared" si="70"/>
        <v>0</v>
      </c>
      <c r="R104" s="225"/>
      <c r="S104" s="225">
        <v>18296</v>
      </c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>
        <f t="shared" si="71"/>
        <v>18296</v>
      </c>
      <c r="AG104" s="225"/>
      <c r="AH104" s="225">
        <v>0</v>
      </c>
      <c r="AI104" s="225"/>
      <c r="AJ104" s="225"/>
      <c r="AK104" s="225"/>
      <c r="AL104" s="225"/>
      <c r="AM104" s="225"/>
      <c r="AN104" s="225">
        <v>0</v>
      </c>
      <c r="AO104" s="225">
        <v>0</v>
      </c>
      <c r="AP104" s="225"/>
      <c r="AQ104" s="225"/>
      <c r="AR104" s="225"/>
      <c r="AS104" s="225"/>
      <c r="AT104" s="248">
        <v>0</v>
      </c>
      <c r="AU104" s="248">
        <v>0</v>
      </c>
      <c r="AV104" s="248">
        <v>0</v>
      </c>
      <c r="AW104" s="227">
        <f t="shared" si="72"/>
        <v>18296</v>
      </c>
      <c r="AX104" s="249">
        <v>0</v>
      </c>
      <c r="AY104" s="225">
        <v>0</v>
      </c>
      <c r="AZ104" s="227"/>
      <c r="BA104" s="250">
        <v>0</v>
      </c>
      <c r="BB104" s="225">
        <v>0</v>
      </c>
      <c r="BC104" s="225">
        <v>0</v>
      </c>
      <c r="BD104" s="225">
        <v>0</v>
      </c>
      <c r="BE104" s="225"/>
      <c r="BF104" s="225"/>
      <c r="BG104" s="225">
        <v>0</v>
      </c>
      <c r="BH104" s="225">
        <v>0</v>
      </c>
      <c r="BI104" s="225">
        <v>0</v>
      </c>
      <c r="BJ104" s="248"/>
      <c r="BK104" s="248"/>
      <c r="BL104" s="248"/>
      <c r="BM104" s="248">
        <f t="shared" si="62"/>
        <v>18296</v>
      </c>
      <c r="BN104" s="249"/>
      <c r="BO104" s="225"/>
      <c r="BP104" s="248"/>
      <c r="BQ104" s="249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7">
        <f t="shared" si="63"/>
        <v>18296</v>
      </c>
      <c r="CD104" s="244"/>
      <c r="CE104" s="244"/>
      <c r="CF104" s="244"/>
    </row>
    <row r="105" spans="1:84" x14ac:dyDescent="0.2">
      <c r="A105" s="245" t="s">
        <v>23</v>
      </c>
      <c r="B105" s="246" t="s">
        <v>356</v>
      </c>
      <c r="C105" s="246" t="s">
        <v>507</v>
      </c>
      <c r="D105" s="246" t="s">
        <v>580</v>
      </c>
      <c r="E105" s="247" t="s">
        <v>201</v>
      </c>
      <c r="F105" s="247" t="s">
        <v>711</v>
      </c>
      <c r="G105" s="233" t="str">
        <f t="shared" si="64"/>
        <v>0</v>
      </c>
      <c r="H105" s="233" t="str">
        <f t="shared" si="65"/>
        <v>1</v>
      </c>
      <c r="I105" s="233" t="str">
        <f t="shared" si="66"/>
        <v>0</v>
      </c>
      <c r="J105" s="233" t="str">
        <f t="shared" si="67"/>
        <v>0</v>
      </c>
      <c r="K105" s="233" t="str">
        <f t="shared" si="68"/>
        <v>0100</v>
      </c>
      <c r="L105" s="247" t="str">
        <f t="shared" si="69"/>
        <v>08805578Diagnostic Review 18-19</v>
      </c>
      <c r="M105" s="225"/>
      <c r="N105" s="225"/>
      <c r="O105" s="225"/>
      <c r="P105" s="225"/>
      <c r="Q105" s="225">
        <f t="shared" si="70"/>
        <v>0</v>
      </c>
      <c r="R105" s="225"/>
      <c r="S105" s="225">
        <v>18296</v>
      </c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>
        <f t="shared" si="71"/>
        <v>18296</v>
      </c>
      <c r="AG105" s="225"/>
      <c r="AH105" s="225">
        <v>0</v>
      </c>
      <c r="AI105" s="225"/>
      <c r="AJ105" s="225"/>
      <c r="AK105" s="225"/>
      <c r="AL105" s="225"/>
      <c r="AM105" s="225"/>
      <c r="AN105" s="225">
        <v>0</v>
      </c>
      <c r="AO105" s="225">
        <v>0</v>
      </c>
      <c r="AP105" s="225"/>
      <c r="AQ105" s="225"/>
      <c r="AR105" s="225"/>
      <c r="AS105" s="225"/>
      <c r="AT105" s="248">
        <v>0</v>
      </c>
      <c r="AU105" s="248">
        <v>0</v>
      </c>
      <c r="AV105" s="248">
        <v>0</v>
      </c>
      <c r="AW105" s="227">
        <f t="shared" si="72"/>
        <v>18296</v>
      </c>
      <c r="AX105" s="249">
        <v>0</v>
      </c>
      <c r="AY105" s="225">
        <v>0</v>
      </c>
      <c r="AZ105" s="227"/>
      <c r="BA105" s="250">
        <v>0</v>
      </c>
      <c r="BB105" s="225">
        <v>0</v>
      </c>
      <c r="BC105" s="225">
        <v>0</v>
      </c>
      <c r="BD105" s="225">
        <v>0</v>
      </c>
      <c r="BE105" s="225"/>
      <c r="BF105" s="225"/>
      <c r="BG105" s="225">
        <v>0</v>
      </c>
      <c r="BH105" s="225">
        <v>0</v>
      </c>
      <c r="BI105" s="225">
        <v>0</v>
      </c>
      <c r="BJ105" s="248"/>
      <c r="BK105" s="248"/>
      <c r="BL105" s="248"/>
      <c r="BM105" s="248">
        <f t="shared" si="62"/>
        <v>18296</v>
      </c>
      <c r="BN105" s="249"/>
      <c r="BO105" s="225"/>
      <c r="BP105" s="248"/>
      <c r="BQ105" s="249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7">
        <f t="shared" si="63"/>
        <v>18296</v>
      </c>
      <c r="CD105" s="244"/>
      <c r="CE105" s="244"/>
      <c r="CF105" s="244"/>
    </row>
    <row r="106" spans="1:84" x14ac:dyDescent="0.2">
      <c r="A106" s="245" t="s">
        <v>23</v>
      </c>
      <c r="B106" s="246" t="s">
        <v>69</v>
      </c>
      <c r="C106" s="246" t="s">
        <v>507</v>
      </c>
      <c r="D106" s="246" t="s">
        <v>581</v>
      </c>
      <c r="E106" s="247" t="s">
        <v>201</v>
      </c>
      <c r="F106" s="247" t="s">
        <v>711</v>
      </c>
      <c r="G106" s="233" t="str">
        <f t="shared" si="64"/>
        <v>0</v>
      </c>
      <c r="H106" s="233" t="str">
        <f t="shared" si="65"/>
        <v>1</v>
      </c>
      <c r="I106" s="233" t="str">
        <f t="shared" si="66"/>
        <v>0</v>
      </c>
      <c r="J106" s="233" t="str">
        <f t="shared" si="67"/>
        <v>0</v>
      </c>
      <c r="K106" s="233" t="str">
        <f t="shared" si="68"/>
        <v>0100</v>
      </c>
      <c r="L106" s="247" t="str">
        <f t="shared" si="69"/>
        <v>08806002Diagnostic Review 18-19</v>
      </c>
      <c r="M106" s="225"/>
      <c r="N106" s="225"/>
      <c r="O106" s="225"/>
      <c r="P106" s="225"/>
      <c r="Q106" s="225">
        <f t="shared" si="70"/>
        <v>0</v>
      </c>
      <c r="R106" s="225"/>
      <c r="S106" s="225">
        <v>18296</v>
      </c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>
        <f t="shared" si="71"/>
        <v>18296</v>
      </c>
      <c r="AG106" s="225"/>
      <c r="AH106" s="225">
        <v>0</v>
      </c>
      <c r="AI106" s="225"/>
      <c r="AJ106" s="225"/>
      <c r="AK106" s="225"/>
      <c r="AL106" s="225"/>
      <c r="AM106" s="225"/>
      <c r="AN106" s="225">
        <v>0</v>
      </c>
      <c r="AO106" s="225">
        <v>0</v>
      </c>
      <c r="AP106" s="225"/>
      <c r="AQ106" s="225"/>
      <c r="AR106" s="225"/>
      <c r="AS106" s="225"/>
      <c r="AT106" s="248">
        <v>0</v>
      </c>
      <c r="AU106" s="248">
        <v>0</v>
      </c>
      <c r="AV106" s="248">
        <v>0</v>
      </c>
      <c r="AW106" s="227">
        <f t="shared" si="72"/>
        <v>18296</v>
      </c>
      <c r="AX106" s="249">
        <v>0</v>
      </c>
      <c r="AY106" s="225">
        <v>0</v>
      </c>
      <c r="AZ106" s="227"/>
      <c r="BA106" s="250">
        <v>0</v>
      </c>
      <c r="BB106" s="225">
        <v>0</v>
      </c>
      <c r="BC106" s="225">
        <v>0</v>
      </c>
      <c r="BD106" s="225">
        <v>0</v>
      </c>
      <c r="BE106" s="225"/>
      <c r="BF106" s="225"/>
      <c r="BG106" s="225">
        <v>0</v>
      </c>
      <c r="BH106" s="225">
        <v>0</v>
      </c>
      <c r="BI106" s="225">
        <v>0</v>
      </c>
      <c r="BJ106" s="248"/>
      <c r="BK106" s="248"/>
      <c r="BL106" s="248"/>
      <c r="BM106" s="248">
        <f t="shared" si="62"/>
        <v>18296</v>
      </c>
      <c r="BN106" s="249"/>
      <c r="BO106" s="225"/>
      <c r="BP106" s="248"/>
      <c r="BQ106" s="249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7">
        <f t="shared" si="63"/>
        <v>18296</v>
      </c>
      <c r="CD106" s="244"/>
      <c r="CE106" s="244"/>
      <c r="CF106" s="244"/>
    </row>
    <row r="107" spans="1:84" x14ac:dyDescent="0.2">
      <c r="A107" s="245" t="s">
        <v>23</v>
      </c>
      <c r="B107" s="246" t="s">
        <v>70</v>
      </c>
      <c r="C107" s="246" t="s">
        <v>507</v>
      </c>
      <c r="D107" s="246" t="s">
        <v>582</v>
      </c>
      <c r="E107" s="247" t="s">
        <v>201</v>
      </c>
      <c r="F107" s="247" t="s">
        <v>711</v>
      </c>
      <c r="G107" s="233" t="str">
        <f t="shared" si="64"/>
        <v>0</v>
      </c>
      <c r="H107" s="233" t="str">
        <f t="shared" si="65"/>
        <v>1</v>
      </c>
      <c r="I107" s="233" t="str">
        <f t="shared" si="66"/>
        <v>0</v>
      </c>
      <c r="J107" s="233" t="str">
        <f t="shared" si="67"/>
        <v>0</v>
      </c>
      <c r="K107" s="233" t="str">
        <f t="shared" si="68"/>
        <v>0100</v>
      </c>
      <c r="L107" s="247" t="str">
        <f t="shared" si="69"/>
        <v>08807698Diagnostic Review 18-19</v>
      </c>
      <c r="M107" s="225"/>
      <c r="N107" s="225"/>
      <c r="O107" s="225"/>
      <c r="P107" s="225"/>
      <c r="Q107" s="225">
        <f t="shared" si="70"/>
        <v>0</v>
      </c>
      <c r="R107" s="225"/>
      <c r="S107" s="225">
        <v>18296</v>
      </c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>
        <f t="shared" si="71"/>
        <v>18296</v>
      </c>
      <c r="AG107" s="225"/>
      <c r="AH107" s="225">
        <v>0</v>
      </c>
      <c r="AI107" s="225"/>
      <c r="AJ107" s="225"/>
      <c r="AK107" s="225"/>
      <c r="AL107" s="225"/>
      <c r="AM107" s="225"/>
      <c r="AN107" s="225">
        <v>0</v>
      </c>
      <c r="AO107" s="225">
        <v>0</v>
      </c>
      <c r="AP107" s="225"/>
      <c r="AQ107" s="225"/>
      <c r="AR107" s="225"/>
      <c r="AS107" s="225"/>
      <c r="AT107" s="248">
        <v>0</v>
      </c>
      <c r="AU107" s="248">
        <v>0</v>
      </c>
      <c r="AV107" s="248">
        <v>0</v>
      </c>
      <c r="AW107" s="227">
        <f t="shared" si="72"/>
        <v>18296</v>
      </c>
      <c r="AX107" s="249">
        <v>0</v>
      </c>
      <c r="AY107" s="225">
        <v>0</v>
      </c>
      <c r="AZ107" s="227"/>
      <c r="BA107" s="250">
        <v>0</v>
      </c>
      <c r="BB107" s="225">
        <v>0</v>
      </c>
      <c r="BC107" s="225">
        <v>0</v>
      </c>
      <c r="BD107" s="225">
        <v>0</v>
      </c>
      <c r="BE107" s="225"/>
      <c r="BF107" s="225"/>
      <c r="BG107" s="225">
        <v>0</v>
      </c>
      <c r="BH107" s="225">
        <v>0</v>
      </c>
      <c r="BI107" s="225">
        <v>0</v>
      </c>
      <c r="BJ107" s="248"/>
      <c r="BK107" s="248"/>
      <c r="BL107" s="248"/>
      <c r="BM107" s="248">
        <f t="shared" si="62"/>
        <v>18296</v>
      </c>
      <c r="BN107" s="249"/>
      <c r="BO107" s="225"/>
      <c r="BP107" s="248"/>
      <c r="BQ107" s="249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7">
        <f t="shared" si="63"/>
        <v>18296</v>
      </c>
      <c r="CD107" s="244"/>
      <c r="CE107" s="244"/>
      <c r="CF107" s="244"/>
    </row>
    <row r="108" spans="1:84" x14ac:dyDescent="0.2">
      <c r="A108" s="245" t="s">
        <v>23</v>
      </c>
      <c r="B108" s="246" t="s">
        <v>398</v>
      </c>
      <c r="C108" s="246" t="s">
        <v>507</v>
      </c>
      <c r="D108" s="246" t="s">
        <v>521</v>
      </c>
      <c r="E108" s="247" t="s">
        <v>201</v>
      </c>
      <c r="F108" s="247" t="s">
        <v>711</v>
      </c>
      <c r="G108" s="233" t="str">
        <f t="shared" si="64"/>
        <v>0</v>
      </c>
      <c r="H108" s="233" t="str">
        <f t="shared" si="65"/>
        <v>1</v>
      </c>
      <c r="I108" s="233" t="str">
        <f t="shared" si="66"/>
        <v>0</v>
      </c>
      <c r="J108" s="233" t="str">
        <f t="shared" si="67"/>
        <v>0</v>
      </c>
      <c r="K108" s="233" t="str">
        <f t="shared" si="68"/>
        <v>0100</v>
      </c>
      <c r="L108" s="247" t="str">
        <f t="shared" si="69"/>
        <v>08808145Diagnostic Review 18-19</v>
      </c>
      <c r="M108" s="225"/>
      <c r="N108" s="225"/>
      <c r="O108" s="225"/>
      <c r="P108" s="225"/>
      <c r="Q108" s="225">
        <f t="shared" si="70"/>
        <v>0</v>
      </c>
      <c r="R108" s="225"/>
      <c r="S108" s="225">
        <v>7837</v>
      </c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>
        <f t="shared" si="71"/>
        <v>7837</v>
      </c>
      <c r="AG108" s="225"/>
      <c r="AH108" s="225">
        <v>0</v>
      </c>
      <c r="AI108" s="225"/>
      <c r="AJ108" s="225"/>
      <c r="AK108" s="225"/>
      <c r="AL108" s="225"/>
      <c r="AM108" s="225"/>
      <c r="AN108" s="225">
        <v>0</v>
      </c>
      <c r="AO108" s="225">
        <v>0</v>
      </c>
      <c r="AP108" s="225"/>
      <c r="AQ108" s="225"/>
      <c r="AR108" s="225"/>
      <c r="AS108" s="225"/>
      <c r="AT108" s="248">
        <v>0</v>
      </c>
      <c r="AU108" s="248">
        <v>0</v>
      </c>
      <c r="AV108" s="248">
        <v>0</v>
      </c>
      <c r="AW108" s="227">
        <f t="shared" si="72"/>
        <v>7837</v>
      </c>
      <c r="AX108" s="249">
        <v>0</v>
      </c>
      <c r="AY108" s="225">
        <v>0</v>
      </c>
      <c r="AZ108" s="227"/>
      <c r="BA108" s="250">
        <v>0</v>
      </c>
      <c r="BB108" s="225">
        <v>0</v>
      </c>
      <c r="BC108" s="225">
        <v>0</v>
      </c>
      <c r="BD108" s="225">
        <v>0</v>
      </c>
      <c r="BE108" s="225"/>
      <c r="BF108" s="225"/>
      <c r="BG108" s="225">
        <v>0</v>
      </c>
      <c r="BH108" s="225">
        <v>0</v>
      </c>
      <c r="BI108" s="225">
        <v>0</v>
      </c>
      <c r="BJ108" s="248"/>
      <c r="BK108" s="248"/>
      <c r="BL108" s="248"/>
      <c r="BM108" s="248">
        <f t="shared" si="62"/>
        <v>7837</v>
      </c>
      <c r="BN108" s="249"/>
      <c r="BO108" s="225"/>
      <c r="BP108" s="248"/>
      <c r="BQ108" s="249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7">
        <f t="shared" si="63"/>
        <v>7837</v>
      </c>
      <c r="CD108" s="244"/>
      <c r="CE108" s="244"/>
      <c r="CF108" s="244"/>
    </row>
    <row r="109" spans="1:84" x14ac:dyDescent="0.2">
      <c r="A109" s="245" t="s">
        <v>23</v>
      </c>
      <c r="B109" s="246" t="s">
        <v>55</v>
      </c>
      <c r="C109" s="246" t="s">
        <v>507</v>
      </c>
      <c r="D109" s="246" t="s">
        <v>131</v>
      </c>
      <c r="E109" s="247" t="s">
        <v>201</v>
      </c>
      <c r="F109" s="247" t="s">
        <v>711</v>
      </c>
      <c r="G109" s="233" t="str">
        <f t="shared" si="64"/>
        <v>0</v>
      </c>
      <c r="H109" s="233" t="str">
        <f t="shared" si="65"/>
        <v>1</v>
      </c>
      <c r="I109" s="233" t="str">
        <f t="shared" si="66"/>
        <v>0</v>
      </c>
      <c r="J109" s="233" t="str">
        <f t="shared" si="67"/>
        <v>0</v>
      </c>
      <c r="K109" s="233" t="str">
        <f t="shared" si="68"/>
        <v>0100</v>
      </c>
      <c r="L109" s="247" t="str">
        <f t="shared" si="69"/>
        <v>08809496Diagnostic Review 18-19</v>
      </c>
      <c r="M109" s="225"/>
      <c r="N109" s="225"/>
      <c r="O109" s="225"/>
      <c r="P109" s="225"/>
      <c r="Q109" s="225">
        <f t="shared" si="70"/>
        <v>0</v>
      </c>
      <c r="R109" s="225"/>
      <c r="S109" s="225">
        <v>18296</v>
      </c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>
        <f t="shared" si="71"/>
        <v>18296</v>
      </c>
      <c r="AG109" s="225"/>
      <c r="AH109" s="225">
        <v>0</v>
      </c>
      <c r="AI109" s="225"/>
      <c r="AJ109" s="225"/>
      <c r="AK109" s="225"/>
      <c r="AL109" s="225"/>
      <c r="AM109" s="225"/>
      <c r="AN109" s="225">
        <v>0</v>
      </c>
      <c r="AO109" s="225">
        <v>0</v>
      </c>
      <c r="AP109" s="225"/>
      <c r="AQ109" s="225"/>
      <c r="AR109" s="225"/>
      <c r="AS109" s="225"/>
      <c r="AT109" s="248">
        <v>0</v>
      </c>
      <c r="AU109" s="248">
        <v>0</v>
      </c>
      <c r="AV109" s="248">
        <v>0</v>
      </c>
      <c r="AW109" s="227">
        <f t="shared" si="72"/>
        <v>18296</v>
      </c>
      <c r="AX109" s="249">
        <v>0</v>
      </c>
      <c r="AY109" s="225">
        <v>0</v>
      </c>
      <c r="AZ109" s="227"/>
      <c r="BA109" s="250">
        <v>0</v>
      </c>
      <c r="BB109" s="225">
        <v>0</v>
      </c>
      <c r="BC109" s="225">
        <v>0</v>
      </c>
      <c r="BD109" s="225">
        <v>0</v>
      </c>
      <c r="BE109" s="225"/>
      <c r="BF109" s="225"/>
      <c r="BG109" s="225">
        <v>0</v>
      </c>
      <c r="BH109" s="225">
        <v>0</v>
      </c>
      <c r="BI109" s="225">
        <v>0</v>
      </c>
      <c r="BJ109" s="248"/>
      <c r="BK109" s="248"/>
      <c r="BL109" s="248"/>
      <c r="BM109" s="248">
        <f t="shared" si="62"/>
        <v>18296</v>
      </c>
      <c r="BN109" s="249"/>
      <c r="BO109" s="225"/>
      <c r="BP109" s="248"/>
      <c r="BQ109" s="249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7">
        <f t="shared" si="63"/>
        <v>18296</v>
      </c>
      <c r="CD109" s="244"/>
      <c r="CE109" s="244"/>
      <c r="CF109" s="244"/>
    </row>
    <row r="110" spans="1:84" x14ac:dyDescent="0.2">
      <c r="A110" s="245" t="s">
        <v>23</v>
      </c>
      <c r="B110" s="247" t="s">
        <v>34</v>
      </c>
      <c r="C110" s="246" t="s">
        <v>507</v>
      </c>
      <c r="D110" s="246" t="s">
        <v>111</v>
      </c>
      <c r="E110" s="247" t="s">
        <v>202</v>
      </c>
      <c r="F110" s="247" t="s">
        <v>711</v>
      </c>
      <c r="G110" s="233" t="str">
        <f t="shared" si="64"/>
        <v>0</v>
      </c>
      <c r="H110" s="233" t="str">
        <f t="shared" si="65"/>
        <v>0</v>
      </c>
      <c r="I110" s="233" t="str">
        <f t="shared" si="66"/>
        <v>0</v>
      </c>
      <c r="J110" s="233" t="str">
        <f t="shared" si="67"/>
        <v>0</v>
      </c>
      <c r="K110" s="233" t="str">
        <f t="shared" si="68"/>
        <v>0000</v>
      </c>
      <c r="L110" s="247" t="str">
        <f t="shared" si="69"/>
        <v>0880N/ADiagnostic Review 19-20</v>
      </c>
      <c r="M110" s="225"/>
      <c r="N110" s="225"/>
      <c r="O110" s="225"/>
      <c r="P110" s="225"/>
      <c r="Q110" s="225">
        <f t="shared" si="70"/>
        <v>0</v>
      </c>
      <c r="R110" s="225"/>
      <c r="S110" s="225">
        <v>0</v>
      </c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>
        <f t="shared" si="71"/>
        <v>0</v>
      </c>
      <c r="AG110" s="225"/>
      <c r="AH110" s="225">
        <v>125892</v>
      </c>
      <c r="AI110" s="225"/>
      <c r="AJ110" s="225"/>
      <c r="AK110" s="225"/>
      <c r="AL110" s="225"/>
      <c r="AM110" s="225"/>
      <c r="AN110" s="225">
        <v>0</v>
      </c>
      <c r="AO110" s="225">
        <v>0</v>
      </c>
      <c r="AP110" s="225"/>
      <c r="AQ110" s="225"/>
      <c r="AR110" s="225"/>
      <c r="AS110" s="225"/>
      <c r="AT110" s="248">
        <v>0</v>
      </c>
      <c r="AU110" s="248">
        <v>0</v>
      </c>
      <c r="AV110" s="248">
        <v>0</v>
      </c>
      <c r="AW110" s="227">
        <f t="shared" si="72"/>
        <v>125892</v>
      </c>
      <c r="AX110" s="249">
        <v>48057.199200000003</v>
      </c>
      <c r="AY110" s="225">
        <v>0</v>
      </c>
      <c r="AZ110" s="227"/>
      <c r="BA110" s="250">
        <v>0</v>
      </c>
      <c r="BB110" s="225">
        <v>0</v>
      </c>
      <c r="BC110" s="225">
        <v>0</v>
      </c>
      <c r="BD110" s="225">
        <v>0</v>
      </c>
      <c r="BE110" s="225"/>
      <c r="BF110" s="225"/>
      <c r="BG110" s="225">
        <v>0</v>
      </c>
      <c r="BH110" s="225">
        <v>0</v>
      </c>
      <c r="BI110" s="225">
        <v>0</v>
      </c>
      <c r="BJ110" s="248"/>
      <c r="BK110" s="248"/>
      <c r="BL110" s="248"/>
      <c r="BM110" s="248">
        <f t="shared" si="62"/>
        <v>173949.1992</v>
      </c>
      <c r="BN110" s="249"/>
      <c r="BO110" s="225"/>
      <c r="BP110" s="248"/>
      <c r="BQ110" s="249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7">
        <f t="shared" si="63"/>
        <v>173949.1992</v>
      </c>
      <c r="CD110" s="244"/>
      <c r="CE110" s="244"/>
      <c r="CF110" s="244"/>
    </row>
    <row r="111" spans="1:84" x14ac:dyDescent="0.2">
      <c r="A111" s="245" t="s">
        <v>401</v>
      </c>
      <c r="B111" s="247" t="s">
        <v>748</v>
      </c>
      <c r="C111" s="246" t="s">
        <v>763</v>
      </c>
      <c r="D111" s="246" t="s">
        <v>111</v>
      </c>
      <c r="E111" s="247" t="s">
        <v>755</v>
      </c>
      <c r="F111" s="247"/>
      <c r="G111" s="233"/>
      <c r="H111" s="233"/>
      <c r="I111" s="233"/>
      <c r="J111" s="233"/>
      <c r="K111" s="233"/>
      <c r="L111" s="247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48"/>
      <c r="AU111" s="248"/>
      <c r="AV111" s="248"/>
      <c r="AW111" s="227"/>
      <c r="AX111" s="249"/>
      <c r="AY111" s="225"/>
      <c r="AZ111" s="227">
        <v>1038</v>
      </c>
      <c r="BA111" s="250"/>
      <c r="BB111" s="225"/>
      <c r="BC111" s="225"/>
      <c r="BD111" s="225"/>
      <c r="BE111" s="225"/>
      <c r="BF111" s="225"/>
      <c r="BG111" s="225"/>
      <c r="BH111" s="225"/>
      <c r="BI111" s="225"/>
      <c r="BJ111" s="248"/>
      <c r="BK111" s="248"/>
      <c r="BL111" s="248"/>
      <c r="BM111" s="248">
        <f t="shared" si="62"/>
        <v>1038</v>
      </c>
      <c r="BN111" s="249"/>
      <c r="BO111" s="225"/>
      <c r="BP111" s="248">
        <v>54646</v>
      </c>
      <c r="BQ111" s="249">
        <v>-1038</v>
      </c>
      <c r="BR111" s="225"/>
      <c r="BS111" s="225"/>
      <c r="BT111" s="225" t="s">
        <v>701</v>
      </c>
      <c r="BU111" s="225"/>
      <c r="BV111" s="225"/>
      <c r="BW111" s="225"/>
      <c r="BX111" s="225"/>
      <c r="BY111" s="225"/>
      <c r="BZ111" s="225"/>
      <c r="CA111" s="225"/>
      <c r="CB111" s="225"/>
      <c r="CC111" s="227">
        <f t="shared" si="63"/>
        <v>54646</v>
      </c>
      <c r="CD111" s="244"/>
      <c r="CE111" s="244"/>
      <c r="CF111" s="244"/>
    </row>
    <row r="112" spans="1:84" x14ac:dyDescent="0.2">
      <c r="A112" s="245" t="s">
        <v>230</v>
      </c>
      <c r="B112" s="246" t="s">
        <v>301</v>
      </c>
      <c r="C112" s="246" t="s">
        <v>232</v>
      </c>
      <c r="D112" s="246" t="s">
        <v>302</v>
      </c>
      <c r="E112" s="247" t="s">
        <v>213</v>
      </c>
      <c r="F112" s="247" t="s">
        <v>712</v>
      </c>
      <c r="G112" s="233" t="str">
        <f>IF(M112&gt;0, "1", "0")</f>
        <v>0</v>
      </c>
      <c r="H112" s="233" t="str">
        <f>IF(S112&gt;0, "1", "0")</f>
        <v>1</v>
      </c>
      <c r="I112" s="233" t="str">
        <f>IF(AI112&gt;0, "1", "0")</f>
        <v>0</v>
      </c>
      <c r="J112" s="233" t="str">
        <f>IF(AZ112&gt;0, "1", "0")</f>
        <v>0</v>
      </c>
      <c r="K112" s="233" t="str">
        <f>CONCATENATE(G112,H112,I112,J112)</f>
        <v>0100</v>
      </c>
      <c r="L112" s="247" t="str">
        <f>A112&amp;B112&amp;E112</f>
        <v>10108457District Design and Led 18-21</v>
      </c>
      <c r="M112" s="255"/>
      <c r="N112" s="255"/>
      <c r="O112" s="255"/>
      <c r="P112" s="255"/>
      <c r="Q112" s="225">
        <f>SUM(M112:P112)</f>
        <v>0</v>
      </c>
      <c r="R112" s="225"/>
      <c r="S112" s="225">
        <v>6547</v>
      </c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25">
        <f>SUM(Q112:AE112)</f>
        <v>6547</v>
      </c>
      <c r="AG112" s="225"/>
      <c r="AH112" s="225">
        <v>13577</v>
      </c>
      <c r="AI112" s="225"/>
      <c r="AJ112" s="255"/>
      <c r="AK112" s="255"/>
      <c r="AL112" s="255"/>
      <c r="AM112" s="255"/>
      <c r="AN112" s="255">
        <v>0</v>
      </c>
      <c r="AO112" s="255">
        <v>0</v>
      </c>
      <c r="AP112" s="255"/>
      <c r="AQ112" s="225">
        <v>-1521.62</v>
      </c>
      <c r="AR112" s="225">
        <v>-456.94</v>
      </c>
      <c r="AS112" s="225">
        <v>-2556.58</v>
      </c>
      <c r="AT112" s="248">
        <v>-804.84</v>
      </c>
      <c r="AU112" s="248">
        <v>0</v>
      </c>
      <c r="AV112" s="248">
        <v>0</v>
      </c>
      <c r="AW112" s="227">
        <f>SUM(AF112:AV112)</f>
        <v>14784.020000000002</v>
      </c>
      <c r="AX112" s="249">
        <v>10820</v>
      </c>
      <c r="AY112" s="225">
        <v>0</v>
      </c>
      <c r="AZ112" s="227"/>
      <c r="BA112" s="250">
        <v>0</v>
      </c>
      <c r="BB112" s="225">
        <v>0</v>
      </c>
      <c r="BC112" s="255">
        <v>0</v>
      </c>
      <c r="BD112" s="255">
        <v>0</v>
      </c>
      <c r="BE112" s="255"/>
      <c r="BF112" s="255">
        <v>-833</v>
      </c>
      <c r="BG112" s="225">
        <v>-198.33</v>
      </c>
      <c r="BH112" s="225">
        <v>-5032.4399999999996</v>
      </c>
      <c r="BI112" s="225">
        <v>0</v>
      </c>
      <c r="BJ112" s="248">
        <v>-301.94</v>
      </c>
      <c r="BK112" s="248">
        <v>-1683.66</v>
      </c>
      <c r="BL112" s="248">
        <v>-433.55</v>
      </c>
      <c r="BM112" s="248">
        <f t="shared" si="62"/>
        <v>17121.100000000006</v>
      </c>
      <c r="BN112" s="249"/>
      <c r="BO112" s="225"/>
      <c r="BP112" s="248"/>
      <c r="BQ112" s="249">
        <v>-8251.6</v>
      </c>
      <c r="BR112" s="225">
        <v>-6071.65</v>
      </c>
      <c r="BS112" s="225">
        <v>-963.03</v>
      </c>
      <c r="BT112" s="225"/>
      <c r="BU112" s="225">
        <v>-1835.1</v>
      </c>
      <c r="BV112" s="225"/>
      <c r="BW112" s="225"/>
      <c r="BX112" s="225">
        <v>2129.2800000000002</v>
      </c>
      <c r="BY112" s="225"/>
      <c r="BZ112" s="225"/>
      <c r="CA112" s="225"/>
      <c r="CB112" s="225"/>
      <c r="CC112" s="227">
        <f t="shared" si="63"/>
        <v>2129.0000000000064</v>
      </c>
      <c r="CD112" s="244"/>
      <c r="CE112" s="244"/>
      <c r="CF112" s="244"/>
    </row>
    <row r="113" spans="1:84" x14ac:dyDescent="0.2">
      <c r="A113" s="245" t="s">
        <v>230</v>
      </c>
      <c r="B113" s="246" t="s">
        <v>357</v>
      </c>
      <c r="C113" s="246" t="s">
        <v>232</v>
      </c>
      <c r="D113" s="246" t="s">
        <v>583</v>
      </c>
      <c r="E113" s="247" t="s">
        <v>201</v>
      </c>
      <c r="F113" s="247" t="s">
        <v>711</v>
      </c>
      <c r="G113" s="233" t="str">
        <f>IF(M113&gt;0, "1", "0")</f>
        <v>0</v>
      </c>
      <c r="H113" s="233" t="str">
        <f>IF(S113&gt;0, "1", "0")</f>
        <v>1</v>
      </c>
      <c r="I113" s="233" t="str">
        <f>IF(AI113&gt;0, "1", "0")</f>
        <v>0</v>
      </c>
      <c r="J113" s="233" t="str">
        <f>IF(AZ113&gt;0, "1", "0")</f>
        <v>0</v>
      </c>
      <c r="K113" s="233" t="str">
        <f>CONCATENATE(G113,H113,I113,J113)</f>
        <v>0100</v>
      </c>
      <c r="L113" s="247" t="str">
        <f>A113&amp;B113&amp;E113</f>
        <v>10101625Diagnostic Review 18-19</v>
      </c>
      <c r="M113" s="225"/>
      <c r="N113" s="225"/>
      <c r="O113" s="225"/>
      <c r="P113" s="225"/>
      <c r="Q113" s="225">
        <f>SUM(M113:P113)</f>
        <v>0</v>
      </c>
      <c r="R113" s="225"/>
      <c r="S113" s="225">
        <v>64054</v>
      </c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>
        <v>-228</v>
      </c>
      <c r="AE113" s="225"/>
      <c r="AF113" s="225">
        <f>SUM(Q113:AE113)</f>
        <v>63826</v>
      </c>
      <c r="AG113" s="225"/>
      <c r="AH113" s="225">
        <v>0</v>
      </c>
      <c r="AI113" s="225"/>
      <c r="AJ113" s="225"/>
      <c r="AK113" s="225"/>
      <c r="AL113" s="225">
        <v>-28390</v>
      </c>
      <c r="AM113" s="225"/>
      <c r="AN113" s="225">
        <v>0</v>
      </c>
      <c r="AO113" s="225">
        <v>0</v>
      </c>
      <c r="AP113" s="225"/>
      <c r="AQ113" s="225">
        <v>-27348.53</v>
      </c>
      <c r="AR113" s="225">
        <v>-959.94</v>
      </c>
      <c r="AS113" s="225"/>
      <c r="AT113" s="248">
        <v>0</v>
      </c>
      <c r="AU113" s="248">
        <v>0</v>
      </c>
      <c r="AV113" s="248">
        <v>0</v>
      </c>
      <c r="AW113" s="227">
        <f>SUM(AF113:AV113)</f>
        <v>7127.5300000000007</v>
      </c>
      <c r="AX113" s="249">
        <v>0</v>
      </c>
      <c r="AY113" s="225">
        <v>0</v>
      </c>
      <c r="AZ113" s="227"/>
      <c r="BA113" s="250">
        <v>0</v>
      </c>
      <c r="BB113" s="225">
        <v>0</v>
      </c>
      <c r="BC113" s="225">
        <v>0</v>
      </c>
      <c r="BD113" s="225">
        <v>0</v>
      </c>
      <c r="BE113" s="225"/>
      <c r="BF113" s="225"/>
      <c r="BG113" s="225">
        <v>0</v>
      </c>
      <c r="BH113" s="225">
        <v>0</v>
      </c>
      <c r="BI113" s="225">
        <v>0</v>
      </c>
      <c r="BJ113" s="248"/>
      <c r="BK113" s="248"/>
      <c r="BL113" s="248"/>
      <c r="BM113" s="248">
        <f t="shared" ref="BM113:BM144" si="73">SUM(AW113:BL113)</f>
        <v>7127.5300000000007</v>
      </c>
      <c r="BN113" s="249"/>
      <c r="BO113" s="225"/>
      <c r="BP113" s="248"/>
      <c r="BQ113" s="249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7">
        <f t="shared" si="63"/>
        <v>7127.5300000000007</v>
      </c>
      <c r="CD113" s="244"/>
      <c r="CE113" s="244"/>
      <c r="CF113" s="244"/>
    </row>
    <row r="114" spans="1:84" x14ac:dyDescent="0.2">
      <c r="A114" s="245" t="s">
        <v>230</v>
      </c>
      <c r="B114" s="246" t="s">
        <v>358</v>
      </c>
      <c r="C114" s="246" t="s">
        <v>232</v>
      </c>
      <c r="D114" s="246" t="s">
        <v>584</v>
      </c>
      <c r="E114" s="247" t="s">
        <v>201</v>
      </c>
      <c r="F114" s="247" t="s">
        <v>711</v>
      </c>
      <c r="G114" s="233" t="str">
        <f>IF(M114&gt;0, "1", "0")</f>
        <v>0</v>
      </c>
      <c r="H114" s="233" t="str">
        <f>IF(S114&gt;0, "1", "0")</f>
        <v>1</v>
      </c>
      <c r="I114" s="233" t="str">
        <f>IF(AI114&gt;0, "1", "0")</f>
        <v>0</v>
      </c>
      <c r="J114" s="233" t="str">
        <f>IF(AZ114&gt;0, "1", "0")</f>
        <v>0</v>
      </c>
      <c r="K114" s="233" t="str">
        <f>CONCATENATE(G114,H114,I114,J114)</f>
        <v>0100</v>
      </c>
      <c r="L114" s="247" t="str">
        <f>A114&amp;B114&amp;E114</f>
        <v>10103218Diagnostic Review 18-19</v>
      </c>
      <c r="M114" s="225"/>
      <c r="N114" s="225"/>
      <c r="O114" s="225"/>
      <c r="P114" s="225"/>
      <c r="Q114" s="225">
        <f>SUM(M114:P114)</f>
        <v>0</v>
      </c>
      <c r="R114" s="225"/>
      <c r="S114" s="225">
        <v>64054</v>
      </c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>
        <v>-978</v>
      </c>
      <c r="AE114" s="225"/>
      <c r="AF114" s="225">
        <f>SUM(Q114:AE114)</f>
        <v>63076</v>
      </c>
      <c r="AG114" s="225"/>
      <c r="AH114" s="225">
        <v>0</v>
      </c>
      <c r="AI114" s="225"/>
      <c r="AJ114" s="225"/>
      <c r="AK114" s="225"/>
      <c r="AL114" s="225">
        <v>-27451</v>
      </c>
      <c r="AM114" s="225"/>
      <c r="AN114" s="225">
        <v>0</v>
      </c>
      <c r="AO114" s="225">
        <v>0</v>
      </c>
      <c r="AP114" s="225"/>
      <c r="AQ114" s="225">
        <v>-28283.789999999997</v>
      </c>
      <c r="AR114" s="225">
        <v>-1100.99</v>
      </c>
      <c r="AS114" s="225"/>
      <c r="AT114" s="248">
        <v>0</v>
      </c>
      <c r="AU114" s="248">
        <v>0</v>
      </c>
      <c r="AV114" s="248">
        <v>0</v>
      </c>
      <c r="AW114" s="227">
        <f>SUM(AF114:AV114)</f>
        <v>6240.220000000003</v>
      </c>
      <c r="AX114" s="249">
        <v>0</v>
      </c>
      <c r="AY114" s="225">
        <v>0</v>
      </c>
      <c r="AZ114" s="227"/>
      <c r="BA114" s="250">
        <v>0</v>
      </c>
      <c r="BB114" s="225">
        <v>0</v>
      </c>
      <c r="BC114" s="225">
        <v>0</v>
      </c>
      <c r="BD114" s="225">
        <v>0</v>
      </c>
      <c r="BE114" s="225"/>
      <c r="BF114" s="225"/>
      <c r="BG114" s="225">
        <v>0</v>
      </c>
      <c r="BH114" s="225">
        <v>0</v>
      </c>
      <c r="BI114" s="225">
        <v>0</v>
      </c>
      <c r="BJ114" s="248"/>
      <c r="BK114" s="248"/>
      <c r="BL114" s="248"/>
      <c r="BM114" s="248">
        <f t="shared" si="73"/>
        <v>6240.220000000003</v>
      </c>
      <c r="BN114" s="249"/>
      <c r="BO114" s="225"/>
      <c r="BP114" s="248"/>
      <c r="BQ114" s="249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7">
        <f t="shared" si="63"/>
        <v>6240.220000000003</v>
      </c>
      <c r="CD114" s="244"/>
      <c r="CE114" s="244"/>
      <c r="CF114" s="244"/>
    </row>
    <row r="115" spans="1:84" x14ac:dyDescent="0.2">
      <c r="A115" s="245" t="s">
        <v>230</v>
      </c>
      <c r="B115" s="247" t="s">
        <v>757</v>
      </c>
      <c r="C115" s="246" t="s">
        <v>232</v>
      </c>
      <c r="D115" s="246" t="s">
        <v>758</v>
      </c>
      <c r="E115" s="247" t="s">
        <v>755</v>
      </c>
      <c r="F115" s="247"/>
      <c r="G115" s="233"/>
      <c r="H115" s="233"/>
      <c r="I115" s="233"/>
      <c r="J115" s="233"/>
      <c r="K115" s="233"/>
      <c r="L115" s="247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48"/>
      <c r="AU115" s="248"/>
      <c r="AV115" s="248"/>
      <c r="AW115" s="227"/>
      <c r="AX115" s="249"/>
      <c r="AY115" s="225"/>
      <c r="AZ115" s="227">
        <v>54000</v>
      </c>
      <c r="BA115" s="250"/>
      <c r="BB115" s="225"/>
      <c r="BC115" s="225"/>
      <c r="BD115" s="225"/>
      <c r="BE115" s="225"/>
      <c r="BF115" s="225"/>
      <c r="BG115" s="225"/>
      <c r="BH115" s="225"/>
      <c r="BI115" s="225"/>
      <c r="BJ115" s="248"/>
      <c r="BK115" s="248"/>
      <c r="BL115" s="248"/>
      <c r="BM115" s="248">
        <f t="shared" si="73"/>
        <v>54000</v>
      </c>
      <c r="BN115" s="249"/>
      <c r="BO115" s="225"/>
      <c r="BP115" s="248"/>
      <c r="BQ115" s="249"/>
      <c r="BR115" s="225"/>
      <c r="BS115" s="225">
        <v>-18000</v>
      </c>
      <c r="BT115" s="225">
        <v>-1875</v>
      </c>
      <c r="BU115" s="225"/>
      <c r="BV115" s="225"/>
      <c r="BW115" s="225"/>
      <c r="BX115" s="225"/>
      <c r="BY115" s="225"/>
      <c r="BZ115" s="225"/>
      <c r="CA115" s="225"/>
      <c r="CB115" s="225"/>
      <c r="CC115" s="227">
        <f t="shared" si="63"/>
        <v>34125</v>
      </c>
      <c r="CD115" s="244"/>
      <c r="CE115" s="244"/>
      <c r="CF115" s="244"/>
    </row>
    <row r="116" spans="1:84" x14ac:dyDescent="0.2">
      <c r="A116" s="245" t="s">
        <v>230</v>
      </c>
      <c r="B116" s="246" t="s">
        <v>359</v>
      </c>
      <c r="C116" s="246" t="s">
        <v>232</v>
      </c>
      <c r="D116" s="246" t="s">
        <v>585</v>
      </c>
      <c r="E116" s="247" t="s">
        <v>201</v>
      </c>
      <c r="F116" s="247" t="s">
        <v>711</v>
      </c>
      <c r="G116" s="233" t="str">
        <f>IF(M116&gt;0, "1", "0")</f>
        <v>0</v>
      </c>
      <c r="H116" s="233" t="str">
        <f>IF(S116&gt;0, "1", "0")</f>
        <v>1</v>
      </c>
      <c r="I116" s="233" t="str">
        <f>IF(AI116&gt;0, "1", "0")</f>
        <v>0</v>
      </c>
      <c r="J116" s="233" t="str">
        <f>IF(AZ116&gt;0, "1", "0")</f>
        <v>0</v>
      </c>
      <c r="K116" s="233" t="str">
        <f>CONCATENATE(G116,H116,I116,J116)</f>
        <v>0100</v>
      </c>
      <c r="L116" s="247" t="str">
        <f>A116&amp;B116&amp;E116</f>
        <v>10105604Diagnostic Review 18-19</v>
      </c>
      <c r="M116" s="225"/>
      <c r="N116" s="225"/>
      <c r="O116" s="225"/>
      <c r="P116" s="225"/>
      <c r="Q116" s="225">
        <f>SUM(M116:P116)</f>
        <v>0</v>
      </c>
      <c r="R116" s="225"/>
      <c r="S116" s="225">
        <v>64054</v>
      </c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>
        <v>-398</v>
      </c>
      <c r="AE116" s="225"/>
      <c r="AF116" s="225">
        <f>SUM(Q116:AE116)</f>
        <v>63656</v>
      </c>
      <c r="AG116" s="225"/>
      <c r="AH116" s="225">
        <v>0</v>
      </c>
      <c r="AI116" s="225"/>
      <c r="AJ116" s="225"/>
      <c r="AK116" s="225"/>
      <c r="AL116" s="225">
        <v>-28243</v>
      </c>
      <c r="AM116" s="225"/>
      <c r="AN116" s="225">
        <v>0</v>
      </c>
      <c r="AO116" s="225">
        <v>0</v>
      </c>
      <c r="AP116" s="225"/>
      <c r="AQ116" s="225">
        <v>-14257.91</v>
      </c>
      <c r="AR116" s="225">
        <v>-500.45</v>
      </c>
      <c r="AS116" s="225"/>
      <c r="AT116" s="248">
        <v>0</v>
      </c>
      <c r="AU116" s="248">
        <v>0</v>
      </c>
      <c r="AV116" s="248">
        <v>0</v>
      </c>
      <c r="AW116" s="227">
        <f>SUM(AF116:AV116)</f>
        <v>20654.64</v>
      </c>
      <c r="AX116" s="249">
        <v>0</v>
      </c>
      <c r="AY116" s="225">
        <v>0</v>
      </c>
      <c r="AZ116" s="227"/>
      <c r="BA116" s="250">
        <v>0</v>
      </c>
      <c r="BB116" s="225">
        <v>0</v>
      </c>
      <c r="BC116" s="225">
        <v>0</v>
      </c>
      <c r="BD116" s="225">
        <v>0</v>
      </c>
      <c r="BE116" s="225"/>
      <c r="BF116" s="225"/>
      <c r="BG116" s="225">
        <v>0</v>
      </c>
      <c r="BH116" s="225">
        <v>0</v>
      </c>
      <c r="BI116" s="225">
        <v>0</v>
      </c>
      <c r="BJ116" s="248"/>
      <c r="BK116" s="248"/>
      <c r="BL116" s="248"/>
      <c r="BM116" s="248">
        <f t="shared" si="73"/>
        <v>20654.64</v>
      </c>
      <c r="BN116" s="249"/>
      <c r="BO116" s="225"/>
      <c r="BP116" s="248"/>
      <c r="BQ116" s="249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7">
        <f t="shared" si="63"/>
        <v>20654.64</v>
      </c>
      <c r="CD116" s="244"/>
      <c r="CE116" s="244"/>
      <c r="CF116" s="244"/>
    </row>
    <row r="117" spans="1:84" x14ac:dyDescent="0.2">
      <c r="A117" s="245" t="s">
        <v>230</v>
      </c>
      <c r="B117" s="246" t="s">
        <v>238</v>
      </c>
      <c r="C117" s="246" t="s">
        <v>232</v>
      </c>
      <c r="D117" s="246" t="s">
        <v>256</v>
      </c>
      <c r="E117" s="254" t="s">
        <v>202</v>
      </c>
      <c r="F117" s="254" t="s">
        <v>711</v>
      </c>
      <c r="G117" s="233" t="str">
        <f>IF(M117&gt;0, "1", "0")</f>
        <v>0</v>
      </c>
      <c r="H117" s="233" t="str">
        <f>IF(S117&gt;0, "1", "0")</f>
        <v>0</v>
      </c>
      <c r="I117" s="233" t="str">
        <f>IF(AI117&gt;0, "1", "0")</f>
        <v>1</v>
      </c>
      <c r="J117" s="233" t="str">
        <f>IF(AZ117&gt;0, "1", "0")</f>
        <v>0</v>
      </c>
      <c r="K117" s="233" t="str">
        <f>CONCATENATE(G117,H117,I117,J117)</f>
        <v>0010</v>
      </c>
      <c r="L117" s="247" t="str">
        <f>A117&amp;B117&amp;E117</f>
        <v>10109445Diagnostic Review 19-20</v>
      </c>
      <c r="M117" s="225"/>
      <c r="N117" s="225"/>
      <c r="O117" s="225"/>
      <c r="P117" s="225"/>
      <c r="Q117" s="225">
        <f>SUM(M117:P117)</f>
        <v>0</v>
      </c>
      <c r="R117" s="225"/>
      <c r="S117" s="225">
        <v>0</v>
      </c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>
        <f>SUM(Q117:AE117)</f>
        <v>0</v>
      </c>
      <c r="AG117" s="225"/>
      <c r="AH117" s="225">
        <v>0</v>
      </c>
      <c r="AI117" s="225">
        <v>3812.881488</v>
      </c>
      <c r="AJ117" s="225"/>
      <c r="AK117" s="225"/>
      <c r="AL117" s="225"/>
      <c r="AM117" s="225"/>
      <c r="AN117" s="225">
        <v>0</v>
      </c>
      <c r="AO117" s="225">
        <v>0</v>
      </c>
      <c r="AP117" s="225"/>
      <c r="AQ117" s="225"/>
      <c r="AR117" s="225"/>
      <c r="AS117" s="225"/>
      <c r="AT117" s="248">
        <v>0</v>
      </c>
      <c r="AU117" s="248">
        <v>0</v>
      </c>
      <c r="AV117" s="248">
        <v>0</v>
      </c>
      <c r="AW117" s="227">
        <f>SUM(AF117:AV117)</f>
        <v>3812.881488</v>
      </c>
      <c r="AX117" s="249">
        <v>0</v>
      </c>
      <c r="AY117" s="225">
        <v>0</v>
      </c>
      <c r="AZ117" s="227"/>
      <c r="BA117" s="250">
        <v>0</v>
      </c>
      <c r="BB117" s="225">
        <v>0</v>
      </c>
      <c r="BC117" s="225">
        <v>0</v>
      </c>
      <c r="BD117" s="225">
        <v>-964.55</v>
      </c>
      <c r="BE117" s="225"/>
      <c r="BF117" s="225">
        <v>-280</v>
      </c>
      <c r="BG117" s="225">
        <v>-16.8</v>
      </c>
      <c r="BH117" s="225">
        <v>0</v>
      </c>
      <c r="BI117" s="225">
        <v>0</v>
      </c>
      <c r="BJ117" s="248">
        <v>-2551.5299999999997</v>
      </c>
      <c r="BK117" s="248"/>
      <c r="BL117" s="248"/>
      <c r="BM117" s="248">
        <f t="shared" si="73"/>
        <v>1.48799999988114E-3</v>
      </c>
      <c r="BN117" s="249"/>
      <c r="BO117" s="225"/>
      <c r="BP117" s="248"/>
      <c r="BQ117" s="249"/>
      <c r="BR117" s="225"/>
      <c r="BS117" s="225"/>
      <c r="BT117" s="225">
        <v>70</v>
      </c>
      <c r="BU117" s="225"/>
      <c r="BV117" s="225"/>
      <c r="BW117" s="225">
        <v>-70.19</v>
      </c>
      <c r="BX117" s="225"/>
      <c r="BY117" s="225"/>
      <c r="BZ117" s="225"/>
      <c r="CA117" s="225"/>
      <c r="CB117" s="225"/>
      <c r="CC117" s="227">
        <f t="shared" si="63"/>
        <v>-0.18851200000011659</v>
      </c>
      <c r="CD117" s="244"/>
      <c r="CE117" s="244"/>
      <c r="CF117" s="244"/>
    </row>
    <row r="118" spans="1:84" x14ac:dyDescent="0.2">
      <c r="A118" s="245" t="s">
        <v>230</v>
      </c>
      <c r="B118" s="246" t="s">
        <v>34</v>
      </c>
      <c r="C118" s="246" t="s">
        <v>232</v>
      </c>
      <c r="D118" s="246" t="s">
        <v>111</v>
      </c>
      <c r="E118" s="247" t="s">
        <v>201</v>
      </c>
      <c r="F118" s="247" t="s">
        <v>711</v>
      </c>
      <c r="G118" s="233" t="str">
        <f>IF(M118&gt;0, "1", "0")</f>
        <v>0</v>
      </c>
      <c r="H118" s="233" t="str">
        <f>IF(S118&gt;0, "1", "0")</f>
        <v>1</v>
      </c>
      <c r="I118" s="233" t="str">
        <f>IF(AI118&gt;0, "1", "0")</f>
        <v>0</v>
      </c>
      <c r="J118" s="233" t="str">
        <f>IF(AZ118&gt;0, "1", "0")</f>
        <v>0</v>
      </c>
      <c r="K118" s="233" t="str">
        <f>CONCATENATE(G118,H118,I118,J118)</f>
        <v>0100</v>
      </c>
      <c r="L118" s="247" t="str">
        <f>A118&amp;B118&amp;E118</f>
        <v>1010N/ADiagnostic Review 18-19</v>
      </c>
      <c r="M118" s="225"/>
      <c r="N118" s="225"/>
      <c r="O118" s="225"/>
      <c r="P118" s="225"/>
      <c r="Q118" s="225">
        <f>SUM(M118:P118)</f>
        <v>0</v>
      </c>
      <c r="R118" s="225"/>
      <c r="S118" s="225">
        <v>2838</v>
      </c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>
        <f>SUM(Q118:AE118)</f>
        <v>2838</v>
      </c>
      <c r="AG118" s="225"/>
      <c r="AH118" s="225">
        <v>0</v>
      </c>
      <c r="AI118" s="225"/>
      <c r="AJ118" s="225"/>
      <c r="AK118" s="225"/>
      <c r="AL118" s="225"/>
      <c r="AM118" s="225"/>
      <c r="AN118" s="225">
        <v>0</v>
      </c>
      <c r="AO118" s="225">
        <v>0</v>
      </c>
      <c r="AP118" s="225"/>
      <c r="AQ118" s="225">
        <v>-1116.1600000000001</v>
      </c>
      <c r="AR118" s="225">
        <v>-39.18</v>
      </c>
      <c r="AS118" s="225"/>
      <c r="AT118" s="248">
        <v>0</v>
      </c>
      <c r="AU118" s="248">
        <v>0</v>
      </c>
      <c r="AV118" s="248">
        <v>0</v>
      </c>
      <c r="AW118" s="227">
        <f>SUM(AF118:AV118)</f>
        <v>1682.6599999999999</v>
      </c>
      <c r="AX118" s="249">
        <v>0</v>
      </c>
      <c r="AY118" s="225">
        <v>0</v>
      </c>
      <c r="AZ118" s="227"/>
      <c r="BA118" s="250">
        <v>0</v>
      </c>
      <c r="BB118" s="225">
        <v>0</v>
      </c>
      <c r="BC118" s="225">
        <v>0</v>
      </c>
      <c r="BD118" s="225">
        <v>0</v>
      </c>
      <c r="BE118" s="225"/>
      <c r="BF118" s="225"/>
      <c r="BG118" s="225">
        <v>0</v>
      </c>
      <c r="BH118" s="225">
        <v>0</v>
      </c>
      <c r="BI118" s="225">
        <v>0</v>
      </c>
      <c r="BJ118" s="248"/>
      <c r="BK118" s="248"/>
      <c r="BL118" s="248"/>
      <c r="BM118" s="248">
        <f t="shared" si="73"/>
        <v>1682.6599999999999</v>
      </c>
      <c r="BN118" s="249"/>
      <c r="BO118" s="225"/>
      <c r="BP118" s="248"/>
      <c r="BQ118" s="249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7">
        <f t="shared" si="63"/>
        <v>1682.6599999999999</v>
      </c>
      <c r="CD118" s="244"/>
      <c r="CE118" s="244"/>
      <c r="CF118" s="244"/>
    </row>
    <row r="119" spans="1:84" x14ac:dyDescent="0.2">
      <c r="A119" s="245" t="s">
        <v>774</v>
      </c>
      <c r="B119" s="247" t="s">
        <v>775</v>
      </c>
      <c r="C119" s="246" t="s">
        <v>776</v>
      </c>
      <c r="D119" s="246" t="s">
        <v>777</v>
      </c>
      <c r="E119" s="247" t="s">
        <v>755</v>
      </c>
      <c r="F119" s="247"/>
      <c r="G119" s="233"/>
      <c r="H119" s="233"/>
      <c r="I119" s="233"/>
      <c r="J119" s="233"/>
      <c r="K119" s="233"/>
      <c r="L119" s="247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48"/>
      <c r="AU119" s="248"/>
      <c r="AV119" s="248"/>
      <c r="AW119" s="227"/>
      <c r="AX119" s="249"/>
      <c r="AY119" s="225"/>
      <c r="AZ119" s="227">
        <v>38995</v>
      </c>
      <c r="BA119" s="250"/>
      <c r="BB119" s="225"/>
      <c r="BC119" s="225"/>
      <c r="BD119" s="225"/>
      <c r="BE119" s="225"/>
      <c r="BF119" s="225"/>
      <c r="BG119" s="225"/>
      <c r="BH119" s="225"/>
      <c r="BI119" s="225"/>
      <c r="BJ119" s="248"/>
      <c r="BK119" s="248"/>
      <c r="BL119" s="248"/>
      <c r="BM119" s="248">
        <f t="shared" si="73"/>
        <v>38995</v>
      </c>
      <c r="BN119" s="249"/>
      <c r="BO119" s="225"/>
      <c r="BP119" s="248">
        <v>26214</v>
      </c>
      <c r="BQ119" s="249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7">
        <f t="shared" si="63"/>
        <v>65209</v>
      </c>
      <c r="CD119" s="244"/>
      <c r="CE119" s="244"/>
      <c r="CF119" s="244"/>
    </row>
    <row r="120" spans="1:84" x14ac:dyDescent="0.2">
      <c r="A120" s="245" t="s">
        <v>24</v>
      </c>
      <c r="B120" s="247" t="s">
        <v>759</v>
      </c>
      <c r="C120" s="246" t="s">
        <v>760</v>
      </c>
      <c r="D120" s="246" t="s">
        <v>761</v>
      </c>
      <c r="E120" s="247" t="s">
        <v>755</v>
      </c>
      <c r="F120" s="247"/>
      <c r="G120" s="233"/>
      <c r="H120" s="233"/>
      <c r="I120" s="233"/>
      <c r="J120" s="233"/>
      <c r="K120" s="233"/>
      <c r="L120" s="247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48"/>
      <c r="AU120" s="248"/>
      <c r="AV120" s="248"/>
      <c r="AW120" s="227"/>
      <c r="AX120" s="249"/>
      <c r="AY120" s="225"/>
      <c r="AZ120" s="227">
        <v>2527</v>
      </c>
      <c r="BA120" s="250"/>
      <c r="BB120" s="225"/>
      <c r="BC120" s="225"/>
      <c r="BD120" s="225"/>
      <c r="BE120" s="225"/>
      <c r="BF120" s="225"/>
      <c r="BG120" s="225"/>
      <c r="BH120" s="225"/>
      <c r="BI120" s="225"/>
      <c r="BJ120" s="248"/>
      <c r="BK120" s="248"/>
      <c r="BL120" s="248"/>
      <c r="BM120" s="248">
        <f t="shared" si="73"/>
        <v>2527</v>
      </c>
      <c r="BN120" s="249"/>
      <c r="BO120" s="225"/>
      <c r="BP120" s="248">
        <v>10000</v>
      </c>
      <c r="BQ120" s="249"/>
      <c r="BR120" s="225"/>
      <c r="BS120" s="225"/>
      <c r="BT120" s="225"/>
      <c r="BU120" s="225"/>
      <c r="BV120" s="225">
        <v>-12527</v>
      </c>
      <c r="BW120" s="225"/>
      <c r="BX120" s="225"/>
      <c r="BY120" s="225"/>
      <c r="BZ120" s="225"/>
      <c r="CA120" s="225"/>
      <c r="CB120" s="225"/>
      <c r="CC120" s="227">
        <f t="shared" si="63"/>
        <v>0</v>
      </c>
      <c r="CD120" s="244"/>
      <c r="CE120" s="244"/>
      <c r="CF120" s="244"/>
    </row>
    <row r="121" spans="1:84" x14ac:dyDescent="0.2">
      <c r="A121" s="245" t="s">
        <v>639</v>
      </c>
      <c r="B121" s="246" t="s">
        <v>642</v>
      </c>
      <c r="C121" s="246" t="s">
        <v>663</v>
      </c>
      <c r="D121" s="246" t="s">
        <v>655</v>
      </c>
      <c r="E121" s="247" t="s">
        <v>202</v>
      </c>
      <c r="F121" s="247" t="s">
        <v>711</v>
      </c>
      <c r="G121" s="233" t="str">
        <f>IF(M121&gt;0, "1", "0")</f>
        <v>0</v>
      </c>
      <c r="H121" s="233" t="str">
        <f>IF(S121&gt;0, "1", "0")</f>
        <v>0</v>
      </c>
      <c r="I121" s="233" t="str">
        <f>IF(AI121&gt;0, "1", "0")</f>
        <v>1</v>
      </c>
      <c r="J121" s="233" t="str">
        <f>IF(AZ121&gt;0, "1", "0")</f>
        <v>0</v>
      </c>
      <c r="K121" s="233" t="str">
        <f>CONCATENATE(G121,H121,I121,J121)</f>
        <v>0010</v>
      </c>
      <c r="L121" s="247" t="str">
        <f>A121&amp;B121&amp;E121</f>
        <v>11405704Diagnostic Review 19-20</v>
      </c>
      <c r="M121" s="225"/>
      <c r="N121" s="225"/>
      <c r="O121" s="225"/>
      <c r="P121" s="225"/>
      <c r="Q121" s="225">
        <f>SUM(M121:P121)</f>
        <v>0</v>
      </c>
      <c r="R121" s="225"/>
      <c r="S121" s="225">
        <v>0</v>
      </c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>
        <f>SUM(Q121:AE121)</f>
        <v>0</v>
      </c>
      <c r="AG121" s="225"/>
      <c r="AH121" s="225">
        <v>0</v>
      </c>
      <c r="AI121" s="225">
        <v>63462</v>
      </c>
      <c r="AJ121" s="225"/>
      <c r="AK121" s="225"/>
      <c r="AL121" s="225"/>
      <c r="AM121" s="225"/>
      <c r="AN121" s="225">
        <v>0</v>
      </c>
      <c r="AO121" s="225">
        <v>0</v>
      </c>
      <c r="AP121" s="225"/>
      <c r="AQ121" s="225"/>
      <c r="AR121" s="225"/>
      <c r="AS121" s="225"/>
      <c r="AT121" s="248">
        <v>0</v>
      </c>
      <c r="AU121" s="248">
        <v>0</v>
      </c>
      <c r="AV121" s="248">
        <v>0</v>
      </c>
      <c r="AW121" s="227">
        <f>SUM(AF121:AV121)</f>
        <v>63462</v>
      </c>
      <c r="AX121" s="249">
        <v>0</v>
      </c>
      <c r="AY121" s="225">
        <v>0</v>
      </c>
      <c r="AZ121" s="227"/>
      <c r="BA121" s="250">
        <v>0</v>
      </c>
      <c r="BB121" s="225">
        <v>-39200</v>
      </c>
      <c r="BC121" s="225">
        <v>0</v>
      </c>
      <c r="BD121" s="225">
        <v>0</v>
      </c>
      <c r="BE121" s="225"/>
      <c r="BF121" s="225"/>
      <c r="BG121" s="225">
        <v>0</v>
      </c>
      <c r="BH121" s="225">
        <v>0</v>
      </c>
      <c r="BI121" s="225">
        <v>0</v>
      </c>
      <c r="BJ121" s="248"/>
      <c r="BK121" s="248"/>
      <c r="BL121" s="248">
        <v>-11736</v>
      </c>
      <c r="BM121" s="248">
        <f t="shared" si="73"/>
        <v>12526</v>
      </c>
      <c r="BN121" s="249"/>
      <c r="BO121" s="225"/>
      <c r="BP121" s="248"/>
      <c r="BQ121" s="249">
        <v>-12526</v>
      </c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7">
        <f t="shared" si="63"/>
        <v>0</v>
      </c>
      <c r="CD121" s="244"/>
      <c r="CE121" s="244"/>
      <c r="CF121" s="244"/>
    </row>
    <row r="122" spans="1:84" x14ac:dyDescent="0.2">
      <c r="A122" s="245" t="s">
        <v>639</v>
      </c>
      <c r="B122" s="247" t="s">
        <v>642</v>
      </c>
      <c r="C122" s="246" t="s">
        <v>663</v>
      </c>
      <c r="D122" s="246" t="s">
        <v>655</v>
      </c>
      <c r="E122" s="247" t="s">
        <v>755</v>
      </c>
      <c r="F122" s="247"/>
      <c r="G122" s="233"/>
      <c r="H122" s="233"/>
      <c r="I122" s="233"/>
      <c r="J122" s="233"/>
      <c r="K122" s="233"/>
      <c r="L122" s="247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48"/>
      <c r="AU122" s="248"/>
      <c r="AV122" s="248"/>
      <c r="AW122" s="227"/>
      <c r="AX122" s="249"/>
      <c r="AY122" s="225"/>
      <c r="AZ122" s="227">
        <v>28411</v>
      </c>
      <c r="BA122" s="250"/>
      <c r="BB122" s="225"/>
      <c r="BC122" s="225"/>
      <c r="BD122" s="225"/>
      <c r="BE122" s="225"/>
      <c r="BF122" s="225"/>
      <c r="BG122" s="225"/>
      <c r="BH122" s="225"/>
      <c r="BI122" s="225"/>
      <c r="BJ122" s="248"/>
      <c r="BK122" s="248"/>
      <c r="BL122" s="248"/>
      <c r="BM122" s="248">
        <f t="shared" si="73"/>
        <v>28411</v>
      </c>
      <c r="BN122" s="249"/>
      <c r="BO122" s="225"/>
      <c r="BP122" s="248">
        <v>50000</v>
      </c>
      <c r="BQ122" s="249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7">
        <f t="shared" si="63"/>
        <v>78411</v>
      </c>
      <c r="CD122" s="244"/>
      <c r="CE122" s="244"/>
      <c r="CF122" s="244"/>
    </row>
    <row r="123" spans="1:84" x14ac:dyDescent="0.2">
      <c r="A123" s="245" t="s">
        <v>379</v>
      </c>
      <c r="B123" s="246" t="s">
        <v>360</v>
      </c>
      <c r="C123" s="246" t="s">
        <v>602</v>
      </c>
      <c r="D123" s="246" t="s">
        <v>586</v>
      </c>
      <c r="E123" s="247" t="s">
        <v>201</v>
      </c>
      <c r="F123" s="247" t="s">
        <v>711</v>
      </c>
      <c r="G123" s="233" t="str">
        <f>IF(M123&gt;0, "1", "0")</f>
        <v>0</v>
      </c>
      <c r="H123" s="233" t="str">
        <f>IF(S123&gt;0, "1", "0")</f>
        <v>1</v>
      </c>
      <c r="I123" s="233" t="str">
        <f>IF(AI123&gt;0, "1", "0")</f>
        <v>0</v>
      </c>
      <c r="J123" s="233" t="str">
        <f>IF(AZ123&gt;0, "1", "0")</f>
        <v>0</v>
      </c>
      <c r="K123" s="233" t="str">
        <f>CONCATENATE(G123,H123,I123,J123)</f>
        <v>0100</v>
      </c>
      <c r="L123" s="247" t="str">
        <f>A123&amp;B123&amp;E123</f>
        <v>11503002Diagnostic Review 18-19</v>
      </c>
      <c r="M123" s="225"/>
      <c r="N123" s="225"/>
      <c r="O123" s="225"/>
      <c r="P123" s="225"/>
      <c r="Q123" s="225">
        <f>SUM(M123:P123)</f>
        <v>0</v>
      </c>
      <c r="R123" s="225"/>
      <c r="S123" s="225">
        <v>28844</v>
      </c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>
        <v>-15500</v>
      </c>
      <c r="AF123" s="225">
        <f>SUM(Q123:AE123)</f>
        <v>13344</v>
      </c>
      <c r="AG123" s="225"/>
      <c r="AH123" s="225">
        <v>0</v>
      </c>
      <c r="AI123" s="225"/>
      <c r="AJ123" s="225"/>
      <c r="AK123" s="225"/>
      <c r="AL123" s="225"/>
      <c r="AM123" s="225"/>
      <c r="AN123" s="225">
        <v>0</v>
      </c>
      <c r="AO123" s="225">
        <v>0</v>
      </c>
      <c r="AP123" s="225"/>
      <c r="AQ123" s="225"/>
      <c r="AR123" s="225"/>
      <c r="AS123" s="225">
        <v>-2915.64</v>
      </c>
      <c r="AT123" s="248">
        <v>0</v>
      </c>
      <c r="AU123" s="248">
        <v>0</v>
      </c>
      <c r="AV123" s="248">
        <v>0</v>
      </c>
      <c r="AW123" s="227">
        <f>SUM(AF123:AV123)</f>
        <v>10428.36</v>
      </c>
      <c r="AX123" s="249">
        <v>0</v>
      </c>
      <c r="AY123" s="225">
        <v>0</v>
      </c>
      <c r="AZ123" s="227"/>
      <c r="BA123" s="250">
        <v>0</v>
      </c>
      <c r="BB123" s="225">
        <v>0</v>
      </c>
      <c r="BC123" s="225">
        <v>0</v>
      </c>
      <c r="BD123" s="225">
        <v>0</v>
      </c>
      <c r="BE123" s="225">
        <v>-10428.36</v>
      </c>
      <c r="BF123" s="225"/>
      <c r="BG123" s="225">
        <v>0</v>
      </c>
      <c r="BH123" s="225">
        <v>0</v>
      </c>
      <c r="BI123" s="225">
        <v>0</v>
      </c>
      <c r="BJ123" s="248"/>
      <c r="BK123" s="248"/>
      <c r="BL123" s="248"/>
      <c r="BM123" s="248">
        <f t="shared" si="73"/>
        <v>0</v>
      </c>
      <c r="BN123" s="249"/>
      <c r="BO123" s="225"/>
      <c r="BP123" s="248"/>
      <c r="BQ123" s="249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7">
        <f t="shared" si="63"/>
        <v>0</v>
      </c>
      <c r="CD123" s="244"/>
      <c r="CE123" s="244"/>
      <c r="CF123" s="244"/>
    </row>
    <row r="124" spans="1:84" x14ac:dyDescent="0.2">
      <c r="A124" s="245" t="s">
        <v>379</v>
      </c>
      <c r="B124" s="247" t="s">
        <v>452</v>
      </c>
      <c r="C124" s="246" t="s">
        <v>602</v>
      </c>
      <c r="D124" s="246" t="s">
        <v>587</v>
      </c>
      <c r="E124" s="247" t="s">
        <v>202</v>
      </c>
      <c r="F124" s="247" t="s">
        <v>711</v>
      </c>
      <c r="G124" s="233" t="str">
        <f>IF(M124&gt;0, "1", "0")</f>
        <v>0</v>
      </c>
      <c r="H124" s="233" t="str">
        <f>IF(S124&gt;0, "1", "0")</f>
        <v>0</v>
      </c>
      <c r="I124" s="233" t="str">
        <f>IF(AI124&gt;0, "1", "0")</f>
        <v>0</v>
      </c>
      <c r="J124" s="233" t="str">
        <f>IF(AZ124&gt;0, "1", "0")</f>
        <v>0</v>
      </c>
      <c r="K124" s="233" t="str">
        <f>CONCATENATE(G124,H124,I124,J124)</f>
        <v>0000</v>
      </c>
      <c r="L124" s="247" t="str">
        <f>A124&amp;B124&amp;E124</f>
        <v>11506858Diagnostic Review 19-20</v>
      </c>
      <c r="M124" s="225"/>
      <c r="N124" s="225"/>
      <c r="O124" s="225"/>
      <c r="P124" s="225"/>
      <c r="Q124" s="225">
        <f>SUM(M124:P124)</f>
        <v>0</v>
      </c>
      <c r="R124" s="225"/>
      <c r="S124" s="225">
        <v>0</v>
      </c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>
        <f>SUM(Q124:AE124)</f>
        <v>0</v>
      </c>
      <c r="AG124" s="225"/>
      <c r="AH124" s="225">
        <v>0</v>
      </c>
      <c r="AI124" s="225"/>
      <c r="AJ124" s="225"/>
      <c r="AK124" s="225"/>
      <c r="AL124" s="225"/>
      <c r="AM124" s="225"/>
      <c r="AN124" s="225">
        <v>0</v>
      </c>
      <c r="AO124" s="225">
        <v>0</v>
      </c>
      <c r="AP124" s="225"/>
      <c r="AQ124" s="225"/>
      <c r="AR124" s="225"/>
      <c r="AS124" s="225"/>
      <c r="AT124" s="248">
        <v>0</v>
      </c>
      <c r="AU124" s="248">
        <v>0</v>
      </c>
      <c r="AV124" s="248">
        <v>0</v>
      </c>
      <c r="AW124" s="227">
        <f>SUM(AF124:AV124)</f>
        <v>0</v>
      </c>
      <c r="AX124" s="249">
        <v>0</v>
      </c>
      <c r="AY124" s="225">
        <v>0</v>
      </c>
      <c r="AZ124" s="227"/>
      <c r="BA124" s="250">
        <v>0</v>
      </c>
      <c r="BB124" s="225">
        <v>0</v>
      </c>
      <c r="BC124" s="225">
        <v>0</v>
      </c>
      <c r="BD124" s="225">
        <v>0</v>
      </c>
      <c r="BE124" s="225"/>
      <c r="BF124" s="225"/>
      <c r="BG124" s="225">
        <v>0</v>
      </c>
      <c r="BH124" s="225">
        <v>0</v>
      </c>
      <c r="BI124" s="225">
        <v>0</v>
      </c>
      <c r="BJ124" s="248"/>
      <c r="BK124" s="248"/>
      <c r="BL124" s="248"/>
      <c r="BM124" s="248">
        <f t="shared" si="73"/>
        <v>0</v>
      </c>
      <c r="BN124" s="249"/>
      <c r="BO124" s="225"/>
      <c r="BP124" s="248"/>
      <c r="BQ124" s="249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7">
        <f t="shared" si="63"/>
        <v>0</v>
      </c>
      <c r="CD124" s="244"/>
      <c r="CE124" s="244"/>
      <c r="CF124" s="244"/>
    </row>
    <row r="125" spans="1:84" x14ac:dyDescent="0.2">
      <c r="A125" s="245" t="s">
        <v>454</v>
      </c>
      <c r="B125" s="247" t="s">
        <v>453</v>
      </c>
      <c r="C125" s="246" t="s">
        <v>603</v>
      </c>
      <c r="D125" s="246" t="s">
        <v>588</v>
      </c>
      <c r="E125" s="247" t="s">
        <v>202</v>
      </c>
      <c r="F125" s="247" t="s">
        <v>711</v>
      </c>
      <c r="G125" s="233" t="str">
        <f>IF(M125&gt;0, "1", "0")</f>
        <v>0</v>
      </c>
      <c r="H125" s="233" t="str">
        <f>IF(S125&gt;0, "1", "0")</f>
        <v>0</v>
      </c>
      <c r="I125" s="233" t="str">
        <f>IF(AI125&gt;0, "1", "0")</f>
        <v>0</v>
      </c>
      <c r="J125" s="233" t="str">
        <f>IF(AZ125&gt;0, "1", "0")</f>
        <v>0</v>
      </c>
      <c r="K125" s="233" t="str">
        <f>CONCATENATE(G125,H125,I125,J125)</f>
        <v>0000</v>
      </c>
      <c r="L125" s="247" t="str">
        <f>A125&amp;B125&amp;E125</f>
        <v>11952573Diagnostic Review 19-20</v>
      </c>
      <c r="M125" s="225"/>
      <c r="N125" s="225"/>
      <c r="O125" s="225"/>
      <c r="P125" s="225"/>
      <c r="Q125" s="225">
        <f>SUM(M125:P125)</f>
        <v>0</v>
      </c>
      <c r="R125" s="225"/>
      <c r="S125" s="225">
        <v>0</v>
      </c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>
        <f>SUM(Q125:AE125)</f>
        <v>0</v>
      </c>
      <c r="AG125" s="225"/>
      <c r="AH125" s="225">
        <v>0</v>
      </c>
      <c r="AI125" s="225"/>
      <c r="AJ125" s="225"/>
      <c r="AK125" s="225"/>
      <c r="AL125" s="225"/>
      <c r="AM125" s="225"/>
      <c r="AN125" s="225">
        <v>0</v>
      </c>
      <c r="AO125" s="225">
        <v>0</v>
      </c>
      <c r="AP125" s="225"/>
      <c r="AQ125" s="225"/>
      <c r="AR125" s="225"/>
      <c r="AS125" s="225"/>
      <c r="AT125" s="248">
        <v>0</v>
      </c>
      <c r="AU125" s="248">
        <v>0</v>
      </c>
      <c r="AV125" s="248">
        <v>0</v>
      </c>
      <c r="AW125" s="227">
        <f>SUM(AF125:AV125)</f>
        <v>0</v>
      </c>
      <c r="AX125" s="249">
        <v>0</v>
      </c>
      <c r="AY125" s="225">
        <v>0</v>
      </c>
      <c r="AZ125" s="227"/>
      <c r="BA125" s="250">
        <v>0</v>
      </c>
      <c r="BB125" s="225">
        <v>0</v>
      </c>
      <c r="BC125" s="225">
        <v>0</v>
      </c>
      <c r="BD125" s="225">
        <v>0</v>
      </c>
      <c r="BE125" s="225"/>
      <c r="BF125" s="225"/>
      <c r="BG125" s="225">
        <v>0</v>
      </c>
      <c r="BH125" s="225">
        <v>0</v>
      </c>
      <c r="BI125" s="225">
        <v>0</v>
      </c>
      <c r="BJ125" s="248"/>
      <c r="BK125" s="248"/>
      <c r="BL125" s="248"/>
      <c r="BM125" s="248">
        <f t="shared" si="73"/>
        <v>0</v>
      </c>
      <c r="BN125" s="249"/>
      <c r="BO125" s="225"/>
      <c r="BP125" s="248"/>
      <c r="BQ125" s="249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7">
        <f t="shared" si="63"/>
        <v>0</v>
      </c>
      <c r="CD125" s="244"/>
      <c r="CE125" s="244"/>
      <c r="CF125" s="244"/>
    </row>
    <row r="126" spans="1:84" x14ac:dyDescent="0.2">
      <c r="A126" s="245" t="s">
        <v>380</v>
      </c>
      <c r="B126" s="246" t="s">
        <v>361</v>
      </c>
      <c r="C126" s="246" t="s">
        <v>604</v>
      </c>
      <c r="D126" s="246" t="s">
        <v>589</v>
      </c>
      <c r="E126" s="247" t="s">
        <v>201</v>
      </c>
      <c r="F126" s="247" t="s">
        <v>711</v>
      </c>
      <c r="G126" s="233" t="str">
        <f>IF(M126&gt;0, "1", "0")</f>
        <v>0</v>
      </c>
      <c r="H126" s="233" t="str">
        <f>IF(S126&gt;0, "1", "0")</f>
        <v>1</v>
      </c>
      <c r="I126" s="233" t="str">
        <f>IF(AI126&gt;0, "1", "0")</f>
        <v>0</v>
      </c>
      <c r="J126" s="233" t="str">
        <f>IF(AZ126&gt;0, "1", "0")</f>
        <v>0</v>
      </c>
      <c r="K126" s="233" t="str">
        <f>CONCATENATE(G126,H126,I126,J126)</f>
        <v>0100</v>
      </c>
      <c r="L126" s="247" t="str">
        <f>A126&amp;B126&amp;E126</f>
        <v>13603690Diagnostic Review 18-19</v>
      </c>
      <c r="M126" s="225"/>
      <c r="N126" s="225"/>
      <c r="O126" s="225"/>
      <c r="P126" s="225"/>
      <c r="Q126" s="225">
        <f>SUM(M126:P126)</f>
        <v>0</v>
      </c>
      <c r="R126" s="225"/>
      <c r="S126" s="225">
        <v>27393</v>
      </c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>
        <v>-272</v>
      </c>
      <c r="AF126" s="225">
        <f>SUM(Q126:AE126)</f>
        <v>27121</v>
      </c>
      <c r="AG126" s="225"/>
      <c r="AH126" s="225">
        <v>0</v>
      </c>
      <c r="AI126" s="225"/>
      <c r="AJ126" s="225"/>
      <c r="AK126" s="225"/>
      <c r="AL126" s="225"/>
      <c r="AM126" s="225"/>
      <c r="AN126" s="225">
        <v>0</v>
      </c>
      <c r="AO126" s="225">
        <v>0</v>
      </c>
      <c r="AP126" s="225">
        <v>-25700</v>
      </c>
      <c r="AQ126" s="225"/>
      <c r="AR126" s="225"/>
      <c r="AS126" s="225"/>
      <c r="AT126" s="248">
        <v>0</v>
      </c>
      <c r="AU126" s="248">
        <v>0</v>
      </c>
      <c r="AV126" s="248">
        <v>0</v>
      </c>
      <c r="AW126" s="227">
        <f>SUM(AF126:AV126)</f>
        <v>1421</v>
      </c>
      <c r="AX126" s="249">
        <v>0</v>
      </c>
      <c r="AY126" s="225">
        <v>0</v>
      </c>
      <c r="AZ126" s="227"/>
      <c r="BA126" s="250">
        <v>0</v>
      </c>
      <c r="BB126" s="225">
        <v>0</v>
      </c>
      <c r="BC126" s="225">
        <v>0</v>
      </c>
      <c r="BD126" s="225">
        <v>0</v>
      </c>
      <c r="BE126" s="225"/>
      <c r="BF126" s="225"/>
      <c r="BG126" s="225">
        <v>0</v>
      </c>
      <c r="BH126" s="225">
        <v>0</v>
      </c>
      <c r="BI126" s="225">
        <v>0</v>
      </c>
      <c r="BJ126" s="248"/>
      <c r="BK126" s="248"/>
      <c r="BL126" s="248"/>
      <c r="BM126" s="248">
        <f t="shared" si="73"/>
        <v>1421</v>
      </c>
      <c r="BN126" s="249"/>
      <c r="BO126" s="225"/>
      <c r="BP126" s="248"/>
      <c r="BQ126" s="249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7">
        <f t="shared" si="63"/>
        <v>1421</v>
      </c>
      <c r="CD126" s="244"/>
      <c r="CE126" s="244"/>
      <c r="CF126" s="244"/>
    </row>
    <row r="127" spans="1:84" x14ac:dyDescent="0.2">
      <c r="A127" s="245" t="s">
        <v>25</v>
      </c>
      <c r="B127" s="246" t="s">
        <v>648</v>
      </c>
      <c r="C127" s="246" t="s">
        <v>103</v>
      </c>
      <c r="D127" s="246" t="s">
        <v>659</v>
      </c>
      <c r="E127" s="247" t="s">
        <v>202</v>
      </c>
      <c r="F127" s="247" t="s">
        <v>711</v>
      </c>
      <c r="G127" s="233" t="str">
        <f>IF(M127&gt;0, "1", "0")</f>
        <v>0</v>
      </c>
      <c r="H127" s="233" t="str">
        <f>IF(S127&gt;0, "1", "0")</f>
        <v>0</v>
      </c>
      <c r="I127" s="233" t="str">
        <f>IF(AI127&gt;0, "1", "0")</f>
        <v>1</v>
      </c>
      <c r="J127" s="233" t="str">
        <f>IF(AZ127&gt;0, "1", "0")</f>
        <v>0</v>
      </c>
      <c r="K127" s="233" t="str">
        <f>CONCATENATE(G127,H127,I127,J127)</f>
        <v>0010</v>
      </c>
      <c r="L127" s="247" t="str">
        <f>A127&amp;B127&amp;E127</f>
        <v>14200965Diagnostic Review 19-20</v>
      </c>
      <c r="M127" s="225"/>
      <c r="N127" s="225"/>
      <c r="O127" s="225"/>
      <c r="P127" s="225"/>
      <c r="Q127" s="225">
        <f>SUM(M127:P127)</f>
        <v>0</v>
      </c>
      <c r="R127" s="225"/>
      <c r="S127" s="225">
        <v>0</v>
      </c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>
        <f>SUM(Q127:AE127)</f>
        <v>0</v>
      </c>
      <c r="AG127" s="225"/>
      <c r="AH127" s="225">
        <v>0</v>
      </c>
      <c r="AI127" s="225">
        <v>10559</v>
      </c>
      <c r="AJ127" s="225"/>
      <c r="AK127" s="225"/>
      <c r="AL127" s="225"/>
      <c r="AM127" s="225"/>
      <c r="AN127" s="225">
        <v>0</v>
      </c>
      <c r="AO127" s="225">
        <v>0</v>
      </c>
      <c r="AP127" s="225"/>
      <c r="AQ127" s="225"/>
      <c r="AR127" s="225"/>
      <c r="AS127" s="225"/>
      <c r="AT127" s="248">
        <v>0</v>
      </c>
      <c r="AU127" s="248">
        <v>0</v>
      </c>
      <c r="AV127" s="248">
        <v>0</v>
      </c>
      <c r="AW127" s="227">
        <f>SUM(AF127:AV127)</f>
        <v>10559</v>
      </c>
      <c r="AX127" s="249">
        <v>0</v>
      </c>
      <c r="AY127" s="225">
        <v>0</v>
      </c>
      <c r="AZ127" s="227"/>
      <c r="BA127" s="250">
        <v>0</v>
      </c>
      <c r="BB127" s="225">
        <v>0</v>
      </c>
      <c r="BC127" s="225">
        <v>0</v>
      </c>
      <c r="BD127" s="225">
        <v>0</v>
      </c>
      <c r="BE127" s="225"/>
      <c r="BF127" s="225"/>
      <c r="BG127" s="225">
        <v>0</v>
      </c>
      <c r="BH127" s="225">
        <v>0</v>
      </c>
      <c r="BI127" s="225">
        <v>0</v>
      </c>
      <c r="BJ127" s="248"/>
      <c r="BK127" s="248"/>
      <c r="BL127" s="248"/>
      <c r="BM127" s="248">
        <f t="shared" si="73"/>
        <v>10559</v>
      </c>
      <c r="BN127" s="249"/>
      <c r="BO127" s="225"/>
      <c r="BP127" s="248"/>
      <c r="BQ127" s="249"/>
      <c r="BR127" s="225"/>
      <c r="BS127" s="225"/>
      <c r="BT127" s="147">
        <v>-10525.21</v>
      </c>
      <c r="BU127" s="225"/>
      <c r="BV127" s="225"/>
      <c r="BW127" s="225"/>
      <c r="BX127" s="225"/>
      <c r="BY127" s="225"/>
      <c r="BZ127" s="225"/>
      <c r="CA127" s="225"/>
      <c r="CB127" s="225"/>
      <c r="CC127" s="227">
        <f t="shared" si="63"/>
        <v>33.790000000000873</v>
      </c>
      <c r="CD127" s="244"/>
      <c r="CE127" s="244"/>
      <c r="CF127" s="244"/>
    </row>
    <row r="128" spans="1:84" x14ac:dyDescent="0.2">
      <c r="A128" s="245" t="s">
        <v>25</v>
      </c>
      <c r="B128" s="247" t="s">
        <v>766</v>
      </c>
      <c r="C128" s="246" t="s">
        <v>103</v>
      </c>
      <c r="D128" s="246" t="s">
        <v>767</v>
      </c>
      <c r="E128" s="247" t="s">
        <v>755</v>
      </c>
      <c r="F128" s="247"/>
      <c r="G128" s="233"/>
      <c r="H128" s="233"/>
      <c r="I128" s="233"/>
      <c r="J128" s="233"/>
      <c r="K128" s="233"/>
      <c r="L128" s="247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48"/>
      <c r="AU128" s="248"/>
      <c r="AV128" s="248"/>
      <c r="AW128" s="227"/>
      <c r="AX128" s="249"/>
      <c r="AY128" s="225"/>
      <c r="AZ128" s="227">
        <v>25000</v>
      </c>
      <c r="BA128" s="250"/>
      <c r="BB128" s="225"/>
      <c r="BC128" s="225"/>
      <c r="BD128" s="225"/>
      <c r="BE128" s="225"/>
      <c r="BF128" s="225"/>
      <c r="BG128" s="225"/>
      <c r="BH128" s="225"/>
      <c r="BI128" s="225"/>
      <c r="BJ128" s="248"/>
      <c r="BK128" s="248"/>
      <c r="BL128" s="248"/>
      <c r="BM128" s="248">
        <f t="shared" si="73"/>
        <v>25000</v>
      </c>
      <c r="BN128" s="249"/>
      <c r="BO128" s="225"/>
      <c r="BP128" s="248">
        <v>10000</v>
      </c>
      <c r="BQ128" s="249"/>
      <c r="BR128" s="225"/>
      <c r="BS128" s="225"/>
      <c r="BT128" s="225"/>
      <c r="BU128" s="225"/>
      <c r="BV128" s="225"/>
      <c r="BW128" s="225"/>
      <c r="BX128" s="225">
        <v>-20000</v>
      </c>
      <c r="BY128" s="225"/>
      <c r="BZ128" s="225"/>
      <c r="CA128" s="225"/>
      <c r="CB128" s="225"/>
      <c r="CC128" s="227">
        <f t="shared" si="63"/>
        <v>15000</v>
      </c>
      <c r="CD128" s="244"/>
      <c r="CE128" s="244"/>
      <c r="CF128" s="244"/>
    </row>
    <row r="129" spans="1:84" x14ac:dyDescent="0.2">
      <c r="A129" s="245" t="s">
        <v>17</v>
      </c>
      <c r="B129" s="246" t="s">
        <v>40</v>
      </c>
      <c r="C129" s="246" t="s">
        <v>610</v>
      </c>
      <c r="D129" s="246" t="s">
        <v>116</v>
      </c>
      <c r="E129" s="247" t="s">
        <v>200</v>
      </c>
      <c r="F129" s="247" t="s">
        <v>711</v>
      </c>
      <c r="G129" s="233" t="str">
        <f>IF(M129&gt;0, "1", "0")</f>
        <v>1</v>
      </c>
      <c r="H129" s="233" t="str">
        <f>IF(S129&gt;0, "1", "0")</f>
        <v>0</v>
      </c>
      <c r="I129" s="233" t="str">
        <f>IF(AI129&gt;0, "1", "0")</f>
        <v>0</v>
      </c>
      <c r="J129" s="233" t="str">
        <f>IF(AZ129&gt;0, "1", "0")</f>
        <v>0</v>
      </c>
      <c r="K129" s="233" t="str">
        <f>CONCATENATE(G129,H129,I129,J129)</f>
        <v>1000</v>
      </c>
      <c r="L129" s="247" t="str">
        <f>A129&amp;B129&amp;E129</f>
        <v>15203571Diagnostic Review 17-18</v>
      </c>
      <c r="M129" s="225">
        <v>29926</v>
      </c>
      <c r="N129" s="225"/>
      <c r="O129" s="225"/>
      <c r="P129" s="225">
        <v>-16039</v>
      </c>
      <c r="Q129" s="225">
        <f>SUM(M129:P129)</f>
        <v>13887</v>
      </c>
      <c r="R129" s="225"/>
      <c r="S129" s="225">
        <v>0</v>
      </c>
      <c r="T129" s="225"/>
      <c r="U129" s="225"/>
      <c r="V129" s="225"/>
      <c r="W129" s="225"/>
      <c r="X129" s="225"/>
      <c r="Y129" s="225"/>
      <c r="Z129" s="225"/>
      <c r="AA129" s="225"/>
      <c r="AB129" s="225">
        <v>-13750</v>
      </c>
      <c r="AC129" s="225"/>
      <c r="AD129" s="225"/>
      <c r="AE129" s="225"/>
      <c r="AF129" s="225">
        <f>SUM(Q129:AE129)</f>
        <v>137</v>
      </c>
      <c r="AG129" s="225"/>
      <c r="AH129" s="225">
        <v>0</v>
      </c>
      <c r="AI129" s="225"/>
      <c r="AJ129" s="225"/>
      <c r="AK129" s="225"/>
      <c r="AL129" s="225"/>
      <c r="AM129" s="225"/>
      <c r="AN129" s="225">
        <v>0</v>
      </c>
      <c r="AO129" s="225">
        <v>0</v>
      </c>
      <c r="AP129" s="225"/>
      <c r="AQ129" s="225"/>
      <c r="AR129" s="225"/>
      <c r="AS129" s="225"/>
      <c r="AT129" s="248">
        <v>0</v>
      </c>
      <c r="AU129" s="248">
        <v>0</v>
      </c>
      <c r="AV129" s="248">
        <v>0</v>
      </c>
      <c r="AW129" s="227">
        <f>SUM(AF129:AV129)</f>
        <v>137</v>
      </c>
      <c r="AX129" s="249">
        <v>0</v>
      </c>
      <c r="AY129" s="225">
        <v>0</v>
      </c>
      <c r="AZ129" s="227"/>
      <c r="BA129" s="250">
        <v>0</v>
      </c>
      <c r="BB129" s="225">
        <v>0</v>
      </c>
      <c r="BC129" s="225">
        <v>0</v>
      </c>
      <c r="BD129" s="225">
        <v>0</v>
      </c>
      <c r="BE129" s="225"/>
      <c r="BF129" s="225"/>
      <c r="BG129" s="225">
        <v>0</v>
      </c>
      <c r="BH129" s="225">
        <v>0</v>
      </c>
      <c r="BI129" s="225">
        <v>0</v>
      </c>
      <c r="BJ129" s="248"/>
      <c r="BK129" s="248"/>
      <c r="BL129" s="248"/>
      <c r="BM129" s="248">
        <f t="shared" si="73"/>
        <v>137</v>
      </c>
      <c r="BN129" s="249"/>
      <c r="BO129" s="225"/>
      <c r="BP129" s="248"/>
      <c r="BQ129" s="249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7">
        <f t="shared" si="63"/>
        <v>137</v>
      </c>
      <c r="CD129" s="244"/>
      <c r="CE129" s="244"/>
      <c r="CF129" s="244"/>
    </row>
    <row r="130" spans="1:84" x14ac:dyDescent="0.2">
      <c r="A130" s="245" t="s">
        <v>752</v>
      </c>
      <c r="B130" s="247" t="s">
        <v>756</v>
      </c>
      <c r="C130" s="246" t="s">
        <v>753</v>
      </c>
      <c r="D130" s="246" t="s">
        <v>754</v>
      </c>
      <c r="E130" s="247" t="s">
        <v>755</v>
      </c>
      <c r="F130" s="247"/>
      <c r="G130" s="233"/>
      <c r="H130" s="233"/>
      <c r="I130" s="233"/>
      <c r="J130" s="233"/>
      <c r="K130" s="233"/>
      <c r="L130" s="247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48"/>
      <c r="AU130" s="248"/>
      <c r="AV130" s="248"/>
      <c r="AW130" s="227"/>
      <c r="AX130" s="249"/>
      <c r="AY130" s="225"/>
      <c r="AZ130" s="227">
        <v>25000</v>
      </c>
      <c r="BA130" s="250"/>
      <c r="BB130" s="225"/>
      <c r="BC130" s="225"/>
      <c r="BD130" s="225"/>
      <c r="BE130" s="225"/>
      <c r="BF130" s="225"/>
      <c r="BG130" s="225"/>
      <c r="BH130" s="225"/>
      <c r="BI130" s="225"/>
      <c r="BJ130" s="248"/>
      <c r="BK130" s="248"/>
      <c r="BL130" s="248"/>
      <c r="BM130" s="248">
        <f t="shared" si="73"/>
        <v>25000</v>
      </c>
      <c r="BN130" s="249"/>
      <c r="BO130" s="225"/>
      <c r="BP130" s="248">
        <v>25000</v>
      </c>
      <c r="BQ130" s="249"/>
      <c r="BR130" s="225"/>
      <c r="BS130" s="225"/>
      <c r="BT130" s="225"/>
      <c r="BU130" s="225">
        <v>-20728.97</v>
      </c>
      <c r="BV130" s="225"/>
      <c r="BW130" s="225"/>
      <c r="BX130" s="225"/>
      <c r="BY130" s="225"/>
      <c r="BZ130" s="225"/>
      <c r="CA130" s="225"/>
      <c r="CB130" s="225"/>
      <c r="CC130" s="227">
        <f t="shared" si="63"/>
        <v>29271.03</v>
      </c>
      <c r="CD130" s="244"/>
      <c r="CE130" s="244"/>
      <c r="CF130" s="244"/>
    </row>
    <row r="131" spans="1:84" x14ac:dyDescent="0.2">
      <c r="A131" s="245" t="s">
        <v>27</v>
      </c>
      <c r="B131" s="247" t="s">
        <v>778</v>
      </c>
      <c r="C131" s="246" t="s">
        <v>105</v>
      </c>
      <c r="D131" s="246" t="s">
        <v>779</v>
      </c>
      <c r="E131" s="247" t="s">
        <v>755</v>
      </c>
      <c r="F131" s="247"/>
      <c r="G131" s="233"/>
      <c r="H131" s="233"/>
      <c r="I131" s="233"/>
      <c r="J131" s="233"/>
      <c r="K131" s="233"/>
      <c r="L131" s="247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48"/>
      <c r="AU131" s="248"/>
      <c r="AV131" s="248"/>
      <c r="AW131" s="227"/>
      <c r="AX131" s="249"/>
      <c r="AY131" s="225"/>
      <c r="AZ131" s="227">
        <v>25000</v>
      </c>
      <c r="BA131" s="250"/>
      <c r="BB131" s="225"/>
      <c r="BC131" s="225"/>
      <c r="BD131" s="225"/>
      <c r="BE131" s="225"/>
      <c r="BF131" s="225"/>
      <c r="BG131" s="225"/>
      <c r="BH131" s="225"/>
      <c r="BI131" s="225"/>
      <c r="BJ131" s="248"/>
      <c r="BK131" s="248"/>
      <c r="BL131" s="248"/>
      <c r="BM131" s="248">
        <f t="shared" si="73"/>
        <v>25000</v>
      </c>
      <c r="BN131" s="249"/>
      <c r="BO131" s="225"/>
      <c r="BP131" s="248"/>
      <c r="BQ131" s="249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7">
        <f t="shared" si="63"/>
        <v>25000</v>
      </c>
      <c r="CD131" s="244"/>
      <c r="CE131" s="244"/>
      <c r="CF131" s="244"/>
    </row>
    <row r="132" spans="1:84" x14ac:dyDescent="0.2">
      <c r="A132" s="245" t="s">
        <v>222</v>
      </c>
      <c r="B132" s="246" t="s">
        <v>650</v>
      </c>
      <c r="C132" s="246" t="s">
        <v>223</v>
      </c>
      <c r="D132" s="246" t="s">
        <v>661</v>
      </c>
      <c r="E132" s="247" t="s">
        <v>202</v>
      </c>
      <c r="F132" s="247" t="s">
        <v>711</v>
      </c>
      <c r="G132" s="233" t="str">
        <f t="shared" ref="G132:G137" si="74">IF(M132&gt;0, "1", "0")</f>
        <v>0</v>
      </c>
      <c r="H132" s="233" t="str">
        <f t="shared" ref="H132:H137" si="75">IF(S132&gt;0, "1", "0")</f>
        <v>0</v>
      </c>
      <c r="I132" s="233" t="str">
        <f t="shared" ref="I132:I137" si="76">IF(AI132&gt;0, "1", "0")</f>
        <v>1</v>
      </c>
      <c r="J132" s="233" t="str">
        <f t="shared" ref="J132:J137" si="77">IF(AZ132&gt;0, "1", "0")</f>
        <v>0</v>
      </c>
      <c r="K132" s="233" t="str">
        <f t="shared" ref="K132:K137" si="78">CONCATENATE(G132,H132,I132,J132)</f>
        <v>0010</v>
      </c>
      <c r="L132" s="247" t="str">
        <f t="shared" ref="L132:L137" si="79">A132&amp;B132&amp;E132</f>
        <v>15609260Diagnostic Review 19-20</v>
      </c>
      <c r="M132" s="225"/>
      <c r="N132" s="225"/>
      <c r="O132" s="225"/>
      <c r="P132" s="225"/>
      <c r="Q132" s="225">
        <f t="shared" ref="Q132:Q137" si="80">SUM(M132:P132)</f>
        <v>0</v>
      </c>
      <c r="R132" s="225"/>
      <c r="S132" s="225">
        <v>0</v>
      </c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>
        <f t="shared" ref="AF132:AF137" si="81">SUM(Q132:AE132)</f>
        <v>0</v>
      </c>
      <c r="AG132" s="225"/>
      <c r="AH132" s="225">
        <v>0</v>
      </c>
      <c r="AI132" s="225">
        <v>19454.781599999998</v>
      </c>
      <c r="AJ132" s="225"/>
      <c r="AK132" s="225"/>
      <c r="AL132" s="225"/>
      <c r="AM132" s="225"/>
      <c r="AN132" s="225">
        <v>0</v>
      </c>
      <c r="AO132" s="225">
        <v>0</v>
      </c>
      <c r="AP132" s="225"/>
      <c r="AQ132" s="225"/>
      <c r="AR132" s="225"/>
      <c r="AS132" s="225"/>
      <c r="AT132" s="248">
        <v>0</v>
      </c>
      <c r="AU132" s="248">
        <v>0</v>
      </c>
      <c r="AV132" s="248">
        <v>0</v>
      </c>
      <c r="AW132" s="227">
        <f t="shared" ref="AW132:AW137" si="82">SUM(AF132:AV132)</f>
        <v>19454.781599999998</v>
      </c>
      <c r="AX132" s="249">
        <v>0</v>
      </c>
      <c r="AY132" s="225">
        <v>0</v>
      </c>
      <c r="AZ132" s="227"/>
      <c r="BA132" s="250">
        <v>0</v>
      </c>
      <c r="BB132" s="225">
        <v>0</v>
      </c>
      <c r="BC132" s="225">
        <v>0</v>
      </c>
      <c r="BD132" s="225">
        <v>0</v>
      </c>
      <c r="BE132" s="225"/>
      <c r="BF132" s="225"/>
      <c r="BG132" s="225">
        <v>0</v>
      </c>
      <c r="BH132" s="225">
        <v>0</v>
      </c>
      <c r="BI132" s="225">
        <v>0</v>
      </c>
      <c r="BJ132" s="248"/>
      <c r="BK132" s="248"/>
      <c r="BL132" s="248"/>
      <c r="BM132" s="248">
        <f t="shared" si="73"/>
        <v>19454.781599999998</v>
      </c>
      <c r="BN132" s="249"/>
      <c r="BO132" s="225"/>
      <c r="BP132" s="248"/>
      <c r="BQ132" s="249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7">
        <f t="shared" si="63"/>
        <v>19454.781599999998</v>
      </c>
      <c r="CD132" s="244"/>
      <c r="CE132" s="244"/>
      <c r="CF132" s="244"/>
    </row>
    <row r="133" spans="1:84" x14ac:dyDescent="0.2">
      <c r="A133" s="245" t="s">
        <v>28</v>
      </c>
      <c r="B133" s="246" t="s">
        <v>362</v>
      </c>
      <c r="C133" s="246" t="s">
        <v>106</v>
      </c>
      <c r="D133" s="246" t="s">
        <v>590</v>
      </c>
      <c r="E133" s="247" t="s">
        <v>201</v>
      </c>
      <c r="F133" s="247" t="s">
        <v>711</v>
      </c>
      <c r="G133" s="233" t="str">
        <f t="shared" si="74"/>
        <v>0</v>
      </c>
      <c r="H133" s="233" t="str">
        <f t="shared" si="75"/>
        <v>1</v>
      </c>
      <c r="I133" s="233" t="str">
        <f t="shared" si="76"/>
        <v>0</v>
      </c>
      <c r="J133" s="233" t="str">
        <f t="shared" si="77"/>
        <v>0</v>
      </c>
      <c r="K133" s="233" t="str">
        <f t="shared" si="78"/>
        <v>0100</v>
      </c>
      <c r="L133" s="247" t="str">
        <f t="shared" si="79"/>
        <v>15702792Diagnostic Review 18-19</v>
      </c>
      <c r="M133" s="225"/>
      <c r="N133" s="225"/>
      <c r="O133" s="225"/>
      <c r="P133" s="225"/>
      <c r="Q133" s="225">
        <f t="shared" si="80"/>
        <v>0</v>
      </c>
      <c r="R133" s="225"/>
      <c r="S133" s="225">
        <v>10000</v>
      </c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>
        <f t="shared" si="81"/>
        <v>10000</v>
      </c>
      <c r="AG133" s="225"/>
      <c r="AH133" s="225">
        <v>0</v>
      </c>
      <c r="AI133" s="225"/>
      <c r="AJ133" s="225"/>
      <c r="AK133" s="225"/>
      <c r="AL133" s="225"/>
      <c r="AM133" s="225"/>
      <c r="AN133" s="225">
        <v>0</v>
      </c>
      <c r="AO133" s="225">
        <v>0</v>
      </c>
      <c r="AP133" s="225"/>
      <c r="AQ133" s="225"/>
      <c r="AR133" s="225"/>
      <c r="AS133" s="225"/>
      <c r="AT133" s="248">
        <v>0</v>
      </c>
      <c r="AU133" s="248">
        <v>0</v>
      </c>
      <c r="AV133" s="248">
        <v>0</v>
      </c>
      <c r="AW133" s="227">
        <f t="shared" si="82"/>
        <v>10000</v>
      </c>
      <c r="AX133" s="249">
        <v>0</v>
      </c>
      <c r="AY133" s="225">
        <v>0</v>
      </c>
      <c r="AZ133" s="227"/>
      <c r="BA133" s="250">
        <v>0</v>
      </c>
      <c r="BB133" s="225">
        <v>0</v>
      </c>
      <c r="BC133" s="225">
        <v>0</v>
      </c>
      <c r="BD133" s="225">
        <v>0</v>
      </c>
      <c r="BE133" s="225"/>
      <c r="BF133" s="225"/>
      <c r="BG133" s="225">
        <v>0</v>
      </c>
      <c r="BH133" s="225">
        <v>0</v>
      </c>
      <c r="BI133" s="225">
        <v>0</v>
      </c>
      <c r="BJ133" s="248"/>
      <c r="BK133" s="248"/>
      <c r="BL133" s="248"/>
      <c r="BM133" s="248">
        <f t="shared" si="73"/>
        <v>10000</v>
      </c>
      <c r="BN133" s="249"/>
      <c r="BO133" s="225"/>
      <c r="BP133" s="248"/>
      <c r="BQ133" s="249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7">
        <f t="shared" si="63"/>
        <v>10000</v>
      </c>
      <c r="CD133" s="244"/>
      <c r="CE133" s="244"/>
      <c r="CF133" s="244"/>
    </row>
    <row r="134" spans="1:84" x14ac:dyDescent="0.2">
      <c r="A134" s="245" t="s">
        <v>28</v>
      </c>
      <c r="B134" s="246" t="s">
        <v>363</v>
      </c>
      <c r="C134" s="246" t="s">
        <v>106</v>
      </c>
      <c r="D134" s="246" t="s">
        <v>591</v>
      </c>
      <c r="E134" s="247" t="s">
        <v>201</v>
      </c>
      <c r="F134" s="247" t="s">
        <v>711</v>
      </c>
      <c r="G134" s="233" t="str">
        <f t="shared" si="74"/>
        <v>0</v>
      </c>
      <c r="H134" s="233" t="str">
        <f t="shared" si="75"/>
        <v>1</v>
      </c>
      <c r="I134" s="233" t="str">
        <f t="shared" si="76"/>
        <v>0</v>
      </c>
      <c r="J134" s="233" t="str">
        <f t="shared" si="77"/>
        <v>0</v>
      </c>
      <c r="K134" s="233" t="str">
        <f t="shared" si="78"/>
        <v>0100</v>
      </c>
      <c r="L134" s="247" t="str">
        <f t="shared" si="79"/>
        <v>15702794Diagnostic Review 18-19</v>
      </c>
      <c r="M134" s="225"/>
      <c r="N134" s="225"/>
      <c r="O134" s="225"/>
      <c r="P134" s="225"/>
      <c r="Q134" s="225">
        <f t="shared" si="80"/>
        <v>0</v>
      </c>
      <c r="R134" s="225"/>
      <c r="S134" s="225">
        <v>10000</v>
      </c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>
        <f t="shared" si="81"/>
        <v>10000</v>
      </c>
      <c r="AG134" s="225"/>
      <c r="AH134" s="225">
        <v>0</v>
      </c>
      <c r="AI134" s="225"/>
      <c r="AJ134" s="225"/>
      <c r="AK134" s="225"/>
      <c r="AL134" s="225"/>
      <c r="AM134" s="225"/>
      <c r="AN134" s="225">
        <v>0</v>
      </c>
      <c r="AO134" s="225">
        <v>0</v>
      </c>
      <c r="AP134" s="225"/>
      <c r="AQ134" s="225"/>
      <c r="AR134" s="225"/>
      <c r="AS134" s="225"/>
      <c r="AT134" s="248">
        <v>0</v>
      </c>
      <c r="AU134" s="248">
        <v>0</v>
      </c>
      <c r="AV134" s="248">
        <v>0</v>
      </c>
      <c r="AW134" s="227">
        <f t="shared" si="82"/>
        <v>10000</v>
      </c>
      <c r="AX134" s="249">
        <v>0</v>
      </c>
      <c r="AY134" s="225">
        <v>0</v>
      </c>
      <c r="AZ134" s="227"/>
      <c r="BA134" s="250">
        <v>0</v>
      </c>
      <c r="BB134" s="225">
        <v>0</v>
      </c>
      <c r="BC134" s="225">
        <v>0</v>
      </c>
      <c r="BD134" s="225">
        <v>0</v>
      </c>
      <c r="BE134" s="225"/>
      <c r="BF134" s="225"/>
      <c r="BG134" s="225">
        <v>0</v>
      </c>
      <c r="BH134" s="225">
        <v>0</v>
      </c>
      <c r="BI134" s="225">
        <v>0</v>
      </c>
      <c r="BJ134" s="248"/>
      <c r="BK134" s="248"/>
      <c r="BL134" s="248"/>
      <c r="BM134" s="248">
        <f t="shared" si="73"/>
        <v>10000</v>
      </c>
      <c r="BN134" s="249"/>
      <c r="BO134" s="225"/>
      <c r="BP134" s="248"/>
      <c r="BQ134" s="249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7">
        <f t="shared" si="63"/>
        <v>10000</v>
      </c>
      <c r="CD134" s="244"/>
      <c r="CE134" s="244"/>
      <c r="CF134" s="244"/>
    </row>
    <row r="135" spans="1:84" x14ac:dyDescent="0.2">
      <c r="A135" s="245" t="s">
        <v>381</v>
      </c>
      <c r="B135" s="246" t="s">
        <v>649</v>
      </c>
      <c r="C135" s="246" t="s">
        <v>605</v>
      </c>
      <c r="D135" s="246" t="s">
        <v>660</v>
      </c>
      <c r="E135" s="247" t="s">
        <v>202</v>
      </c>
      <c r="F135" s="247" t="s">
        <v>711</v>
      </c>
      <c r="G135" s="233" t="str">
        <f t="shared" si="74"/>
        <v>0</v>
      </c>
      <c r="H135" s="233" t="str">
        <f t="shared" si="75"/>
        <v>0</v>
      </c>
      <c r="I135" s="233" t="str">
        <f t="shared" si="76"/>
        <v>1</v>
      </c>
      <c r="J135" s="233" t="str">
        <f t="shared" si="77"/>
        <v>0</v>
      </c>
      <c r="K135" s="233" t="str">
        <f t="shared" si="78"/>
        <v>0010</v>
      </c>
      <c r="L135" s="247" t="str">
        <f t="shared" si="79"/>
        <v>20007236Diagnostic Review 19-20</v>
      </c>
      <c r="M135" s="225"/>
      <c r="N135" s="225"/>
      <c r="O135" s="225"/>
      <c r="P135" s="225"/>
      <c r="Q135" s="225">
        <f t="shared" si="80"/>
        <v>0</v>
      </c>
      <c r="R135" s="225"/>
      <c r="S135" s="225">
        <v>0</v>
      </c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>
        <f t="shared" si="81"/>
        <v>0</v>
      </c>
      <c r="AG135" s="225"/>
      <c r="AH135" s="225">
        <v>0</v>
      </c>
      <c r="AI135" s="225">
        <v>10492</v>
      </c>
      <c r="AJ135" s="225"/>
      <c r="AK135" s="225"/>
      <c r="AL135" s="225"/>
      <c r="AM135" s="225"/>
      <c r="AN135" s="225">
        <v>0</v>
      </c>
      <c r="AO135" s="225">
        <v>0</v>
      </c>
      <c r="AP135" s="225"/>
      <c r="AQ135" s="225"/>
      <c r="AR135" s="225"/>
      <c r="AS135" s="225"/>
      <c r="AT135" s="248">
        <v>0</v>
      </c>
      <c r="AU135" s="248">
        <v>0</v>
      </c>
      <c r="AV135" s="248">
        <v>0</v>
      </c>
      <c r="AW135" s="227">
        <f t="shared" si="82"/>
        <v>10492</v>
      </c>
      <c r="AX135" s="249">
        <v>0</v>
      </c>
      <c r="AY135" s="225">
        <v>0</v>
      </c>
      <c r="AZ135" s="227"/>
      <c r="BA135" s="250">
        <v>0</v>
      </c>
      <c r="BB135" s="225">
        <v>0</v>
      </c>
      <c r="BC135" s="225">
        <v>0</v>
      </c>
      <c r="BD135" s="225">
        <v>0</v>
      </c>
      <c r="BE135" s="225"/>
      <c r="BF135" s="225"/>
      <c r="BG135" s="225">
        <v>0</v>
      </c>
      <c r="BH135" s="225">
        <v>0</v>
      </c>
      <c r="BI135" s="225">
        <v>0</v>
      </c>
      <c r="BJ135" s="248"/>
      <c r="BK135" s="248"/>
      <c r="BL135" s="248">
        <v>-1717.24</v>
      </c>
      <c r="BM135" s="248">
        <f t="shared" si="73"/>
        <v>8774.76</v>
      </c>
      <c r="BN135" s="249"/>
      <c r="BO135" s="225"/>
      <c r="BP135" s="248"/>
      <c r="BQ135" s="249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7">
        <f t="shared" si="63"/>
        <v>8774.76</v>
      </c>
      <c r="CD135" s="244"/>
      <c r="CE135" s="244"/>
      <c r="CF135" s="244"/>
    </row>
    <row r="136" spans="1:84" x14ac:dyDescent="0.2">
      <c r="A136" s="245" t="s">
        <v>381</v>
      </c>
      <c r="B136" s="246" t="s">
        <v>34</v>
      </c>
      <c r="C136" s="246" t="s">
        <v>605</v>
      </c>
      <c r="D136" s="246" t="s">
        <v>111</v>
      </c>
      <c r="E136" s="247" t="s">
        <v>201</v>
      </c>
      <c r="F136" s="247" t="s">
        <v>711</v>
      </c>
      <c r="G136" s="233" t="str">
        <f t="shared" si="74"/>
        <v>0</v>
      </c>
      <c r="H136" s="233" t="str">
        <f t="shared" si="75"/>
        <v>1</v>
      </c>
      <c r="I136" s="233" t="str">
        <f t="shared" si="76"/>
        <v>0</v>
      </c>
      <c r="J136" s="233" t="str">
        <f t="shared" si="77"/>
        <v>0</v>
      </c>
      <c r="K136" s="233" t="str">
        <f t="shared" si="78"/>
        <v>0100</v>
      </c>
      <c r="L136" s="247" t="str">
        <f t="shared" si="79"/>
        <v>2000N/ADiagnostic Review 18-19</v>
      </c>
      <c r="M136" s="225"/>
      <c r="N136" s="225"/>
      <c r="O136" s="225"/>
      <c r="P136" s="225"/>
      <c r="Q136" s="225">
        <f t="shared" si="80"/>
        <v>0</v>
      </c>
      <c r="R136" s="225"/>
      <c r="S136" s="225">
        <v>14858</v>
      </c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>
        <f t="shared" si="81"/>
        <v>14858</v>
      </c>
      <c r="AG136" s="225"/>
      <c r="AH136" s="225">
        <v>0</v>
      </c>
      <c r="AI136" s="225"/>
      <c r="AJ136" s="225"/>
      <c r="AK136" s="225"/>
      <c r="AL136" s="225"/>
      <c r="AM136" s="225"/>
      <c r="AN136" s="225">
        <v>0</v>
      </c>
      <c r="AO136" s="225">
        <v>0</v>
      </c>
      <c r="AP136" s="225"/>
      <c r="AQ136" s="225"/>
      <c r="AR136" s="225"/>
      <c r="AS136" s="225"/>
      <c r="AT136" s="248">
        <v>0</v>
      </c>
      <c r="AU136" s="248">
        <v>0</v>
      </c>
      <c r="AV136" s="248">
        <v>0</v>
      </c>
      <c r="AW136" s="227">
        <f t="shared" si="82"/>
        <v>14858</v>
      </c>
      <c r="AX136" s="249">
        <v>0</v>
      </c>
      <c r="AY136" s="225">
        <v>0</v>
      </c>
      <c r="AZ136" s="227"/>
      <c r="BA136" s="250">
        <v>0</v>
      </c>
      <c r="BB136" s="225">
        <v>0</v>
      </c>
      <c r="BC136" s="225">
        <v>0</v>
      </c>
      <c r="BD136" s="225">
        <v>0</v>
      </c>
      <c r="BE136" s="225"/>
      <c r="BF136" s="225"/>
      <c r="BG136" s="225">
        <v>0</v>
      </c>
      <c r="BH136" s="225">
        <v>-1718.72</v>
      </c>
      <c r="BI136" s="225">
        <v>0</v>
      </c>
      <c r="BJ136" s="248"/>
      <c r="BK136" s="248"/>
      <c r="BL136" s="248"/>
      <c r="BM136" s="248">
        <f t="shared" si="73"/>
        <v>13139.28</v>
      </c>
      <c r="BN136" s="249"/>
      <c r="BO136" s="225"/>
      <c r="BP136" s="248"/>
      <c r="BQ136" s="249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7">
        <f t="shared" si="63"/>
        <v>13139.28</v>
      </c>
      <c r="CD136" s="244"/>
      <c r="CE136" s="244"/>
      <c r="CF136" s="244"/>
    </row>
    <row r="137" spans="1:84" x14ac:dyDescent="0.2">
      <c r="A137" s="245" t="s">
        <v>30</v>
      </c>
      <c r="B137" s="246" t="s">
        <v>86</v>
      </c>
      <c r="C137" s="246" t="s">
        <v>612</v>
      </c>
      <c r="D137" s="246" t="s">
        <v>157</v>
      </c>
      <c r="E137" s="247" t="s">
        <v>200</v>
      </c>
      <c r="F137" s="247" t="s">
        <v>711</v>
      </c>
      <c r="G137" s="233" t="str">
        <f t="shared" si="74"/>
        <v>1</v>
      </c>
      <c r="H137" s="233" t="str">
        <f t="shared" si="75"/>
        <v>0</v>
      </c>
      <c r="I137" s="233" t="str">
        <f t="shared" si="76"/>
        <v>0</v>
      </c>
      <c r="J137" s="233" t="str">
        <f t="shared" si="77"/>
        <v>0</v>
      </c>
      <c r="K137" s="233" t="str">
        <f t="shared" si="78"/>
        <v>1000</v>
      </c>
      <c r="L137" s="247" t="str">
        <f t="shared" si="79"/>
        <v>20350609Diagnostic Review 17-18</v>
      </c>
      <c r="M137" s="225">
        <v>31233</v>
      </c>
      <c r="N137" s="225"/>
      <c r="O137" s="225"/>
      <c r="P137" s="225"/>
      <c r="Q137" s="225">
        <f t="shared" si="80"/>
        <v>31233</v>
      </c>
      <c r="R137" s="225"/>
      <c r="S137" s="225">
        <v>0</v>
      </c>
      <c r="T137" s="225"/>
      <c r="U137" s="225"/>
      <c r="V137" s="225">
        <v>-14100</v>
      </c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>
        <f t="shared" si="81"/>
        <v>17133</v>
      </c>
      <c r="AG137" s="225">
        <v>-1233</v>
      </c>
      <c r="AH137" s="225">
        <v>0</v>
      </c>
      <c r="AI137" s="225"/>
      <c r="AJ137" s="225"/>
      <c r="AK137" s="225"/>
      <c r="AL137" s="225"/>
      <c r="AM137" s="225"/>
      <c r="AN137" s="225">
        <v>0</v>
      </c>
      <c r="AO137" s="225">
        <v>0</v>
      </c>
      <c r="AP137" s="225"/>
      <c r="AQ137" s="225"/>
      <c r="AR137" s="225"/>
      <c r="AS137" s="225"/>
      <c r="AT137" s="248">
        <v>0</v>
      </c>
      <c r="AU137" s="248">
        <v>0</v>
      </c>
      <c r="AV137" s="248">
        <v>0</v>
      </c>
      <c r="AW137" s="227">
        <f t="shared" si="82"/>
        <v>15900</v>
      </c>
      <c r="AX137" s="249">
        <v>0</v>
      </c>
      <c r="AY137" s="225">
        <v>0</v>
      </c>
      <c r="AZ137" s="227"/>
      <c r="BA137" s="250">
        <v>0</v>
      </c>
      <c r="BB137" s="225">
        <v>0</v>
      </c>
      <c r="BC137" s="225">
        <v>0</v>
      </c>
      <c r="BD137" s="225">
        <v>0</v>
      </c>
      <c r="BE137" s="225"/>
      <c r="BF137" s="225"/>
      <c r="BG137" s="225">
        <v>0</v>
      </c>
      <c r="BH137" s="225">
        <v>0</v>
      </c>
      <c r="BI137" s="225">
        <v>0</v>
      </c>
      <c r="BJ137" s="248"/>
      <c r="BK137" s="248"/>
      <c r="BL137" s="248"/>
      <c r="BM137" s="248">
        <f t="shared" si="73"/>
        <v>15900</v>
      </c>
      <c r="BN137" s="249"/>
      <c r="BO137" s="225"/>
      <c r="BP137" s="248"/>
      <c r="BQ137" s="249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7">
        <f t="shared" si="63"/>
        <v>15900</v>
      </c>
      <c r="CD137" s="244"/>
      <c r="CE137" s="244"/>
      <c r="CF137" s="244"/>
    </row>
    <row r="138" spans="1:84" x14ac:dyDescent="0.2">
      <c r="A138" s="245" t="s">
        <v>30</v>
      </c>
      <c r="B138" s="247" t="s">
        <v>85</v>
      </c>
      <c r="C138" s="246" t="s">
        <v>612</v>
      </c>
      <c r="D138" s="246" t="s">
        <v>206</v>
      </c>
      <c r="E138" s="247" t="s">
        <v>755</v>
      </c>
      <c r="F138" s="247"/>
      <c r="G138" s="233"/>
      <c r="H138" s="233"/>
      <c r="I138" s="233"/>
      <c r="J138" s="233"/>
      <c r="K138" s="233"/>
      <c r="L138" s="247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48"/>
      <c r="AU138" s="248"/>
      <c r="AV138" s="248"/>
      <c r="AW138" s="227"/>
      <c r="AX138" s="249"/>
      <c r="AY138" s="225"/>
      <c r="AZ138" s="227">
        <v>12000</v>
      </c>
      <c r="BA138" s="250"/>
      <c r="BB138" s="225"/>
      <c r="BC138" s="225"/>
      <c r="BD138" s="225"/>
      <c r="BE138" s="225"/>
      <c r="BF138" s="225"/>
      <c r="BG138" s="225"/>
      <c r="BH138" s="225"/>
      <c r="BI138" s="225"/>
      <c r="BJ138" s="248"/>
      <c r="BK138" s="248"/>
      <c r="BL138" s="248"/>
      <c r="BM138" s="248">
        <f t="shared" si="73"/>
        <v>12000</v>
      </c>
      <c r="BN138" s="249"/>
      <c r="BO138" s="225"/>
      <c r="BP138" s="248">
        <v>20000</v>
      </c>
      <c r="BQ138" s="249"/>
      <c r="BR138" s="225"/>
      <c r="BS138" s="225"/>
      <c r="BT138" s="225">
        <v>-3510.06</v>
      </c>
      <c r="BU138" s="252">
        <v>-1770.06</v>
      </c>
      <c r="BV138" s="66">
        <v>-3017.35</v>
      </c>
      <c r="BW138" s="225">
        <v>-1730.51</v>
      </c>
      <c r="BX138" s="225"/>
      <c r="BY138" s="225">
        <f>-862.01-1540.78</f>
        <v>-2402.79</v>
      </c>
      <c r="BZ138" s="225"/>
      <c r="CA138" s="225"/>
      <c r="CB138" s="225"/>
      <c r="CC138" s="227">
        <f t="shared" si="63"/>
        <v>19569.23</v>
      </c>
      <c r="CD138" s="244"/>
      <c r="CE138" s="244"/>
      <c r="CF138" s="244"/>
    </row>
    <row r="139" spans="1:84" x14ac:dyDescent="0.2">
      <c r="A139" s="251" t="s">
        <v>224</v>
      </c>
      <c r="B139" s="247" t="s">
        <v>226</v>
      </c>
      <c r="C139" s="246" t="s">
        <v>225</v>
      </c>
      <c r="D139" s="246" t="s">
        <v>227</v>
      </c>
      <c r="E139" s="247" t="s">
        <v>200</v>
      </c>
      <c r="F139" s="247" t="s">
        <v>711</v>
      </c>
      <c r="G139" s="233" t="str">
        <f t="shared" ref="G139:G145" si="83">IF(M139&gt;0, "1", "0")</f>
        <v>1</v>
      </c>
      <c r="H139" s="233" t="str">
        <f t="shared" ref="H139:H145" si="84">IF(S139&gt;0, "1", "0")</f>
        <v>0</v>
      </c>
      <c r="I139" s="233" t="str">
        <f t="shared" ref="I139:I145" si="85">IF(AI139&gt;0, "1", "0")</f>
        <v>0</v>
      </c>
      <c r="J139" s="233" t="str">
        <f t="shared" ref="J139:J145" si="86">IF(AZ139&gt;0, "1", "0")</f>
        <v>0</v>
      </c>
      <c r="K139" s="233" t="str">
        <f t="shared" ref="K139:K145" si="87">CONCATENATE(G139,H139,I139,J139)</f>
        <v>1000</v>
      </c>
      <c r="L139" s="247" t="str">
        <f t="shared" ref="L139:L145" si="88">A139&amp;B139&amp;E139</f>
        <v>21809149Diagnostic Review 17-18</v>
      </c>
      <c r="M139" s="225">
        <v>52545</v>
      </c>
      <c r="N139" s="225"/>
      <c r="O139" s="225"/>
      <c r="P139" s="225"/>
      <c r="Q139" s="225">
        <f t="shared" ref="Q139:Q145" si="89">SUM(M139:P139)</f>
        <v>52545</v>
      </c>
      <c r="R139" s="225"/>
      <c r="S139" s="225">
        <v>0</v>
      </c>
      <c r="T139" s="225"/>
      <c r="U139" s="225"/>
      <c r="V139" s="225"/>
      <c r="W139" s="225">
        <v>-52545</v>
      </c>
      <c r="X139" s="225"/>
      <c r="Y139" s="225"/>
      <c r="Z139" s="225"/>
      <c r="AA139" s="225"/>
      <c r="AB139" s="225"/>
      <c r="AC139" s="225"/>
      <c r="AD139" s="225"/>
      <c r="AE139" s="225"/>
      <c r="AF139" s="225">
        <f t="shared" ref="AF139:AF145" si="90">SUM(Q139:AE139)</f>
        <v>0</v>
      </c>
      <c r="AG139" s="225"/>
      <c r="AH139" s="225">
        <v>0</v>
      </c>
      <c r="AI139" s="225"/>
      <c r="AJ139" s="225"/>
      <c r="AK139" s="225"/>
      <c r="AL139" s="225"/>
      <c r="AM139" s="225"/>
      <c r="AN139" s="225">
        <v>0</v>
      </c>
      <c r="AO139" s="225">
        <v>0</v>
      </c>
      <c r="AP139" s="225"/>
      <c r="AQ139" s="225"/>
      <c r="AR139" s="225"/>
      <c r="AS139" s="225"/>
      <c r="AT139" s="248">
        <v>0</v>
      </c>
      <c r="AU139" s="248">
        <v>0</v>
      </c>
      <c r="AV139" s="248">
        <v>0</v>
      </c>
      <c r="AW139" s="227">
        <f t="shared" ref="AW139:AW145" si="91">SUM(AF139:AV139)</f>
        <v>0</v>
      </c>
      <c r="AX139" s="249">
        <v>0</v>
      </c>
      <c r="AY139" s="225">
        <v>0</v>
      </c>
      <c r="AZ139" s="227"/>
      <c r="BA139" s="250">
        <v>0</v>
      </c>
      <c r="BB139" s="225">
        <v>0</v>
      </c>
      <c r="BC139" s="225">
        <v>0</v>
      </c>
      <c r="BD139" s="225">
        <v>0</v>
      </c>
      <c r="BE139" s="225"/>
      <c r="BF139" s="225"/>
      <c r="BG139" s="225">
        <v>0</v>
      </c>
      <c r="BH139" s="225">
        <v>0</v>
      </c>
      <c r="BI139" s="225">
        <v>0</v>
      </c>
      <c r="BJ139" s="248"/>
      <c r="BK139" s="248"/>
      <c r="BL139" s="248"/>
      <c r="BM139" s="248">
        <f t="shared" si="73"/>
        <v>0</v>
      </c>
      <c r="BN139" s="249"/>
      <c r="BO139" s="225"/>
      <c r="BP139" s="248"/>
      <c r="BQ139" s="249"/>
      <c r="BR139" s="225"/>
      <c r="BS139" s="225"/>
      <c r="BT139" s="225" t="s">
        <v>701</v>
      </c>
      <c r="BU139" s="225"/>
      <c r="BV139" s="225"/>
      <c r="BW139" s="225"/>
      <c r="BX139" s="225"/>
      <c r="BY139" s="225"/>
      <c r="BZ139" s="225"/>
      <c r="CA139" s="225"/>
      <c r="CB139" s="225"/>
      <c r="CC139" s="227">
        <f t="shared" si="63"/>
        <v>0</v>
      </c>
      <c r="CD139" s="244"/>
      <c r="CE139" s="244"/>
      <c r="CF139" s="244"/>
    </row>
    <row r="140" spans="1:84" x14ac:dyDescent="0.2">
      <c r="A140" s="245" t="s">
        <v>18</v>
      </c>
      <c r="B140" s="246" t="s">
        <v>41</v>
      </c>
      <c r="C140" s="246" t="s">
        <v>613</v>
      </c>
      <c r="D140" s="246" t="s">
        <v>117</v>
      </c>
      <c r="E140" s="247" t="s">
        <v>200</v>
      </c>
      <c r="F140" s="247" t="s">
        <v>711</v>
      </c>
      <c r="G140" s="233" t="str">
        <f t="shared" si="83"/>
        <v>1</v>
      </c>
      <c r="H140" s="233" t="str">
        <f t="shared" si="84"/>
        <v>0</v>
      </c>
      <c r="I140" s="233" t="str">
        <f t="shared" si="85"/>
        <v>0</v>
      </c>
      <c r="J140" s="233" t="str">
        <f t="shared" si="86"/>
        <v>0</v>
      </c>
      <c r="K140" s="233" t="str">
        <f t="shared" si="87"/>
        <v>1000</v>
      </c>
      <c r="L140" s="247" t="str">
        <f t="shared" si="88"/>
        <v>23951094Diagnostic Review 17-18</v>
      </c>
      <c r="M140" s="225">
        <v>50000</v>
      </c>
      <c r="N140" s="225">
        <v>-12842</v>
      </c>
      <c r="O140" s="225">
        <v>-6667</v>
      </c>
      <c r="P140" s="225">
        <v>-5000</v>
      </c>
      <c r="Q140" s="225">
        <f t="shared" si="89"/>
        <v>25491</v>
      </c>
      <c r="R140" s="225"/>
      <c r="S140" s="225">
        <v>0</v>
      </c>
      <c r="T140" s="225"/>
      <c r="U140" s="225">
        <v>-7563</v>
      </c>
      <c r="V140" s="225">
        <v>-12500</v>
      </c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>
        <f t="shared" si="90"/>
        <v>5428</v>
      </c>
      <c r="AG140" s="225"/>
      <c r="AH140" s="225">
        <v>0</v>
      </c>
      <c r="AI140" s="225"/>
      <c r="AJ140" s="225"/>
      <c r="AK140" s="225"/>
      <c r="AL140" s="225"/>
      <c r="AM140" s="225"/>
      <c r="AN140" s="225">
        <v>0</v>
      </c>
      <c r="AO140" s="225">
        <v>0</v>
      </c>
      <c r="AP140" s="225"/>
      <c r="AQ140" s="225"/>
      <c r="AR140" s="225"/>
      <c r="AS140" s="225"/>
      <c r="AT140" s="248">
        <v>0</v>
      </c>
      <c r="AU140" s="248">
        <v>0</v>
      </c>
      <c r="AV140" s="248">
        <v>0</v>
      </c>
      <c r="AW140" s="227">
        <f t="shared" si="91"/>
        <v>5428</v>
      </c>
      <c r="AX140" s="249">
        <v>0</v>
      </c>
      <c r="AY140" s="225">
        <v>0</v>
      </c>
      <c r="AZ140" s="227"/>
      <c r="BA140" s="250">
        <v>0</v>
      </c>
      <c r="BB140" s="225">
        <v>0</v>
      </c>
      <c r="BC140" s="225">
        <v>0</v>
      </c>
      <c r="BD140" s="225">
        <v>0</v>
      </c>
      <c r="BE140" s="225"/>
      <c r="BF140" s="225"/>
      <c r="BG140" s="225">
        <v>0</v>
      </c>
      <c r="BH140" s="225">
        <v>0</v>
      </c>
      <c r="BI140" s="225">
        <v>0</v>
      </c>
      <c r="BJ140" s="248"/>
      <c r="BK140" s="248"/>
      <c r="BL140" s="248"/>
      <c r="BM140" s="248">
        <f t="shared" si="73"/>
        <v>5428</v>
      </c>
      <c r="BN140" s="249"/>
      <c r="BO140" s="225"/>
      <c r="BP140" s="248"/>
      <c r="BQ140" s="249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7">
        <f t="shared" si="63"/>
        <v>5428</v>
      </c>
      <c r="CD140" s="244"/>
      <c r="CE140" s="244"/>
      <c r="CF140" s="244"/>
    </row>
    <row r="141" spans="1:84" x14ac:dyDescent="0.2">
      <c r="A141" s="245" t="s">
        <v>18</v>
      </c>
      <c r="B141" s="246" t="s">
        <v>42</v>
      </c>
      <c r="C141" s="246" t="s">
        <v>613</v>
      </c>
      <c r="D141" s="246" t="s">
        <v>118</v>
      </c>
      <c r="E141" s="247" t="s">
        <v>200</v>
      </c>
      <c r="F141" s="247" t="s">
        <v>711</v>
      </c>
      <c r="G141" s="233" t="str">
        <f t="shared" si="83"/>
        <v>1</v>
      </c>
      <c r="H141" s="233" t="str">
        <f t="shared" si="84"/>
        <v>0</v>
      </c>
      <c r="I141" s="233" t="str">
        <f t="shared" si="85"/>
        <v>0</v>
      </c>
      <c r="J141" s="233" t="str">
        <f t="shared" si="86"/>
        <v>0</v>
      </c>
      <c r="K141" s="233" t="str">
        <f t="shared" si="87"/>
        <v>1000</v>
      </c>
      <c r="L141" s="247" t="str">
        <f t="shared" si="88"/>
        <v>23951096Diagnostic Review 17-18</v>
      </c>
      <c r="M141" s="225">
        <v>50000</v>
      </c>
      <c r="N141" s="225">
        <v>-16447</v>
      </c>
      <c r="O141" s="225">
        <v>-9167</v>
      </c>
      <c r="P141" s="225">
        <v>-5000</v>
      </c>
      <c r="Q141" s="225">
        <f t="shared" si="89"/>
        <v>19386</v>
      </c>
      <c r="R141" s="225"/>
      <c r="S141" s="225">
        <v>0</v>
      </c>
      <c r="T141" s="225"/>
      <c r="U141" s="225">
        <v>-3841</v>
      </c>
      <c r="V141" s="225">
        <v>-13750</v>
      </c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>
        <f t="shared" si="90"/>
        <v>1795</v>
      </c>
      <c r="AG141" s="225"/>
      <c r="AH141" s="225">
        <v>0</v>
      </c>
      <c r="AI141" s="225"/>
      <c r="AJ141" s="225"/>
      <c r="AK141" s="225"/>
      <c r="AL141" s="225"/>
      <c r="AM141" s="225"/>
      <c r="AN141" s="225">
        <v>0</v>
      </c>
      <c r="AO141" s="225">
        <v>0</v>
      </c>
      <c r="AP141" s="225"/>
      <c r="AQ141" s="225"/>
      <c r="AR141" s="225"/>
      <c r="AS141" s="225"/>
      <c r="AT141" s="248">
        <v>0</v>
      </c>
      <c r="AU141" s="248">
        <v>0</v>
      </c>
      <c r="AV141" s="248">
        <v>0</v>
      </c>
      <c r="AW141" s="227">
        <f t="shared" si="91"/>
        <v>1795</v>
      </c>
      <c r="AX141" s="249">
        <v>0</v>
      </c>
      <c r="AY141" s="225">
        <v>0</v>
      </c>
      <c r="AZ141" s="227"/>
      <c r="BA141" s="250">
        <v>0</v>
      </c>
      <c r="BB141" s="225">
        <v>0</v>
      </c>
      <c r="BC141" s="225">
        <v>0</v>
      </c>
      <c r="BD141" s="225">
        <v>0</v>
      </c>
      <c r="BE141" s="225"/>
      <c r="BF141" s="225"/>
      <c r="BG141" s="225">
        <v>0</v>
      </c>
      <c r="BH141" s="225">
        <v>0</v>
      </c>
      <c r="BI141" s="225">
        <v>0</v>
      </c>
      <c r="BJ141" s="248"/>
      <c r="BK141" s="248"/>
      <c r="BL141" s="248"/>
      <c r="BM141" s="248">
        <f t="shared" si="73"/>
        <v>1795</v>
      </c>
      <c r="BN141" s="249"/>
      <c r="BO141" s="225"/>
      <c r="BP141" s="248"/>
      <c r="BQ141" s="249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7">
        <f t="shared" si="63"/>
        <v>1795</v>
      </c>
      <c r="CD141" s="244"/>
      <c r="CE141" s="244"/>
      <c r="CF141" s="244"/>
    </row>
    <row r="142" spans="1:84" x14ac:dyDescent="0.2">
      <c r="A142" s="245" t="s">
        <v>18</v>
      </c>
      <c r="B142" s="246" t="s">
        <v>43</v>
      </c>
      <c r="C142" s="246" t="s">
        <v>613</v>
      </c>
      <c r="D142" s="246" t="s">
        <v>119</v>
      </c>
      <c r="E142" s="247" t="s">
        <v>200</v>
      </c>
      <c r="F142" s="247" t="s">
        <v>711</v>
      </c>
      <c r="G142" s="233" t="str">
        <f t="shared" si="83"/>
        <v>1</v>
      </c>
      <c r="H142" s="233" t="str">
        <f t="shared" si="84"/>
        <v>0</v>
      </c>
      <c r="I142" s="233" t="str">
        <f t="shared" si="85"/>
        <v>0</v>
      </c>
      <c r="J142" s="233" t="str">
        <f t="shared" si="86"/>
        <v>0</v>
      </c>
      <c r="K142" s="233" t="str">
        <f t="shared" si="87"/>
        <v>1000</v>
      </c>
      <c r="L142" s="247" t="str">
        <f t="shared" si="88"/>
        <v>23951438Diagnostic Review 17-18</v>
      </c>
      <c r="M142" s="225">
        <v>50000</v>
      </c>
      <c r="N142" s="225">
        <v>-15771</v>
      </c>
      <c r="O142" s="225">
        <v>-11666</v>
      </c>
      <c r="P142" s="225">
        <v>-2500</v>
      </c>
      <c r="Q142" s="225">
        <f t="shared" si="89"/>
        <v>20063</v>
      </c>
      <c r="R142" s="225"/>
      <c r="S142" s="225">
        <v>0</v>
      </c>
      <c r="T142" s="225"/>
      <c r="U142" s="225">
        <v>-12048</v>
      </c>
      <c r="V142" s="225">
        <v>-8000</v>
      </c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>
        <f t="shared" si="90"/>
        <v>15</v>
      </c>
      <c r="AG142" s="225"/>
      <c r="AH142" s="225">
        <v>0</v>
      </c>
      <c r="AI142" s="225"/>
      <c r="AJ142" s="225"/>
      <c r="AK142" s="225"/>
      <c r="AL142" s="225"/>
      <c r="AM142" s="225"/>
      <c r="AN142" s="225">
        <v>0</v>
      </c>
      <c r="AO142" s="225">
        <v>0</v>
      </c>
      <c r="AP142" s="225"/>
      <c r="AQ142" s="225"/>
      <c r="AR142" s="225"/>
      <c r="AS142" s="225"/>
      <c r="AT142" s="248">
        <v>0</v>
      </c>
      <c r="AU142" s="248">
        <v>0</v>
      </c>
      <c r="AV142" s="248">
        <v>0</v>
      </c>
      <c r="AW142" s="227">
        <f t="shared" si="91"/>
        <v>15</v>
      </c>
      <c r="AX142" s="249">
        <v>0</v>
      </c>
      <c r="AY142" s="225">
        <v>0</v>
      </c>
      <c r="AZ142" s="227"/>
      <c r="BA142" s="250">
        <v>0</v>
      </c>
      <c r="BB142" s="225">
        <v>0</v>
      </c>
      <c r="BC142" s="225">
        <v>0</v>
      </c>
      <c r="BD142" s="225">
        <v>0</v>
      </c>
      <c r="BE142" s="225"/>
      <c r="BF142" s="225"/>
      <c r="BG142" s="225">
        <v>0</v>
      </c>
      <c r="BH142" s="225">
        <v>0</v>
      </c>
      <c r="BI142" s="225">
        <v>0</v>
      </c>
      <c r="BJ142" s="248"/>
      <c r="BK142" s="248"/>
      <c r="BL142" s="248"/>
      <c r="BM142" s="248">
        <f t="shared" si="73"/>
        <v>15</v>
      </c>
      <c r="BN142" s="249"/>
      <c r="BO142" s="225"/>
      <c r="BP142" s="248"/>
      <c r="BQ142" s="249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7">
        <f t="shared" si="63"/>
        <v>15</v>
      </c>
      <c r="CD142" s="244"/>
      <c r="CE142" s="244"/>
      <c r="CF142" s="244"/>
    </row>
    <row r="143" spans="1:84" x14ac:dyDescent="0.2">
      <c r="A143" s="245" t="s">
        <v>31</v>
      </c>
      <c r="B143" s="246" t="s">
        <v>87</v>
      </c>
      <c r="C143" s="246" t="s">
        <v>108</v>
      </c>
      <c r="D143" s="246" t="s">
        <v>158</v>
      </c>
      <c r="E143" s="247" t="s">
        <v>200</v>
      </c>
      <c r="F143" s="247" t="s">
        <v>711</v>
      </c>
      <c r="G143" s="233" t="str">
        <f t="shared" si="83"/>
        <v>1</v>
      </c>
      <c r="H143" s="233" t="str">
        <f t="shared" si="84"/>
        <v>0</v>
      </c>
      <c r="I143" s="233" t="str">
        <f t="shared" si="85"/>
        <v>0</v>
      </c>
      <c r="J143" s="233" t="str">
        <f t="shared" si="86"/>
        <v>0</v>
      </c>
      <c r="K143" s="233" t="str">
        <f t="shared" si="87"/>
        <v>1000</v>
      </c>
      <c r="L143" s="247" t="str">
        <f t="shared" si="88"/>
        <v>26007046Diagnostic Review 17-18</v>
      </c>
      <c r="M143" s="225">
        <v>19500</v>
      </c>
      <c r="N143" s="225">
        <v>-12700</v>
      </c>
      <c r="O143" s="225"/>
      <c r="P143" s="225"/>
      <c r="Q143" s="225">
        <f t="shared" si="89"/>
        <v>6800</v>
      </c>
      <c r="R143" s="225"/>
      <c r="S143" s="225">
        <v>0</v>
      </c>
      <c r="T143" s="225"/>
      <c r="U143" s="225">
        <v>-4225</v>
      </c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>
        <f t="shared" si="90"/>
        <v>2575</v>
      </c>
      <c r="AG143" s="225"/>
      <c r="AH143" s="225">
        <v>0</v>
      </c>
      <c r="AI143" s="225"/>
      <c r="AJ143" s="225"/>
      <c r="AK143" s="225"/>
      <c r="AL143" s="225"/>
      <c r="AM143" s="225"/>
      <c r="AN143" s="225">
        <v>0</v>
      </c>
      <c r="AO143" s="225">
        <v>0</v>
      </c>
      <c r="AP143" s="225"/>
      <c r="AQ143" s="225"/>
      <c r="AR143" s="225"/>
      <c r="AS143" s="225"/>
      <c r="AT143" s="248">
        <v>0</v>
      </c>
      <c r="AU143" s="248">
        <v>0</v>
      </c>
      <c r="AV143" s="248">
        <v>0</v>
      </c>
      <c r="AW143" s="227">
        <f t="shared" si="91"/>
        <v>2575</v>
      </c>
      <c r="AX143" s="249">
        <v>0</v>
      </c>
      <c r="AY143" s="225">
        <v>0</v>
      </c>
      <c r="AZ143" s="227"/>
      <c r="BA143" s="250">
        <v>0</v>
      </c>
      <c r="BB143" s="225">
        <v>0</v>
      </c>
      <c r="BC143" s="225">
        <v>0</v>
      </c>
      <c r="BD143" s="225">
        <v>0</v>
      </c>
      <c r="BE143" s="225"/>
      <c r="BF143" s="225"/>
      <c r="BG143" s="225">
        <v>0</v>
      </c>
      <c r="BH143" s="225">
        <v>0</v>
      </c>
      <c r="BI143" s="225">
        <v>0</v>
      </c>
      <c r="BJ143" s="248"/>
      <c r="BK143" s="248"/>
      <c r="BL143" s="248"/>
      <c r="BM143" s="248">
        <f t="shared" si="73"/>
        <v>2575</v>
      </c>
      <c r="BN143" s="249"/>
      <c r="BO143" s="225"/>
      <c r="BP143" s="248"/>
      <c r="BQ143" s="249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7">
        <f t="shared" si="63"/>
        <v>2575</v>
      </c>
      <c r="CD143" s="244"/>
      <c r="CE143" s="244"/>
      <c r="CF143" s="244"/>
    </row>
    <row r="144" spans="1:84" x14ac:dyDescent="0.2">
      <c r="A144" s="245" t="s">
        <v>382</v>
      </c>
      <c r="B144" s="246" t="s">
        <v>364</v>
      </c>
      <c r="C144" s="246" t="s">
        <v>606</v>
      </c>
      <c r="D144" s="246" t="s">
        <v>592</v>
      </c>
      <c r="E144" s="247" t="s">
        <v>201</v>
      </c>
      <c r="F144" s="247" t="s">
        <v>711</v>
      </c>
      <c r="G144" s="233" t="str">
        <f t="shared" si="83"/>
        <v>0</v>
      </c>
      <c r="H144" s="233" t="str">
        <f t="shared" si="84"/>
        <v>1</v>
      </c>
      <c r="I144" s="233" t="str">
        <f t="shared" si="85"/>
        <v>0</v>
      </c>
      <c r="J144" s="233" t="str">
        <f t="shared" si="86"/>
        <v>0</v>
      </c>
      <c r="K144" s="233" t="str">
        <f t="shared" si="87"/>
        <v>0100</v>
      </c>
      <c r="L144" s="247" t="str">
        <f t="shared" si="88"/>
        <v>26400430Diagnostic Review 18-19</v>
      </c>
      <c r="M144" s="225"/>
      <c r="N144" s="225"/>
      <c r="O144" s="225"/>
      <c r="P144" s="225"/>
      <c r="Q144" s="225">
        <f t="shared" si="89"/>
        <v>0</v>
      </c>
      <c r="R144" s="225"/>
      <c r="S144" s="225">
        <v>63562</v>
      </c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>
        <f t="shared" si="90"/>
        <v>63562</v>
      </c>
      <c r="AG144" s="225"/>
      <c r="AH144" s="225">
        <v>0</v>
      </c>
      <c r="AI144" s="225"/>
      <c r="AJ144" s="225"/>
      <c r="AK144" s="225"/>
      <c r="AL144" s="225"/>
      <c r="AM144" s="225"/>
      <c r="AN144" s="225">
        <v>0</v>
      </c>
      <c r="AO144" s="225">
        <v>0</v>
      </c>
      <c r="AP144" s="225"/>
      <c r="AQ144" s="225"/>
      <c r="AR144" s="225"/>
      <c r="AS144" s="225"/>
      <c r="AT144" s="248">
        <v>0</v>
      </c>
      <c r="AU144" s="248">
        <v>0</v>
      </c>
      <c r="AV144" s="248">
        <v>0</v>
      </c>
      <c r="AW144" s="227">
        <f t="shared" si="91"/>
        <v>63562</v>
      </c>
      <c r="AX144" s="249">
        <v>0</v>
      </c>
      <c r="AY144" s="225">
        <v>0</v>
      </c>
      <c r="AZ144" s="227"/>
      <c r="BA144" s="250">
        <v>0</v>
      </c>
      <c r="BB144" s="225">
        <v>0</v>
      </c>
      <c r="BC144" s="225">
        <v>0</v>
      </c>
      <c r="BD144" s="225">
        <v>0</v>
      </c>
      <c r="BE144" s="225"/>
      <c r="BF144" s="225"/>
      <c r="BG144" s="225">
        <v>0</v>
      </c>
      <c r="BH144" s="225">
        <v>0</v>
      </c>
      <c r="BI144" s="225">
        <v>0</v>
      </c>
      <c r="BJ144" s="248"/>
      <c r="BK144" s="248"/>
      <c r="BL144" s="248"/>
      <c r="BM144" s="248">
        <f t="shared" si="73"/>
        <v>63562</v>
      </c>
      <c r="BN144" s="249"/>
      <c r="BO144" s="225"/>
      <c r="BP144" s="248"/>
      <c r="BQ144" s="249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7">
        <f t="shared" si="63"/>
        <v>63562</v>
      </c>
      <c r="CD144" s="244"/>
      <c r="CE144" s="244"/>
      <c r="CF144" s="244"/>
    </row>
    <row r="145" spans="1:84" x14ac:dyDescent="0.2">
      <c r="A145" s="245" t="s">
        <v>19</v>
      </c>
      <c r="B145" s="246" t="s">
        <v>365</v>
      </c>
      <c r="C145" s="246" t="s">
        <v>98</v>
      </c>
      <c r="D145" s="246" t="s">
        <v>593</v>
      </c>
      <c r="E145" s="247" t="s">
        <v>201</v>
      </c>
      <c r="F145" s="247" t="s">
        <v>711</v>
      </c>
      <c r="G145" s="233" t="str">
        <f t="shared" si="83"/>
        <v>0</v>
      </c>
      <c r="H145" s="233" t="str">
        <f t="shared" si="84"/>
        <v>1</v>
      </c>
      <c r="I145" s="233" t="str">
        <f t="shared" si="85"/>
        <v>0</v>
      </c>
      <c r="J145" s="233" t="str">
        <f t="shared" si="86"/>
        <v>0</v>
      </c>
      <c r="K145" s="233" t="str">
        <f t="shared" si="87"/>
        <v>0100</v>
      </c>
      <c r="L145" s="247" t="str">
        <f t="shared" si="88"/>
        <v>26901488Diagnostic Review 18-19</v>
      </c>
      <c r="M145" s="225"/>
      <c r="N145" s="225"/>
      <c r="O145" s="225"/>
      <c r="P145" s="225"/>
      <c r="Q145" s="225">
        <f t="shared" si="89"/>
        <v>0</v>
      </c>
      <c r="R145" s="225"/>
      <c r="S145" s="225">
        <v>49939</v>
      </c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>
        <f t="shared" si="90"/>
        <v>49939</v>
      </c>
      <c r="AG145" s="225"/>
      <c r="AH145" s="225">
        <v>0</v>
      </c>
      <c r="AI145" s="225"/>
      <c r="AJ145" s="225"/>
      <c r="AK145" s="225"/>
      <c r="AL145" s="225"/>
      <c r="AM145" s="225"/>
      <c r="AN145" s="225">
        <v>0</v>
      </c>
      <c r="AO145" s="225">
        <v>-20650</v>
      </c>
      <c r="AP145" s="225"/>
      <c r="AQ145" s="225"/>
      <c r="AR145" s="225"/>
      <c r="AS145" s="225"/>
      <c r="AT145" s="248">
        <v>0</v>
      </c>
      <c r="AU145" s="248">
        <v>0</v>
      </c>
      <c r="AV145" s="248">
        <v>0</v>
      </c>
      <c r="AW145" s="227">
        <f t="shared" si="91"/>
        <v>29289</v>
      </c>
      <c r="AX145" s="249">
        <v>0</v>
      </c>
      <c r="AY145" s="225">
        <v>0</v>
      </c>
      <c r="AZ145" s="227"/>
      <c r="BA145" s="250">
        <v>0</v>
      </c>
      <c r="BB145" s="225">
        <v>0</v>
      </c>
      <c r="BC145" s="225">
        <v>0</v>
      </c>
      <c r="BD145" s="225">
        <v>0</v>
      </c>
      <c r="BE145" s="225">
        <v>-19200</v>
      </c>
      <c r="BF145" s="225"/>
      <c r="BG145" s="225">
        <v>0</v>
      </c>
      <c r="BH145" s="225">
        <v>0</v>
      </c>
      <c r="BI145" s="225">
        <v>0</v>
      </c>
      <c r="BJ145" s="248"/>
      <c r="BK145" s="248"/>
      <c r="BL145" s="248"/>
      <c r="BM145" s="248">
        <f t="shared" ref="BM145:BM176" si="92">SUM(AW145:BL145)</f>
        <v>10089</v>
      </c>
      <c r="BN145" s="249"/>
      <c r="BO145" s="225"/>
      <c r="BP145" s="248"/>
      <c r="BQ145" s="249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7">
        <f t="shared" ref="CC145:CC208" si="93">SUM(BM145:CB145)</f>
        <v>10089</v>
      </c>
      <c r="CD145" s="244"/>
      <c r="CE145" s="244"/>
      <c r="CF145" s="244"/>
    </row>
    <row r="146" spans="1:84" x14ac:dyDescent="0.2">
      <c r="A146" s="245" t="s">
        <v>19</v>
      </c>
      <c r="B146" s="247" t="s">
        <v>748</v>
      </c>
      <c r="C146" s="246" t="s">
        <v>98</v>
      </c>
      <c r="D146" s="246" t="s">
        <v>111</v>
      </c>
      <c r="E146" s="247" t="s">
        <v>755</v>
      </c>
      <c r="F146" s="247"/>
      <c r="G146" s="233"/>
      <c r="H146" s="233"/>
      <c r="I146" s="233"/>
      <c r="J146" s="233"/>
      <c r="K146" s="233"/>
      <c r="L146" s="247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48"/>
      <c r="AU146" s="248"/>
      <c r="AV146" s="248"/>
      <c r="AW146" s="227"/>
      <c r="AX146" s="249"/>
      <c r="AY146" s="225"/>
      <c r="AZ146" s="227">
        <v>74600</v>
      </c>
      <c r="BA146" s="250"/>
      <c r="BB146" s="225"/>
      <c r="BC146" s="225"/>
      <c r="BD146" s="225"/>
      <c r="BE146" s="225"/>
      <c r="BF146" s="225"/>
      <c r="BG146" s="225"/>
      <c r="BH146" s="225"/>
      <c r="BI146" s="225"/>
      <c r="BJ146" s="248"/>
      <c r="BK146" s="248"/>
      <c r="BL146" s="248"/>
      <c r="BM146" s="248">
        <f t="shared" si="92"/>
        <v>74600</v>
      </c>
      <c r="BN146" s="249"/>
      <c r="BO146" s="225"/>
      <c r="BP146" s="248"/>
      <c r="BQ146" s="249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7">
        <f t="shared" si="93"/>
        <v>74600</v>
      </c>
      <c r="CD146" s="244"/>
      <c r="CE146" s="244"/>
      <c r="CF146" s="244"/>
    </row>
    <row r="147" spans="1:84" x14ac:dyDescent="0.2">
      <c r="A147" s="245" t="s">
        <v>332</v>
      </c>
      <c r="B147" s="247" t="s">
        <v>768</v>
      </c>
      <c r="C147" s="246" t="s">
        <v>334</v>
      </c>
      <c r="D147" s="246" t="s">
        <v>769</v>
      </c>
      <c r="E147" s="247" t="s">
        <v>755</v>
      </c>
      <c r="F147" s="247"/>
      <c r="G147" s="233"/>
      <c r="H147" s="233"/>
      <c r="I147" s="233"/>
      <c r="J147" s="233"/>
      <c r="K147" s="233"/>
      <c r="L147" s="247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48"/>
      <c r="AU147" s="248"/>
      <c r="AV147" s="248"/>
      <c r="AW147" s="227"/>
      <c r="AX147" s="249"/>
      <c r="AY147" s="225"/>
      <c r="AZ147" s="227">
        <v>6084</v>
      </c>
      <c r="BA147" s="250"/>
      <c r="BB147" s="225"/>
      <c r="BC147" s="225"/>
      <c r="BD147" s="225"/>
      <c r="BE147" s="225"/>
      <c r="BF147" s="225"/>
      <c r="BG147" s="225"/>
      <c r="BH147" s="225"/>
      <c r="BI147" s="225"/>
      <c r="BJ147" s="248"/>
      <c r="BK147" s="248"/>
      <c r="BL147" s="248"/>
      <c r="BM147" s="248">
        <f t="shared" si="92"/>
        <v>6084</v>
      </c>
      <c r="BN147" s="249"/>
      <c r="BO147" s="225"/>
      <c r="BP147" s="248">
        <v>13916</v>
      </c>
      <c r="BQ147" s="249"/>
      <c r="BR147" s="225"/>
      <c r="BS147" s="225">
        <v>-3034.73</v>
      </c>
      <c r="BT147" s="225"/>
      <c r="BU147" s="225"/>
      <c r="BV147" s="225">
        <v>-1528.81</v>
      </c>
      <c r="BW147" s="225"/>
      <c r="BX147" s="225"/>
      <c r="BY147" s="225"/>
      <c r="BZ147" s="225"/>
      <c r="CA147" s="225"/>
      <c r="CB147" s="225"/>
      <c r="CC147" s="227">
        <f t="shared" si="93"/>
        <v>15436.460000000001</v>
      </c>
      <c r="CD147" s="244"/>
      <c r="CE147" s="244"/>
      <c r="CF147" s="244"/>
    </row>
    <row r="148" spans="1:84" x14ac:dyDescent="0.2">
      <c r="A148" s="245" t="s">
        <v>20</v>
      </c>
      <c r="B148" s="246" t="s">
        <v>45</v>
      </c>
      <c r="C148" s="246" t="s">
        <v>99</v>
      </c>
      <c r="D148" s="246" t="s">
        <v>121</v>
      </c>
      <c r="E148" s="247" t="s">
        <v>200</v>
      </c>
      <c r="F148" s="247" t="s">
        <v>711</v>
      </c>
      <c r="G148" s="233" t="str">
        <f>IF(M148&gt;0, "1", "0")</f>
        <v>1</v>
      </c>
      <c r="H148" s="233" t="str">
        <f>IF(S148&gt;0, "1", "0")</f>
        <v>0</v>
      </c>
      <c r="I148" s="233" t="str">
        <f>IF(AI148&gt;0, "1", "0")</f>
        <v>0</v>
      </c>
      <c r="J148" s="233" t="str">
        <f>IF(AZ148&gt;0, "1", "0")</f>
        <v>0</v>
      </c>
      <c r="K148" s="233" t="str">
        <f>CONCATENATE(G148,H148,I148,J148)</f>
        <v>1000</v>
      </c>
      <c r="L148" s="247" t="str">
        <f>A148&amp;B148&amp;E148</f>
        <v>27602522Diagnostic Review 17-18</v>
      </c>
      <c r="M148" s="225">
        <v>50000</v>
      </c>
      <c r="N148" s="225"/>
      <c r="O148" s="225"/>
      <c r="P148" s="225"/>
      <c r="Q148" s="225">
        <f>SUM(M148:P148)</f>
        <v>50000</v>
      </c>
      <c r="R148" s="225"/>
      <c r="S148" s="225">
        <v>0</v>
      </c>
      <c r="T148" s="225">
        <v>-18000</v>
      </c>
      <c r="U148" s="225"/>
      <c r="V148" s="225"/>
      <c r="W148" s="225">
        <v>-25910</v>
      </c>
      <c r="X148" s="225"/>
      <c r="Y148" s="225"/>
      <c r="Z148" s="225"/>
      <c r="AA148" s="225"/>
      <c r="AB148" s="225"/>
      <c r="AC148" s="225"/>
      <c r="AD148" s="225"/>
      <c r="AE148" s="225"/>
      <c r="AF148" s="225">
        <f>SUM(Q148:AE148)</f>
        <v>6090</v>
      </c>
      <c r="AG148" s="225"/>
      <c r="AH148" s="225">
        <v>0</v>
      </c>
      <c r="AI148" s="225"/>
      <c r="AJ148" s="225"/>
      <c r="AK148" s="225"/>
      <c r="AL148" s="225"/>
      <c r="AM148" s="225"/>
      <c r="AN148" s="225">
        <v>0</v>
      </c>
      <c r="AO148" s="225">
        <v>0</v>
      </c>
      <c r="AP148" s="225"/>
      <c r="AQ148" s="225"/>
      <c r="AR148" s="225"/>
      <c r="AS148" s="225"/>
      <c r="AT148" s="248">
        <v>0</v>
      </c>
      <c r="AU148" s="248">
        <v>0</v>
      </c>
      <c r="AV148" s="248">
        <v>-6090</v>
      </c>
      <c r="AW148" s="227">
        <f>SUM(AF148:AV148)</f>
        <v>0</v>
      </c>
      <c r="AX148" s="249">
        <v>0</v>
      </c>
      <c r="AY148" s="225">
        <v>0</v>
      </c>
      <c r="AZ148" s="227"/>
      <c r="BA148" s="250">
        <v>0</v>
      </c>
      <c r="BB148" s="225">
        <v>0</v>
      </c>
      <c r="BC148" s="225">
        <v>0</v>
      </c>
      <c r="BD148" s="225">
        <v>0</v>
      </c>
      <c r="BE148" s="225"/>
      <c r="BF148" s="225"/>
      <c r="BG148" s="225">
        <v>0</v>
      </c>
      <c r="BH148" s="225">
        <v>0</v>
      </c>
      <c r="BI148" s="225">
        <v>0</v>
      </c>
      <c r="BJ148" s="248"/>
      <c r="BK148" s="248"/>
      <c r="BL148" s="248"/>
      <c r="BM148" s="248">
        <f t="shared" si="92"/>
        <v>0</v>
      </c>
      <c r="BN148" s="249"/>
      <c r="BO148" s="225"/>
      <c r="BP148" s="248"/>
      <c r="BQ148" s="249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7">
        <f t="shared" si="93"/>
        <v>0</v>
      </c>
      <c r="CD148" s="244"/>
      <c r="CE148" s="244"/>
      <c r="CF148" s="244"/>
    </row>
    <row r="149" spans="1:84" x14ac:dyDescent="0.2">
      <c r="A149" s="245" t="s">
        <v>20</v>
      </c>
      <c r="B149" s="247" t="s">
        <v>45</v>
      </c>
      <c r="C149" s="246" t="s">
        <v>99</v>
      </c>
      <c r="D149" s="246" t="s">
        <v>121</v>
      </c>
      <c r="E149" s="247" t="s">
        <v>456</v>
      </c>
      <c r="F149" s="247"/>
      <c r="G149" s="233"/>
      <c r="H149" s="233"/>
      <c r="I149" s="233"/>
      <c r="J149" s="233"/>
      <c r="K149" s="233"/>
      <c r="L149" s="247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48"/>
      <c r="AU149" s="248"/>
      <c r="AV149" s="248"/>
      <c r="AW149" s="227"/>
      <c r="AX149" s="249"/>
      <c r="AY149" s="225"/>
      <c r="AZ149" s="227">
        <v>22068</v>
      </c>
      <c r="BA149" s="250"/>
      <c r="BB149" s="225"/>
      <c r="BC149" s="225"/>
      <c r="BD149" s="225"/>
      <c r="BE149" s="225"/>
      <c r="BF149" s="225"/>
      <c r="BG149" s="225"/>
      <c r="BH149" s="225"/>
      <c r="BI149" s="225"/>
      <c r="BJ149" s="248"/>
      <c r="BK149" s="248"/>
      <c r="BL149" s="248"/>
      <c r="BM149" s="248">
        <f t="shared" si="92"/>
        <v>22068</v>
      </c>
      <c r="BN149" s="249"/>
      <c r="BO149" s="225"/>
      <c r="BP149" s="248">
        <v>49941</v>
      </c>
      <c r="BQ149" s="249"/>
      <c r="BR149" s="225"/>
      <c r="BS149" s="225"/>
      <c r="BT149" s="225"/>
      <c r="BU149" s="225"/>
      <c r="BV149" s="225">
        <v>-22068</v>
      </c>
      <c r="BW149" s="225"/>
      <c r="BX149" s="225"/>
      <c r="BY149" s="225"/>
      <c r="BZ149" s="225"/>
      <c r="CA149" s="225"/>
      <c r="CB149" s="225"/>
      <c r="CC149" s="227">
        <f t="shared" si="93"/>
        <v>49941</v>
      </c>
      <c r="CD149" s="244"/>
      <c r="CE149" s="244"/>
      <c r="CF149" s="244"/>
    </row>
    <row r="150" spans="1:84" x14ac:dyDescent="0.2">
      <c r="A150" s="245" t="s">
        <v>702</v>
      </c>
      <c r="B150" s="247" t="s">
        <v>703</v>
      </c>
      <c r="C150" s="246" t="s">
        <v>704</v>
      </c>
      <c r="D150" s="246" t="s">
        <v>705</v>
      </c>
      <c r="E150" s="247" t="s">
        <v>755</v>
      </c>
      <c r="F150" s="247"/>
      <c r="G150" s="233"/>
      <c r="H150" s="233"/>
      <c r="I150" s="233"/>
      <c r="J150" s="233"/>
      <c r="K150" s="233"/>
      <c r="L150" s="247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48"/>
      <c r="AU150" s="248"/>
      <c r="AV150" s="248"/>
      <c r="AW150" s="227"/>
      <c r="AX150" s="249"/>
      <c r="AY150" s="225"/>
      <c r="AZ150" s="227">
        <v>30000</v>
      </c>
      <c r="BA150" s="250"/>
      <c r="BB150" s="225"/>
      <c r="BC150" s="225"/>
      <c r="BD150" s="225"/>
      <c r="BE150" s="225"/>
      <c r="BF150" s="225"/>
      <c r="BG150" s="225"/>
      <c r="BH150" s="225"/>
      <c r="BI150" s="225"/>
      <c r="BJ150" s="248"/>
      <c r="BK150" s="248"/>
      <c r="BL150" s="248"/>
      <c r="BM150" s="248">
        <f t="shared" si="92"/>
        <v>30000</v>
      </c>
      <c r="BN150" s="249"/>
      <c r="BO150" s="225"/>
      <c r="BP150" s="248">
        <v>10000</v>
      </c>
      <c r="BQ150" s="249"/>
      <c r="BR150" s="225"/>
      <c r="BS150" s="225">
        <v>-28841.67</v>
      </c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7">
        <f t="shared" si="93"/>
        <v>11158.330000000002</v>
      </c>
      <c r="CD150" s="244"/>
      <c r="CE150" s="244"/>
      <c r="CF150" s="244"/>
    </row>
    <row r="151" spans="1:84" x14ac:dyDescent="0.2">
      <c r="A151" s="245" t="s">
        <v>383</v>
      </c>
      <c r="B151" s="246" t="s">
        <v>366</v>
      </c>
      <c r="C151" s="246" t="s">
        <v>607</v>
      </c>
      <c r="D151" s="246" t="s">
        <v>594</v>
      </c>
      <c r="E151" s="247" t="s">
        <v>201</v>
      </c>
      <c r="F151" s="247" t="s">
        <v>711</v>
      </c>
      <c r="G151" s="233" t="str">
        <f>IF(M151&gt;0, "1", "0")</f>
        <v>0</v>
      </c>
      <c r="H151" s="233" t="str">
        <f>IF(S151&gt;0, "1", "0")</f>
        <v>1</v>
      </c>
      <c r="I151" s="233" t="str">
        <f>IF(AI151&gt;0, "1", "0")</f>
        <v>0</v>
      </c>
      <c r="J151" s="233" t="str">
        <f>IF(AZ151&gt;0, "1", "0")</f>
        <v>0</v>
      </c>
      <c r="K151" s="233" t="str">
        <f>CONCATENATE(G151,H151,I151,J151)</f>
        <v>0100</v>
      </c>
      <c r="L151" s="247" t="str">
        <f>A151&amp;B151&amp;E151</f>
        <v>30008372Diagnostic Review 18-19</v>
      </c>
      <c r="M151" s="225"/>
      <c r="N151" s="225"/>
      <c r="O151" s="225"/>
      <c r="P151" s="225"/>
      <c r="Q151" s="225">
        <f>SUM(M151:P151)</f>
        <v>0</v>
      </c>
      <c r="R151" s="225"/>
      <c r="S151" s="225">
        <v>55050</v>
      </c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>
        <v>-20973</v>
      </c>
      <c r="AF151" s="225">
        <f>SUM(Q151:AE151)</f>
        <v>34077</v>
      </c>
      <c r="AG151" s="225"/>
      <c r="AH151" s="225">
        <v>0</v>
      </c>
      <c r="AI151" s="225"/>
      <c r="AJ151" s="225"/>
      <c r="AK151" s="225"/>
      <c r="AL151" s="225"/>
      <c r="AM151" s="225"/>
      <c r="AN151" s="225">
        <v>0</v>
      </c>
      <c r="AO151" s="225">
        <v>0</v>
      </c>
      <c r="AP151" s="225"/>
      <c r="AQ151" s="225">
        <v>-19500</v>
      </c>
      <c r="AR151" s="225"/>
      <c r="AS151" s="225">
        <v>-5125</v>
      </c>
      <c r="AT151" s="248">
        <v>0</v>
      </c>
      <c r="AU151" s="248">
        <v>0</v>
      </c>
      <c r="AV151" s="248">
        <v>0</v>
      </c>
      <c r="AW151" s="227">
        <f>SUM(AF151:AV151)</f>
        <v>9452</v>
      </c>
      <c r="AX151" s="249">
        <v>0</v>
      </c>
      <c r="AY151" s="225">
        <v>0</v>
      </c>
      <c r="AZ151" s="227"/>
      <c r="BA151" s="250">
        <v>0</v>
      </c>
      <c r="BB151" s="225">
        <v>0</v>
      </c>
      <c r="BC151" s="225">
        <v>0</v>
      </c>
      <c r="BD151" s="225">
        <v>0</v>
      </c>
      <c r="BE151" s="225"/>
      <c r="BF151" s="225"/>
      <c r="BG151" s="225">
        <v>0</v>
      </c>
      <c r="BH151" s="225">
        <v>0</v>
      </c>
      <c r="BI151" s="225">
        <v>0</v>
      </c>
      <c r="BJ151" s="248"/>
      <c r="BK151" s="248"/>
      <c r="BL151" s="248"/>
      <c r="BM151" s="248">
        <f t="shared" si="92"/>
        <v>9452</v>
      </c>
      <c r="BN151" s="249"/>
      <c r="BO151" s="225"/>
      <c r="BP151" s="248"/>
      <c r="BQ151" s="249"/>
      <c r="BR151" s="225"/>
      <c r="BS151" s="225" t="s">
        <v>701</v>
      </c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7">
        <f t="shared" si="93"/>
        <v>9452</v>
      </c>
      <c r="CD151" s="244"/>
      <c r="CE151" s="244"/>
      <c r="CF151" s="244"/>
    </row>
    <row r="152" spans="1:84" x14ac:dyDescent="0.2">
      <c r="A152" s="245" t="s">
        <v>383</v>
      </c>
      <c r="B152" s="246" t="s">
        <v>367</v>
      </c>
      <c r="C152" s="246" t="s">
        <v>607</v>
      </c>
      <c r="D152" s="246" t="s">
        <v>595</v>
      </c>
      <c r="E152" s="247" t="s">
        <v>201</v>
      </c>
      <c r="F152" s="247" t="s">
        <v>711</v>
      </c>
      <c r="G152" s="233" t="str">
        <f>IF(M152&gt;0, "1", "0")</f>
        <v>0</v>
      </c>
      <c r="H152" s="233" t="str">
        <f>IF(S152&gt;0, "1", "0")</f>
        <v>1</v>
      </c>
      <c r="I152" s="233" t="str">
        <f>IF(AI152&gt;0, "1", "0")</f>
        <v>0</v>
      </c>
      <c r="J152" s="233" t="str">
        <f>IF(AZ152&gt;0, "1", "0")</f>
        <v>0</v>
      </c>
      <c r="K152" s="233" t="str">
        <f>CONCATENATE(G152,H152,I152,J152)</f>
        <v>0100</v>
      </c>
      <c r="L152" s="247" t="str">
        <f>A152&amp;B152&amp;E152</f>
        <v>30008376Diagnostic Review 18-19</v>
      </c>
      <c r="M152" s="225"/>
      <c r="N152" s="225"/>
      <c r="O152" s="225"/>
      <c r="P152" s="225"/>
      <c r="Q152" s="225">
        <f>SUM(M152:P152)</f>
        <v>0</v>
      </c>
      <c r="R152" s="225"/>
      <c r="S152" s="225">
        <v>56750</v>
      </c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>
        <v>-22220</v>
      </c>
      <c r="AF152" s="225">
        <f>SUM(Q152:AE152)</f>
        <v>34530</v>
      </c>
      <c r="AG152" s="225"/>
      <c r="AH152" s="225">
        <v>0</v>
      </c>
      <c r="AI152" s="225"/>
      <c r="AJ152" s="225"/>
      <c r="AK152" s="225"/>
      <c r="AL152" s="225"/>
      <c r="AM152" s="225"/>
      <c r="AN152" s="225">
        <v>0</v>
      </c>
      <c r="AO152" s="225">
        <v>0</v>
      </c>
      <c r="AP152" s="225"/>
      <c r="AQ152" s="225">
        <v>-19500</v>
      </c>
      <c r="AR152" s="225"/>
      <c r="AS152" s="225">
        <v>-5125</v>
      </c>
      <c r="AT152" s="248">
        <v>0</v>
      </c>
      <c r="AU152" s="248">
        <v>0</v>
      </c>
      <c r="AV152" s="248">
        <v>-577.65</v>
      </c>
      <c r="AW152" s="227">
        <f>SUM(AF152:AV152)</f>
        <v>9327.35</v>
      </c>
      <c r="AX152" s="249">
        <v>0</v>
      </c>
      <c r="AY152" s="225">
        <v>0</v>
      </c>
      <c r="AZ152" s="227"/>
      <c r="BA152" s="250">
        <v>0</v>
      </c>
      <c r="BB152" s="225">
        <v>-9327.35</v>
      </c>
      <c r="BC152" s="225">
        <v>0</v>
      </c>
      <c r="BD152" s="225">
        <v>0</v>
      </c>
      <c r="BE152" s="225"/>
      <c r="BF152" s="225"/>
      <c r="BG152" s="225">
        <v>0</v>
      </c>
      <c r="BH152" s="225">
        <v>0</v>
      </c>
      <c r="BI152" s="225">
        <v>0</v>
      </c>
      <c r="BJ152" s="248"/>
      <c r="BK152" s="248"/>
      <c r="BL152" s="248"/>
      <c r="BM152" s="248">
        <f t="shared" si="92"/>
        <v>0</v>
      </c>
      <c r="BN152" s="249"/>
      <c r="BO152" s="225"/>
      <c r="BP152" s="248"/>
      <c r="BQ152" s="249"/>
      <c r="BR152" s="225"/>
      <c r="BS152" s="225"/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7">
        <f t="shared" si="93"/>
        <v>0</v>
      </c>
      <c r="CD152" s="244"/>
      <c r="CE152" s="244"/>
      <c r="CF152" s="244"/>
    </row>
    <row r="153" spans="1:84" x14ac:dyDescent="0.2">
      <c r="A153" s="245" t="s">
        <v>384</v>
      </c>
      <c r="B153" s="246" t="s">
        <v>368</v>
      </c>
      <c r="C153" s="246" t="s">
        <v>608</v>
      </c>
      <c r="D153" s="246" t="s">
        <v>596</v>
      </c>
      <c r="E153" s="247" t="s">
        <v>201</v>
      </c>
      <c r="F153" s="247" t="s">
        <v>711</v>
      </c>
      <c r="G153" s="233" t="str">
        <f>IF(M153&gt;0, "1", "0")</f>
        <v>0</v>
      </c>
      <c r="H153" s="233" t="str">
        <f>IF(S153&gt;0, "1", "0")</f>
        <v>1</v>
      </c>
      <c r="I153" s="233" t="str">
        <f>IF(AI153&gt;0, "1", "0")</f>
        <v>0</v>
      </c>
      <c r="J153" s="233" t="str">
        <f>IF(AZ153&gt;0, "1", "0")</f>
        <v>0</v>
      </c>
      <c r="K153" s="233" t="str">
        <f>CONCATENATE(G153,H153,I153,J153)</f>
        <v>0100</v>
      </c>
      <c r="L153" s="247" t="str">
        <f>A153&amp;B153&amp;E153</f>
        <v>31106963Diagnostic Review 18-19</v>
      </c>
      <c r="M153" s="225"/>
      <c r="N153" s="225"/>
      <c r="O153" s="225"/>
      <c r="P153" s="225"/>
      <c r="Q153" s="225">
        <f>SUM(M153:P153)</f>
        <v>0</v>
      </c>
      <c r="R153" s="225"/>
      <c r="S153" s="225">
        <v>49968</v>
      </c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>
        <v>-20100</v>
      </c>
      <c r="AD153" s="225"/>
      <c r="AE153" s="225"/>
      <c r="AF153" s="225">
        <f>SUM(Q153:AE153)</f>
        <v>29868</v>
      </c>
      <c r="AG153" s="225"/>
      <c r="AH153" s="225">
        <v>0</v>
      </c>
      <c r="AI153" s="225"/>
      <c r="AJ153" s="225">
        <v>-20405</v>
      </c>
      <c r="AK153" s="225"/>
      <c r="AL153" s="225"/>
      <c r="AM153" s="225">
        <v>-6349</v>
      </c>
      <c r="AN153" s="225">
        <v>0</v>
      </c>
      <c r="AO153" s="225">
        <v>-911</v>
      </c>
      <c r="AP153" s="225"/>
      <c r="AQ153" s="225"/>
      <c r="AR153" s="225"/>
      <c r="AS153" s="225"/>
      <c r="AT153" s="248">
        <v>0</v>
      </c>
      <c r="AU153" s="248">
        <v>0</v>
      </c>
      <c r="AV153" s="248">
        <v>0</v>
      </c>
      <c r="AW153" s="227">
        <f>SUM(AF153:AV153)</f>
        <v>2203</v>
      </c>
      <c r="AX153" s="249">
        <v>0</v>
      </c>
      <c r="AY153" s="225">
        <v>0</v>
      </c>
      <c r="AZ153" s="227"/>
      <c r="BA153" s="250">
        <v>0</v>
      </c>
      <c r="BB153" s="225">
        <v>0</v>
      </c>
      <c r="BC153" s="225">
        <v>0</v>
      </c>
      <c r="BD153" s="225">
        <v>0</v>
      </c>
      <c r="BE153" s="225"/>
      <c r="BF153" s="225"/>
      <c r="BG153" s="225">
        <v>0</v>
      </c>
      <c r="BH153" s="225">
        <v>0</v>
      </c>
      <c r="BI153" s="225">
        <v>0</v>
      </c>
      <c r="BJ153" s="248"/>
      <c r="BK153" s="248"/>
      <c r="BL153" s="248"/>
      <c r="BM153" s="248">
        <f t="shared" si="92"/>
        <v>2203</v>
      </c>
      <c r="BN153" s="249"/>
      <c r="BO153" s="225"/>
      <c r="BP153" s="248"/>
      <c r="BQ153" s="249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7">
        <f t="shared" si="93"/>
        <v>2203</v>
      </c>
      <c r="CD153" s="244"/>
      <c r="CE153" s="244"/>
      <c r="CF153" s="244"/>
    </row>
    <row r="154" spans="1:84" x14ac:dyDescent="0.2">
      <c r="A154" s="245" t="s">
        <v>21</v>
      </c>
      <c r="B154" s="246" t="s">
        <v>46</v>
      </c>
      <c r="C154" s="246" t="s">
        <v>100</v>
      </c>
      <c r="D154" s="246" t="s">
        <v>122</v>
      </c>
      <c r="E154" s="247" t="s">
        <v>200</v>
      </c>
      <c r="F154" s="247" t="s">
        <v>711</v>
      </c>
      <c r="G154" s="233" t="str">
        <f>IF(M154&gt;0, "1", "0")</f>
        <v>1</v>
      </c>
      <c r="H154" s="233" t="str">
        <f>IF(S154&gt;0, "1", "0")</f>
        <v>0</v>
      </c>
      <c r="I154" s="233" t="str">
        <f>IF(AI154&gt;0, "1", "0")</f>
        <v>0</v>
      </c>
      <c r="J154" s="233" t="str">
        <f>IF(AZ154&gt;0, "1", "0")</f>
        <v>0</v>
      </c>
      <c r="K154" s="233" t="str">
        <f>CONCATENATE(G154,H154,I154,J154)</f>
        <v>1000</v>
      </c>
      <c r="L154" s="247" t="str">
        <f>A154&amp;B154&amp;E154</f>
        <v>31200052Diagnostic Review 17-18</v>
      </c>
      <c r="M154" s="225">
        <v>38104</v>
      </c>
      <c r="N154" s="225">
        <v>-28534</v>
      </c>
      <c r="O154" s="225">
        <v>-1347</v>
      </c>
      <c r="P154" s="225"/>
      <c r="Q154" s="225">
        <f>SUM(M154:P154)</f>
        <v>8223</v>
      </c>
      <c r="R154" s="225"/>
      <c r="S154" s="225">
        <v>0</v>
      </c>
      <c r="T154" s="225"/>
      <c r="U154" s="225"/>
      <c r="V154" s="225">
        <v>-8223</v>
      </c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>
        <f>SUM(Q154:AE154)</f>
        <v>0</v>
      </c>
      <c r="AG154" s="225"/>
      <c r="AH154" s="225">
        <v>0</v>
      </c>
      <c r="AI154" s="225"/>
      <c r="AJ154" s="225"/>
      <c r="AK154" s="225"/>
      <c r="AL154" s="225"/>
      <c r="AM154" s="225"/>
      <c r="AN154" s="225">
        <v>0</v>
      </c>
      <c r="AO154" s="225">
        <v>0</v>
      </c>
      <c r="AP154" s="225"/>
      <c r="AQ154" s="225"/>
      <c r="AR154" s="225"/>
      <c r="AS154" s="225"/>
      <c r="AT154" s="248">
        <v>0</v>
      </c>
      <c r="AU154" s="248">
        <v>0</v>
      </c>
      <c r="AV154" s="248">
        <v>0</v>
      </c>
      <c r="AW154" s="227">
        <f>SUM(AF154:AV154)</f>
        <v>0</v>
      </c>
      <c r="AX154" s="249">
        <v>0</v>
      </c>
      <c r="AY154" s="225">
        <v>0</v>
      </c>
      <c r="AZ154" s="227"/>
      <c r="BA154" s="250">
        <v>0</v>
      </c>
      <c r="BB154" s="225">
        <v>0</v>
      </c>
      <c r="BC154" s="225">
        <v>0</v>
      </c>
      <c r="BD154" s="225">
        <v>0</v>
      </c>
      <c r="BE154" s="225"/>
      <c r="BF154" s="225"/>
      <c r="BG154" s="225">
        <v>0</v>
      </c>
      <c r="BH154" s="225">
        <v>0</v>
      </c>
      <c r="BI154" s="225">
        <v>0</v>
      </c>
      <c r="BJ154" s="248"/>
      <c r="BK154" s="248"/>
      <c r="BL154" s="248"/>
      <c r="BM154" s="248">
        <f t="shared" si="92"/>
        <v>0</v>
      </c>
      <c r="BN154" s="249"/>
      <c r="BO154" s="225"/>
      <c r="BP154" s="248"/>
      <c r="BQ154" s="249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7">
        <f t="shared" si="93"/>
        <v>0</v>
      </c>
      <c r="CD154" s="244"/>
      <c r="CE154" s="244"/>
      <c r="CF154" s="244"/>
    </row>
    <row r="155" spans="1:84" x14ac:dyDescent="0.2">
      <c r="A155" s="245" t="s">
        <v>21</v>
      </c>
      <c r="B155" s="246" t="s">
        <v>47</v>
      </c>
      <c r="C155" s="246" t="s">
        <v>100</v>
      </c>
      <c r="D155" s="246" t="s">
        <v>123</v>
      </c>
      <c r="E155" s="247" t="s">
        <v>200</v>
      </c>
      <c r="F155" s="247" t="s">
        <v>711</v>
      </c>
      <c r="G155" s="233" t="str">
        <f>IF(M155&gt;0, "1", "0")</f>
        <v>1</v>
      </c>
      <c r="H155" s="233" t="str">
        <f>IF(S155&gt;0, "1", "0")</f>
        <v>0</v>
      </c>
      <c r="I155" s="233" t="str">
        <f>IF(AI155&gt;0, "1", "0")</f>
        <v>0</v>
      </c>
      <c r="J155" s="233" t="str">
        <f>IF(AZ155&gt;0, "1", "0")</f>
        <v>0</v>
      </c>
      <c r="K155" s="233" t="str">
        <f>CONCATENATE(G155,H155,I155,J155)</f>
        <v>1000</v>
      </c>
      <c r="L155" s="247" t="str">
        <f>A155&amp;B155&amp;E155</f>
        <v>31207700Diagnostic Review 17-18</v>
      </c>
      <c r="M155" s="225">
        <v>50000</v>
      </c>
      <c r="N155" s="225">
        <v>-28534</v>
      </c>
      <c r="O155" s="225">
        <v>-686</v>
      </c>
      <c r="P155" s="225"/>
      <c r="Q155" s="225">
        <f>SUM(M155:P155)</f>
        <v>20780</v>
      </c>
      <c r="R155" s="225"/>
      <c r="S155" s="225">
        <v>0</v>
      </c>
      <c r="T155" s="225"/>
      <c r="U155" s="225"/>
      <c r="V155" s="225">
        <v>-6968</v>
      </c>
      <c r="W155" s="225">
        <v>-13812</v>
      </c>
      <c r="X155" s="225"/>
      <c r="Y155" s="225"/>
      <c r="Z155" s="225"/>
      <c r="AA155" s="225"/>
      <c r="AB155" s="225"/>
      <c r="AC155" s="225"/>
      <c r="AD155" s="225"/>
      <c r="AE155" s="225"/>
      <c r="AF155" s="225">
        <f>SUM(Q155:AE155)</f>
        <v>0</v>
      </c>
      <c r="AG155" s="225"/>
      <c r="AH155" s="225">
        <v>0</v>
      </c>
      <c r="AI155" s="225"/>
      <c r="AJ155" s="225"/>
      <c r="AK155" s="225"/>
      <c r="AL155" s="225"/>
      <c r="AM155" s="225"/>
      <c r="AN155" s="225">
        <v>0</v>
      </c>
      <c r="AO155" s="225">
        <v>0</v>
      </c>
      <c r="AP155" s="225"/>
      <c r="AQ155" s="225"/>
      <c r="AR155" s="225"/>
      <c r="AS155" s="225"/>
      <c r="AT155" s="248">
        <v>0</v>
      </c>
      <c r="AU155" s="248">
        <v>0</v>
      </c>
      <c r="AV155" s="248">
        <v>0</v>
      </c>
      <c r="AW155" s="227">
        <f>SUM(AF155:AV155)</f>
        <v>0</v>
      </c>
      <c r="AX155" s="249">
        <v>0</v>
      </c>
      <c r="AY155" s="225">
        <v>0</v>
      </c>
      <c r="AZ155" s="227"/>
      <c r="BA155" s="250">
        <v>0</v>
      </c>
      <c r="BB155" s="225">
        <v>0</v>
      </c>
      <c r="BC155" s="225">
        <v>0</v>
      </c>
      <c r="BD155" s="225">
        <v>0</v>
      </c>
      <c r="BE155" s="225"/>
      <c r="BF155" s="225"/>
      <c r="BG155" s="225">
        <v>0</v>
      </c>
      <c r="BH155" s="225">
        <v>0</v>
      </c>
      <c r="BI155" s="225">
        <v>0</v>
      </c>
      <c r="BJ155" s="248"/>
      <c r="BK155" s="248"/>
      <c r="BL155" s="248"/>
      <c r="BM155" s="248">
        <f t="shared" si="92"/>
        <v>0</v>
      </c>
      <c r="BN155" s="249"/>
      <c r="BO155" s="225"/>
      <c r="BP155" s="248"/>
      <c r="BQ155" s="249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7">
        <f t="shared" si="93"/>
        <v>0</v>
      </c>
      <c r="CD155" s="244"/>
      <c r="CE155" s="244"/>
      <c r="CF155" s="244"/>
    </row>
    <row r="156" spans="1:84" x14ac:dyDescent="0.2">
      <c r="A156" s="245" t="s">
        <v>21</v>
      </c>
      <c r="B156" s="247" t="s">
        <v>764</v>
      </c>
      <c r="C156" s="246" t="s">
        <v>100</v>
      </c>
      <c r="D156" s="246" t="s">
        <v>765</v>
      </c>
      <c r="E156" s="247" t="s">
        <v>755</v>
      </c>
      <c r="F156" s="247"/>
      <c r="G156" s="233"/>
      <c r="H156" s="233"/>
      <c r="I156" s="233"/>
      <c r="J156" s="233"/>
      <c r="K156" s="233"/>
      <c r="L156" s="247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48"/>
      <c r="AU156" s="248"/>
      <c r="AV156" s="248"/>
      <c r="AW156" s="227"/>
      <c r="AX156" s="249"/>
      <c r="AY156" s="225"/>
      <c r="AZ156" s="227">
        <v>12450</v>
      </c>
      <c r="BA156" s="250"/>
      <c r="BB156" s="225"/>
      <c r="BC156" s="225"/>
      <c r="BD156" s="225"/>
      <c r="BE156" s="225"/>
      <c r="BF156" s="225"/>
      <c r="BG156" s="225"/>
      <c r="BH156" s="225"/>
      <c r="BI156" s="225"/>
      <c r="BJ156" s="248"/>
      <c r="BK156" s="248"/>
      <c r="BL156" s="248"/>
      <c r="BM156" s="248">
        <f t="shared" si="92"/>
        <v>12450</v>
      </c>
      <c r="BN156" s="249"/>
      <c r="BO156" s="225"/>
      <c r="BP156" s="248">
        <v>24975</v>
      </c>
      <c r="BQ156" s="249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7">
        <f t="shared" si="93"/>
        <v>37425</v>
      </c>
      <c r="CD156" s="244"/>
      <c r="CE156" s="244"/>
      <c r="CF156" s="244"/>
    </row>
    <row r="157" spans="1:84" x14ac:dyDescent="0.2">
      <c r="A157" s="245" t="s">
        <v>21</v>
      </c>
      <c r="B157" s="246" t="s">
        <v>369</v>
      </c>
      <c r="C157" s="246" t="s">
        <v>100</v>
      </c>
      <c r="D157" s="246" t="s">
        <v>597</v>
      </c>
      <c r="E157" s="247" t="s">
        <v>201</v>
      </c>
      <c r="F157" s="247" t="s">
        <v>711</v>
      </c>
      <c r="G157" s="233" t="str">
        <f t="shared" ref="G157:G197" si="94">IF(M157&gt;0, "1", "0")</f>
        <v>0</v>
      </c>
      <c r="H157" s="233" t="str">
        <f t="shared" ref="H157:H197" si="95">IF(S157&gt;0, "1", "0")</f>
        <v>1</v>
      </c>
      <c r="I157" s="233" t="str">
        <f t="shared" ref="I157:I197" si="96">IF(AI157&gt;0, "1", "0")</f>
        <v>0</v>
      </c>
      <c r="J157" s="233" t="str">
        <f t="shared" ref="J157:J197" si="97">IF(AZ157&gt;0, "1", "0")</f>
        <v>0</v>
      </c>
      <c r="K157" s="233" t="str">
        <f t="shared" ref="K157:K197" si="98">CONCATENATE(G157,H157,I157,J157)</f>
        <v>0100</v>
      </c>
      <c r="L157" s="247" t="str">
        <f t="shared" ref="L157:L197" si="99">A157&amp;B157&amp;E157</f>
        <v>31208965Diagnostic Review 18-19</v>
      </c>
      <c r="M157" s="225"/>
      <c r="N157" s="225"/>
      <c r="O157" s="225"/>
      <c r="P157" s="225"/>
      <c r="Q157" s="225">
        <f t="shared" ref="Q157:Q197" si="100">SUM(M157:P157)</f>
        <v>0</v>
      </c>
      <c r="R157" s="225"/>
      <c r="S157" s="225">
        <v>26745</v>
      </c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>
        <f t="shared" ref="AF157:AF197" si="101">SUM(Q157:AE157)</f>
        <v>26745</v>
      </c>
      <c r="AG157" s="225"/>
      <c r="AH157" s="225">
        <v>0</v>
      </c>
      <c r="AI157" s="225"/>
      <c r="AJ157" s="225"/>
      <c r="AK157" s="225"/>
      <c r="AL157" s="225"/>
      <c r="AM157" s="225">
        <v>-21747.599999999999</v>
      </c>
      <c r="AN157" s="225">
        <v>0</v>
      </c>
      <c r="AO157" s="225">
        <v>0</v>
      </c>
      <c r="AP157" s="225"/>
      <c r="AQ157" s="225"/>
      <c r="AR157" s="225"/>
      <c r="AS157" s="225"/>
      <c r="AT157" s="248">
        <v>-4910</v>
      </c>
      <c r="AU157" s="248">
        <v>0</v>
      </c>
      <c r="AV157" s="248">
        <v>0</v>
      </c>
      <c r="AW157" s="227">
        <f t="shared" ref="AW157:AW197" si="102">SUM(AF157:AV157)</f>
        <v>87.400000000001455</v>
      </c>
      <c r="AX157" s="249">
        <v>0</v>
      </c>
      <c r="AY157" s="225">
        <v>0</v>
      </c>
      <c r="AZ157" s="227"/>
      <c r="BA157" s="250">
        <v>0</v>
      </c>
      <c r="BB157" s="225">
        <v>0</v>
      </c>
      <c r="BC157" s="225">
        <v>0</v>
      </c>
      <c r="BD157" s="225">
        <v>0</v>
      </c>
      <c r="BE157" s="225"/>
      <c r="BF157" s="225"/>
      <c r="BG157" s="225">
        <v>0</v>
      </c>
      <c r="BH157" s="225">
        <v>0</v>
      </c>
      <c r="BI157" s="225">
        <v>0</v>
      </c>
      <c r="BJ157" s="248"/>
      <c r="BK157" s="248"/>
      <c r="BL157" s="248"/>
      <c r="BM157" s="248">
        <f t="shared" si="92"/>
        <v>87.400000000001455</v>
      </c>
      <c r="BN157" s="249"/>
      <c r="BO157" s="225"/>
      <c r="BP157" s="248"/>
      <c r="BQ157" s="249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7">
        <f t="shared" si="93"/>
        <v>87.400000000001455</v>
      </c>
      <c r="CD157" s="244"/>
      <c r="CE157" s="244"/>
      <c r="CF157" s="244"/>
    </row>
    <row r="158" spans="1:84" x14ac:dyDescent="0.2">
      <c r="A158" s="245" t="s">
        <v>385</v>
      </c>
      <c r="B158" s="246" t="s">
        <v>370</v>
      </c>
      <c r="C158" s="246" t="s">
        <v>526</v>
      </c>
      <c r="D158" s="246" t="s">
        <v>598</v>
      </c>
      <c r="E158" s="247" t="s">
        <v>201</v>
      </c>
      <c r="F158" s="247" t="s">
        <v>711</v>
      </c>
      <c r="G158" s="233" t="str">
        <f t="shared" si="94"/>
        <v>0</v>
      </c>
      <c r="H158" s="233" t="str">
        <f t="shared" si="95"/>
        <v>1</v>
      </c>
      <c r="I158" s="233" t="str">
        <f t="shared" si="96"/>
        <v>0</v>
      </c>
      <c r="J158" s="233" t="str">
        <f t="shared" si="97"/>
        <v>0</v>
      </c>
      <c r="K158" s="233" t="str">
        <f t="shared" si="98"/>
        <v>0100</v>
      </c>
      <c r="L158" s="247" t="str">
        <f t="shared" si="99"/>
        <v>31403066Diagnostic Review 18-19</v>
      </c>
      <c r="M158" s="225"/>
      <c r="N158" s="225"/>
      <c r="O158" s="225"/>
      <c r="P158" s="225"/>
      <c r="Q158" s="225">
        <f t="shared" si="100"/>
        <v>0</v>
      </c>
      <c r="R158" s="225"/>
      <c r="S158" s="225">
        <v>60197</v>
      </c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>
        <f t="shared" si="101"/>
        <v>60197</v>
      </c>
      <c r="AG158" s="225"/>
      <c r="AH158" s="225">
        <v>0</v>
      </c>
      <c r="AI158" s="225"/>
      <c r="AJ158" s="225"/>
      <c r="AK158" s="225"/>
      <c r="AL158" s="225"/>
      <c r="AM158" s="225"/>
      <c r="AN158" s="225">
        <v>-44221.46</v>
      </c>
      <c r="AO158" s="225">
        <v>0</v>
      </c>
      <c r="AP158" s="225"/>
      <c r="AQ158" s="225"/>
      <c r="AR158" s="225"/>
      <c r="AS158" s="225">
        <v>-15975.54</v>
      </c>
      <c r="AT158" s="248">
        <v>0</v>
      </c>
      <c r="AU158" s="248">
        <v>0</v>
      </c>
      <c r="AV158" s="248">
        <v>0</v>
      </c>
      <c r="AW158" s="227">
        <f t="shared" si="102"/>
        <v>0</v>
      </c>
      <c r="AX158" s="249">
        <v>0</v>
      </c>
      <c r="AY158" s="225">
        <v>0</v>
      </c>
      <c r="AZ158" s="227"/>
      <c r="BA158" s="250">
        <v>0</v>
      </c>
      <c r="BB158" s="225">
        <v>0</v>
      </c>
      <c r="BC158" s="225">
        <v>0</v>
      </c>
      <c r="BD158" s="225">
        <v>0</v>
      </c>
      <c r="BE158" s="225"/>
      <c r="BF158" s="225"/>
      <c r="BG158" s="225">
        <v>0</v>
      </c>
      <c r="BH158" s="225">
        <v>0</v>
      </c>
      <c r="BI158" s="225">
        <v>0</v>
      </c>
      <c r="BJ158" s="248"/>
      <c r="BK158" s="248"/>
      <c r="BL158" s="248"/>
      <c r="BM158" s="248">
        <f t="shared" si="92"/>
        <v>0</v>
      </c>
      <c r="BN158" s="249"/>
      <c r="BO158" s="225"/>
      <c r="BP158" s="248"/>
      <c r="BQ158" s="249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7">
        <f t="shared" si="93"/>
        <v>0</v>
      </c>
      <c r="CD158" s="244"/>
      <c r="CE158" s="244"/>
      <c r="CF158" s="244"/>
    </row>
    <row r="159" spans="1:84" x14ac:dyDescent="0.2">
      <c r="A159" s="245" t="s">
        <v>386</v>
      </c>
      <c r="B159" s="246" t="s">
        <v>645</v>
      </c>
      <c r="C159" s="246" t="s">
        <v>527</v>
      </c>
      <c r="D159" s="246" t="s">
        <v>653</v>
      </c>
      <c r="E159" s="247" t="s">
        <v>202</v>
      </c>
      <c r="F159" s="247" t="s">
        <v>711</v>
      </c>
      <c r="G159" s="233" t="str">
        <f t="shared" si="94"/>
        <v>0</v>
      </c>
      <c r="H159" s="233" t="str">
        <f t="shared" si="95"/>
        <v>0</v>
      </c>
      <c r="I159" s="233" t="str">
        <f t="shared" si="96"/>
        <v>1</v>
      </c>
      <c r="J159" s="233" t="str">
        <f t="shared" si="97"/>
        <v>0</v>
      </c>
      <c r="K159" s="233" t="str">
        <f t="shared" si="98"/>
        <v>0010</v>
      </c>
      <c r="L159" s="247" t="str">
        <f t="shared" si="99"/>
        <v>80014699Diagnostic Review 19-20</v>
      </c>
      <c r="M159" s="225"/>
      <c r="N159" s="225"/>
      <c r="O159" s="225"/>
      <c r="P159" s="225"/>
      <c r="Q159" s="225">
        <f t="shared" si="100"/>
        <v>0</v>
      </c>
      <c r="R159" s="225"/>
      <c r="S159" s="225">
        <v>0</v>
      </c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>
        <f t="shared" si="101"/>
        <v>0</v>
      </c>
      <c r="AG159" s="225"/>
      <c r="AH159" s="225">
        <v>0</v>
      </c>
      <c r="AI159" s="225">
        <v>58144</v>
      </c>
      <c r="AJ159" s="225"/>
      <c r="AK159" s="225"/>
      <c r="AL159" s="225"/>
      <c r="AM159" s="225"/>
      <c r="AN159" s="225">
        <v>0</v>
      </c>
      <c r="AO159" s="225">
        <v>0</v>
      </c>
      <c r="AP159" s="225"/>
      <c r="AQ159" s="225"/>
      <c r="AR159" s="225"/>
      <c r="AS159" s="225"/>
      <c r="AT159" s="248">
        <v>0</v>
      </c>
      <c r="AU159" s="248">
        <v>0</v>
      </c>
      <c r="AV159" s="248">
        <v>0</v>
      </c>
      <c r="AW159" s="227">
        <f t="shared" si="102"/>
        <v>58144</v>
      </c>
      <c r="AX159" s="249">
        <v>0</v>
      </c>
      <c r="AY159" s="225">
        <v>0</v>
      </c>
      <c r="AZ159" s="227"/>
      <c r="BA159" s="250">
        <v>-12075.333000000001</v>
      </c>
      <c r="BB159" s="225">
        <v>0</v>
      </c>
      <c r="BC159" s="225">
        <v>-819</v>
      </c>
      <c r="BD159" s="225">
        <v>0</v>
      </c>
      <c r="BE159" s="225"/>
      <c r="BF159" s="225"/>
      <c r="BG159" s="225">
        <v>-8570.6666000000005</v>
      </c>
      <c r="BH159" s="225">
        <v>0</v>
      </c>
      <c r="BI159" s="225">
        <v>-864</v>
      </c>
      <c r="BJ159" s="248">
        <v>-216</v>
      </c>
      <c r="BK159" s="248"/>
      <c r="BL159" s="248">
        <v>-432</v>
      </c>
      <c r="BM159" s="248">
        <f t="shared" si="92"/>
        <v>35167.000400000004</v>
      </c>
      <c r="BN159" s="249"/>
      <c r="BO159" s="225"/>
      <c r="BP159" s="248"/>
      <c r="BQ159" s="249"/>
      <c r="BR159" s="225">
        <v>-432</v>
      </c>
      <c r="BS159" s="225"/>
      <c r="BT159" s="225"/>
      <c r="BU159" s="225"/>
      <c r="BV159" s="225"/>
      <c r="BW159" s="225"/>
      <c r="BX159" s="225"/>
      <c r="BY159" s="296">
        <v>-1581</v>
      </c>
      <c r="BZ159" s="225"/>
      <c r="CA159" s="225"/>
      <c r="CB159" s="225"/>
      <c r="CC159" s="227">
        <f t="shared" si="93"/>
        <v>33154.000400000004</v>
      </c>
      <c r="CD159" s="244"/>
      <c r="CE159" s="244"/>
      <c r="CF159" s="244"/>
    </row>
    <row r="160" spans="1:84" x14ac:dyDescent="0.2">
      <c r="A160" s="245" t="s">
        <v>386</v>
      </c>
      <c r="B160" s="246" t="s">
        <v>644</v>
      </c>
      <c r="C160" s="246" t="s">
        <v>527</v>
      </c>
      <c r="D160" s="246" t="s">
        <v>656</v>
      </c>
      <c r="E160" s="247" t="s">
        <v>202</v>
      </c>
      <c r="F160" s="247" t="s">
        <v>711</v>
      </c>
      <c r="G160" s="233" t="str">
        <f t="shared" si="94"/>
        <v>0</v>
      </c>
      <c r="H160" s="233" t="str">
        <f t="shared" si="95"/>
        <v>0</v>
      </c>
      <c r="I160" s="233" t="str">
        <f t="shared" si="96"/>
        <v>1</v>
      </c>
      <c r="J160" s="233" t="str">
        <f t="shared" si="97"/>
        <v>0</v>
      </c>
      <c r="K160" s="233" t="str">
        <f t="shared" si="98"/>
        <v>0010</v>
      </c>
      <c r="L160" s="247" t="str">
        <f t="shared" si="99"/>
        <v>80016219Diagnostic Review 19-20</v>
      </c>
      <c r="M160" s="225"/>
      <c r="N160" s="225"/>
      <c r="O160" s="225"/>
      <c r="P160" s="225"/>
      <c r="Q160" s="225">
        <f t="shared" si="100"/>
        <v>0</v>
      </c>
      <c r="R160" s="225"/>
      <c r="S160" s="225">
        <v>0</v>
      </c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>
        <f t="shared" si="101"/>
        <v>0</v>
      </c>
      <c r="AG160" s="225"/>
      <c r="AH160" s="225">
        <v>0</v>
      </c>
      <c r="AI160" s="225">
        <v>58144</v>
      </c>
      <c r="AJ160" s="225"/>
      <c r="AK160" s="225"/>
      <c r="AL160" s="225"/>
      <c r="AM160" s="225"/>
      <c r="AN160" s="225">
        <v>0</v>
      </c>
      <c r="AO160" s="225">
        <v>0</v>
      </c>
      <c r="AP160" s="225"/>
      <c r="AQ160" s="225"/>
      <c r="AR160" s="225"/>
      <c r="AS160" s="225"/>
      <c r="AT160" s="248">
        <v>0</v>
      </c>
      <c r="AU160" s="248">
        <v>0</v>
      </c>
      <c r="AV160" s="248">
        <v>0</v>
      </c>
      <c r="AW160" s="227">
        <f t="shared" si="102"/>
        <v>58144</v>
      </c>
      <c r="AX160" s="249">
        <v>0</v>
      </c>
      <c r="AY160" s="225">
        <v>0</v>
      </c>
      <c r="AZ160" s="227"/>
      <c r="BA160" s="250">
        <v>-12075.333000000001</v>
      </c>
      <c r="BB160" s="225">
        <v>0</v>
      </c>
      <c r="BC160" s="225">
        <v>-819</v>
      </c>
      <c r="BD160" s="225">
        <v>0</v>
      </c>
      <c r="BE160" s="225"/>
      <c r="BF160" s="225"/>
      <c r="BG160" s="225">
        <v>-8570.6666000000005</v>
      </c>
      <c r="BH160" s="225">
        <v>0</v>
      </c>
      <c r="BI160" s="225">
        <v>-864</v>
      </c>
      <c r="BJ160" s="248">
        <v>-216</v>
      </c>
      <c r="BK160" s="248"/>
      <c r="BL160" s="248">
        <v>-432</v>
      </c>
      <c r="BM160" s="248">
        <f t="shared" si="92"/>
        <v>35167.000400000004</v>
      </c>
      <c r="BN160" s="249"/>
      <c r="BO160" s="225"/>
      <c r="BP160" s="248"/>
      <c r="BQ160" s="249"/>
      <c r="BR160" s="225">
        <v>-432</v>
      </c>
      <c r="BS160" s="225"/>
      <c r="BT160" s="225"/>
      <c r="BU160" s="225"/>
      <c r="BV160" s="225"/>
      <c r="BW160" s="225"/>
      <c r="BX160" s="225"/>
      <c r="BY160" s="296">
        <v>-1581</v>
      </c>
      <c r="BZ160" s="225"/>
      <c r="CA160" s="225"/>
      <c r="CB160" s="225"/>
      <c r="CC160" s="227">
        <f t="shared" si="93"/>
        <v>33154.000400000004</v>
      </c>
      <c r="CD160" s="244"/>
      <c r="CE160" s="244"/>
      <c r="CF160" s="244"/>
    </row>
    <row r="161" spans="1:84" x14ac:dyDescent="0.2">
      <c r="A161" s="245" t="s">
        <v>386</v>
      </c>
      <c r="B161" s="246" t="s">
        <v>643</v>
      </c>
      <c r="C161" s="246" t="s">
        <v>527</v>
      </c>
      <c r="D161" s="246" t="s">
        <v>652</v>
      </c>
      <c r="E161" s="247" t="s">
        <v>202</v>
      </c>
      <c r="F161" s="247" t="s">
        <v>711</v>
      </c>
      <c r="G161" s="233" t="str">
        <f t="shared" si="94"/>
        <v>0</v>
      </c>
      <c r="H161" s="233" t="str">
        <f t="shared" si="95"/>
        <v>0</v>
      </c>
      <c r="I161" s="233" t="str">
        <f t="shared" si="96"/>
        <v>1</v>
      </c>
      <c r="J161" s="233" t="str">
        <f t="shared" si="97"/>
        <v>0</v>
      </c>
      <c r="K161" s="233" t="str">
        <f t="shared" si="98"/>
        <v>0010</v>
      </c>
      <c r="L161" s="247" t="str">
        <f t="shared" si="99"/>
        <v>80016237Diagnostic Review 19-20</v>
      </c>
      <c r="M161" s="225"/>
      <c r="N161" s="225"/>
      <c r="O161" s="225"/>
      <c r="P161" s="225"/>
      <c r="Q161" s="225">
        <f t="shared" si="100"/>
        <v>0</v>
      </c>
      <c r="R161" s="225"/>
      <c r="S161" s="225">
        <v>0</v>
      </c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>
        <f t="shared" si="101"/>
        <v>0</v>
      </c>
      <c r="AG161" s="225"/>
      <c r="AH161" s="225">
        <v>0</v>
      </c>
      <c r="AI161" s="225">
        <v>58144</v>
      </c>
      <c r="AJ161" s="225"/>
      <c r="AK161" s="225"/>
      <c r="AL161" s="225"/>
      <c r="AM161" s="225"/>
      <c r="AN161" s="225">
        <v>0</v>
      </c>
      <c r="AO161" s="225">
        <v>0</v>
      </c>
      <c r="AP161" s="225"/>
      <c r="AQ161" s="225"/>
      <c r="AR161" s="225"/>
      <c r="AS161" s="225"/>
      <c r="AT161" s="248">
        <v>0</v>
      </c>
      <c r="AU161" s="248">
        <v>0</v>
      </c>
      <c r="AV161" s="248">
        <v>0</v>
      </c>
      <c r="AW161" s="227">
        <f t="shared" si="102"/>
        <v>58144</v>
      </c>
      <c r="AX161" s="249">
        <v>0</v>
      </c>
      <c r="AY161" s="225">
        <v>0</v>
      </c>
      <c r="AZ161" s="227"/>
      <c r="BA161" s="250">
        <v>-12075.333000000001</v>
      </c>
      <c r="BB161" s="225">
        <v>0</v>
      </c>
      <c r="BC161" s="225">
        <v>-819</v>
      </c>
      <c r="BD161" s="225">
        <v>0</v>
      </c>
      <c r="BE161" s="225"/>
      <c r="BF161" s="225"/>
      <c r="BG161" s="225">
        <v>-8570.6666000000005</v>
      </c>
      <c r="BH161" s="225">
        <v>0</v>
      </c>
      <c r="BI161" s="225">
        <v>-864</v>
      </c>
      <c r="BJ161" s="248">
        <v>-216</v>
      </c>
      <c r="BK161" s="248"/>
      <c r="BL161" s="248">
        <v>-432</v>
      </c>
      <c r="BM161" s="248">
        <f t="shared" si="92"/>
        <v>35167.000400000004</v>
      </c>
      <c r="BN161" s="249"/>
      <c r="BO161" s="225"/>
      <c r="BP161" s="248"/>
      <c r="BQ161" s="249"/>
      <c r="BR161" s="225">
        <v>-432</v>
      </c>
      <c r="BS161" s="225"/>
      <c r="BT161" s="225"/>
      <c r="BU161" s="225"/>
      <c r="BV161" s="225"/>
      <c r="BW161" s="225"/>
      <c r="BX161" s="225"/>
      <c r="BY161" s="296">
        <v>-1581</v>
      </c>
      <c r="BZ161" s="225"/>
      <c r="CA161" s="225"/>
      <c r="CB161" s="225"/>
      <c r="CC161" s="227">
        <f t="shared" si="93"/>
        <v>33154.000400000004</v>
      </c>
      <c r="CD161" s="244"/>
      <c r="CE161" s="244"/>
      <c r="CF161" s="244"/>
    </row>
    <row r="162" spans="1:84" x14ac:dyDescent="0.2">
      <c r="A162" s="245" t="s">
        <v>386</v>
      </c>
      <c r="B162" s="246" t="s">
        <v>376</v>
      </c>
      <c r="C162" s="246" t="s">
        <v>527</v>
      </c>
      <c r="D162" s="246" t="s">
        <v>599</v>
      </c>
      <c r="E162" s="247" t="s">
        <v>201</v>
      </c>
      <c r="F162" s="247" t="s">
        <v>711</v>
      </c>
      <c r="G162" s="233" t="str">
        <f t="shared" si="94"/>
        <v>0</v>
      </c>
      <c r="H162" s="233" t="str">
        <f t="shared" si="95"/>
        <v>1</v>
      </c>
      <c r="I162" s="233" t="str">
        <f t="shared" si="96"/>
        <v>0</v>
      </c>
      <c r="J162" s="233" t="str">
        <f t="shared" si="97"/>
        <v>0</v>
      </c>
      <c r="K162" s="233" t="str">
        <f t="shared" si="98"/>
        <v>0100</v>
      </c>
      <c r="L162" s="247" t="str">
        <f t="shared" si="99"/>
        <v>80016266Diagnostic Review 18-19</v>
      </c>
      <c r="M162" s="225"/>
      <c r="N162" s="225"/>
      <c r="O162" s="225"/>
      <c r="P162" s="225"/>
      <c r="Q162" s="225">
        <f t="shared" si="100"/>
        <v>0</v>
      </c>
      <c r="R162" s="225"/>
      <c r="S162" s="225">
        <v>55700</v>
      </c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>
        <f t="shared" si="101"/>
        <v>55700</v>
      </c>
      <c r="AG162" s="225"/>
      <c r="AH162" s="225">
        <v>55000</v>
      </c>
      <c r="AI162" s="225"/>
      <c r="AJ162" s="225"/>
      <c r="AK162" s="225"/>
      <c r="AL162" s="225"/>
      <c r="AM162" s="225"/>
      <c r="AN162" s="225">
        <v>0</v>
      </c>
      <c r="AO162" s="225">
        <v>0</v>
      </c>
      <c r="AP162" s="225"/>
      <c r="AQ162" s="225">
        <v>-52200</v>
      </c>
      <c r="AR162" s="225"/>
      <c r="AS162" s="225"/>
      <c r="AT162" s="248">
        <v>0</v>
      </c>
      <c r="AU162" s="248">
        <v>0</v>
      </c>
      <c r="AV162" s="248">
        <v>0</v>
      </c>
      <c r="AW162" s="227">
        <f t="shared" si="102"/>
        <v>58500</v>
      </c>
      <c r="AX162" s="249">
        <v>0</v>
      </c>
      <c r="AY162" s="225">
        <v>0</v>
      </c>
      <c r="AZ162" s="227"/>
      <c r="BA162" s="250">
        <v>0</v>
      </c>
      <c r="BB162" s="225">
        <v>0</v>
      </c>
      <c r="BC162" s="225">
        <v>-9750</v>
      </c>
      <c r="BD162" s="225">
        <v>0</v>
      </c>
      <c r="BE162" s="225"/>
      <c r="BF162" s="225"/>
      <c r="BG162" s="225">
        <v>0</v>
      </c>
      <c r="BH162" s="225">
        <v>0</v>
      </c>
      <c r="BI162" s="225">
        <v>0</v>
      </c>
      <c r="BJ162" s="248"/>
      <c r="BK162" s="248"/>
      <c r="BL162" s="248" t="s">
        <v>701</v>
      </c>
      <c r="BM162" s="248">
        <f t="shared" si="92"/>
        <v>48750</v>
      </c>
      <c r="BN162" s="249"/>
      <c r="BO162" s="225"/>
      <c r="BP162" s="248"/>
      <c r="BQ162" s="249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7">
        <f t="shared" si="93"/>
        <v>48750</v>
      </c>
      <c r="CD162" s="244"/>
      <c r="CE162" s="244"/>
      <c r="CF162" s="244"/>
    </row>
    <row r="163" spans="1:84" x14ac:dyDescent="0.2">
      <c r="A163" s="245" t="s">
        <v>8</v>
      </c>
      <c r="B163" s="246" t="s">
        <v>34</v>
      </c>
      <c r="C163" s="246" t="s">
        <v>89</v>
      </c>
      <c r="D163" s="246" t="s">
        <v>111</v>
      </c>
      <c r="E163" s="247" t="s">
        <v>211</v>
      </c>
      <c r="F163" s="247" t="s">
        <v>712</v>
      </c>
      <c r="G163" s="233" t="str">
        <f t="shared" si="94"/>
        <v>1</v>
      </c>
      <c r="H163" s="233" t="str">
        <f t="shared" si="95"/>
        <v>0</v>
      </c>
      <c r="I163" s="233" t="str">
        <f t="shared" si="96"/>
        <v>0</v>
      </c>
      <c r="J163" s="233" t="str">
        <f t="shared" si="97"/>
        <v>0</v>
      </c>
      <c r="K163" s="233" t="str">
        <f t="shared" si="98"/>
        <v>1000</v>
      </c>
      <c r="L163" s="247" t="str">
        <f t="shared" si="99"/>
        <v>0010N/ADistrict Design and Led 17-20</v>
      </c>
      <c r="M163" s="225">
        <v>18704</v>
      </c>
      <c r="N163" s="255"/>
      <c r="O163" s="255"/>
      <c r="P163" s="255"/>
      <c r="Q163" s="225">
        <f t="shared" si="100"/>
        <v>18704</v>
      </c>
      <c r="R163" s="225">
        <v>82968</v>
      </c>
      <c r="S163" s="225">
        <v>0</v>
      </c>
      <c r="T163" s="255"/>
      <c r="U163" s="255"/>
      <c r="V163" s="225">
        <v>-5774</v>
      </c>
      <c r="W163" s="255"/>
      <c r="X163" s="225">
        <v>-2902</v>
      </c>
      <c r="Y163" s="225">
        <v>-9780</v>
      </c>
      <c r="Z163" s="255"/>
      <c r="AA163" s="225">
        <v>-12698</v>
      </c>
      <c r="AB163" s="255"/>
      <c r="AC163" s="225">
        <v>-18558</v>
      </c>
      <c r="AD163" s="255"/>
      <c r="AE163" s="255"/>
      <c r="AF163" s="225">
        <f t="shared" si="101"/>
        <v>51960</v>
      </c>
      <c r="AG163" s="225">
        <v>63579</v>
      </c>
      <c r="AH163" s="225">
        <v>0</v>
      </c>
      <c r="AI163" s="225"/>
      <c r="AJ163" s="255"/>
      <c r="AK163" s="255"/>
      <c r="AL163" s="255"/>
      <c r="AM163" s="255"/>
      <c r="AN163" s="225">
        <v>-2400</v>
      </c>
      <c r="AO163" s="255">
        <v>0</v>
      </c>
      <c r="AP163" s="225">
        <v>-9339.4</v>
      </c>
      <c r="AQ163" s="255"/>
      <c r="AR163" s="225">
        <v>-13622.83</v>
      </c>
      <c r="AS163" s="225"/>
      <c r="AT163" s="248">
        <v>-10392.529999999999</v>
      </c>
      <c r="AU163" s="248">
        <v>-5381.12</v>
      </c>
      <c r="AV163" s="248">
        <v>0</v>
      </c>
      <c r="AW163" s="227">
        <f t="shared" si="102"/>
        <v>74403.12000000001</v>
      </c>
      <c r="AX163" s="249">
        <v>0</v>
      </c>
      <c r="AY163" s="225">
        <v>0</v>
      </c>
      <c r="AZ163" s="227"/>
      <c r="BA163" s="250">
        <v>-3500</v>
      </c>
      <c r="BB163" s="225">
        <v>0</v>
      </c>
      <c r="BC163" s="255">
        <v>0</v>
      </c>
      <c r="BD163" s="225">
        <v>0</v>
      </c>
      <c r="BE163" s="255"/>
      <c r="BF163" s="225">
        <v>-2752.68</v>
      </c>
      <c r="BG163" s="255">
        <v>0</v>
      </c>
      <c r="BH163" s="225">
        <v>-4349.51</v>
      </c>
      <c r="BI163" s="225">
        <v>-7043.6900000000005</v>
      </c>
      <c r="BJ163" s="248">
        <v>-15528.83</v>
      </c>
      <c r="BK163" s="248">
        <v>-19608.490000000002</v>
      </c>
      <c r="BL163" s="248">
        <v>-13054.4</v>
      </c>
      <c r="BM163" s="248">
        <f t="shared" si="92"/>
        <v>8565.5200000000095</v>
      </c>
      <c r="BN163" s="249"/>
      <c r="BO163" s="225"/>
      <c r="BP163" s="248"/>
      <c r="BQ163" s="249">
        <v>-5208.42</v>
      </c>
      <c r="BR163" s="225">
        <v>-3357.1</v>
      </c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7">
        <f t="shared" si="93"/>
        <v>9.5496943686157465E-12</v>
      </c>
      <c r="CD163" s="244">
        <v>3357.100000000004</v>
      </c>
      <c r="CE163" s="244">
        <f t="shared" ref="CE163:CE194" si="103">CD163-CC163</f>
        <v>3357.0999999999945</v>
      </c>
      <c r="CF163" s="244"/>
    </row>
    <row r="164" spans="1:84" x14ac:dyDescent="0.2">
      <c r="A164" s="245" t="s">
        <v>9</v>
      </c>
      <c r="B164" s="246" t="s">
        <v>34</v>
      </c>
      <c r="C164" s="246" t="s">
        <v>90</v>
      </c>
      <c r="D164" s="246" t="s">
        <v>111</v>
      </c>
      <c r="E164" s="247" t="s">
        <v>211</v>
      </c>
      <c r="F164" s="247" t="s">
        <v>712</v>
      </c>
      <c r="G164" s="233" t="str">
        <f t="shared" si="94"/>
        <v>1</v>
      </c>
      <c r="H164" s="233" t="str">
        <f t="shared" si="95"/>
        <v>0</v>
      </c>
      <c r="I164" s="233" t="str">
        <f t="shared" si="96"/>
        <v>0</v>
      </c>
      <c r="J164" s="233" t="str">
        <f t="shared" si="97"/>
        <v>0</v>
      </c>
      <c r="K164" s="233" t="str">
        <f t="shared" si="98"/>
        <v>1000</v>
      </c>
      <c r="L164" s="247" t="str">
        <f t="shared" si="99"/>
        <v>0030N/ADistrict Design and Led 17-20</v>
      </c>
      <c r="M164" s="225">
        <v>25000</v>
      </c>
      <c r="N164" s="255"/>
      <c r="O164" s="255"/>
      <c r="P164" s="255"/>
      <c r="Q164" s="225">
        <f t="shared" si="100"/>
        <v>25000</v>
      </c>
      <c r="R164" s="225"/>
      <c r="S164" s="225">
        <v>0</v>
      </c>
      <c r="T164" s="255"/>
      <c r="U164" s="255"/>
      <c r="V164" s="255"/>
      <c r="W164" s="255"/>
      <c r="X164" s="255"/>
      <c r="Y164" s="255"/>
      <c r="Z164" s="255"/>
      <c r="AA164" s="255"/>
      <c r="AB164" s="255"/>
      <c r="AC164" s="225"/>
      <c r="AD164" s="225"/>
      <c r="AE164" s="255"/>
      <c r="AF164" s="225">
        <f t="shared" si="101"/>
        <v>25000</v>
      </c>
      <c r="AG164" s="255"/>
      <c r="AH164" s="255">
        <v>0</v>
      </c>
      <c r="AI164" s="255"/>
      <c r="AJ164" s="255"/>
      <c r="AK164" s="255"/>
      <c r="AL164" s="255"/>
      <c r="AM164" s="255"/>
      <c r="AN164" s="255">
        <v>0</v>
      </c>
      <c r="AO164" s="255">
        <v>0</v>
      </c>
      <c r="AP164" s="255"/>
      <c r="AQ164" s="255"/>
      <c r="AR164" s="255"/>
      <c r="AS164" s="255"/>
      <c r="AT164" s="256">
        <v>0</v>
      </c>
      <c r="AU164" s="256">
        <v>0</v>
      </c>
      <c r="AV164" s="256">
        <v>0</v>
      </c>
      <c r="AW164" s="227">
        <f t="shared" si="102"/>
        <v>25000</v>
      </c>
      <c r="AX164" s="257">
        <v>0</v>
      </c>
      <c r="AY164" s="255">
        <v>0</v>
      </c>
      <c r="AZ164" s="258"/>
      <c r="BA164" s="259">
        <v>0</v>
      </c>
      <c r="BB164" s="225">
        <v>0</v>
      </c>
      <c r="BC164" s="255">
        <v>0</v>
      </c>
      <c r="BD164" s="255">
        <v>0</v>
      </c>
      <c r="BE164" s="255"/>
      <c r="BF164" s="255"/>
      <c r="BG164" s="255">
        <v>0</v>
      </c>
      <c r="BH164" s="255">
        <v>0</v>
      </c>
      <c r="BI164" s="255">
        <v>0</v>
      </c>
      <c r="BJ164" s="256"/>
      <c r="BK164" s="256"/>
      <c r="BL164" s="256"/>
      <c r="BM164" s="248">
        <f t="shared" si="92"/>
        <v>25000</v>
      </c>
      <c r="BN164" s="257"/>
      <c r="BO164" s="255"/>
      <c r="BP164" s="256"/>
      <c r="BQ164" s="249"/>
      <c r="BR164" s="225"/>
      <c r="BS164" s="225">
        <v>-10978.89</v>
      </c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7">
        <f t="shared" si="93"/>
        <v>14021.11</v>
      </c>
      <c r="CD164" s="244">
        <v>27625</v>
      </c>
      <c r="CE164" s="244">
        <f t="shared" si="103"/>
        <v>13603.89</v>
      </c>
      <c r="CF164" s="244"/>
    </row>
    <row r="165" spans="1:84" x14ac:dyDescent="0.2">
      <c r="A165" s="245" t="s">
        <v>9</v>
      </c>
      <c r="B165" s="246" t="s">
        <v>34</v>
      </c>
      <c r="C165" s="246" t="s">
        <v>90</v>
      </c>
      <c r="D165" s="246" t="s">
        <v>111</v>
      </c>
      <c r="E165" s="247" t="s">
        <v>214</v>
      </c>
      <c r="F165" s="247" t="s">
        <v>712</v>
      </c>
      <c r="G165" s="233" t="str">
        <f t="shared" si="94"/>
        <v>0</v>
      </c>
      <c r="H165" s="233" t="str">
        <f t="shared" si="95"/>
        <v>0</v>
      </c>
      <c r="I165" s="233" t="str">
        <f t="shared" si="96"/>
        <v>1</v>
      </c>
      <c r="J165" s="233" t="str">
        <f t="shared" si="97"/>
        <v>0</v>
      </c>
      <c r="K165" s="233" t="str">
        <f t="shared" si="98"/>
        <v>0010</v>
      </c>
      <c r="L165" s="247" t="str">
        <f t="shared" si="99"/>
        <v>0030N/ADistrict Design and Led 19-22</v>
      </c>
      <c r="M165" s="255"/>
      <c r="N165" s="255"/>
      <c r="O165" s="255"/>
      <c r="P165" s="255"/>
      <c r="Q165" s="225">
        <f t="shared" si="100"/>
        <v>0</v>
      </c>
      <c r="R165" s="225"/>
      <c r="S165" s="225">
        <v>0</v>
      </c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25">
        <f t="shared" si="101"/>
        <v>0</v>
      </c>
      <c r="AG165" s="255"/>
      <c r="AH165" s="255">
        <v>0</v>
      </c>
      <c r="AI165" s="225">
        <v>27625</v>
      </c>
      <c r="AJ165" s="255"/>
      <c r="AK165" s="255"/>
      <c r="AL165" s="255"/>
      <c r="AM165" s="255"/>
      <c r="AN165" s="255">
        <v>0</v>
      </c>
      <c r="AO165" s="225">
        <v>0</v>
      </c>
      <c r="AP165" s="255"/>
      <c r="AQ165" s="255"/>
      <c r="AR165" s="255"/>
      <c r="AS165" s="255"/>
      <c r="AT165" s="256">
        <v>0</v>
      </c>
      <c r="AU165" s="256">
        <v>0</v>
      </c>
      <c r="AV165" s="256">
        <v>0</v>
      </c>
      <c r="AW165" s="227">
        <f t="shared" si="102"/>
        <v>27625</v>
      </c>
      <c r="AX165" s="257">
        <v>0</v>
      </c>
      <c r="AY165" s="255">
        <v>0</v>
      </c>
      <c r="AZ165" s="227"/>
      <c r="BA165" s="259">
        <v>0</v>
      </c>
      <c r="BB165" s="225">
        <v>0</v>
      </c>
      <c r="BC165" s="255">
        <v>0</v>
      </c>
      <c r="BD165" s="255">
        <v>0</v>
      </c>
      <c r="BE165" s="225"/>
      <c r="BF165" s="255"/>
      <c r="BG165" s="255">
        <v>0</v>
      </c>
      <c r="BH165" s="255">
        <v>0</v>
      </c>
      <c r="BI165" s="255">
        <v>0</v>
      </c>
      <c r="BJ165" s="256"/>
      <c r="BK165" s="256"/>
      <c r="BL165" s="256"/>
      <c r="BM165" s="248">
        <f t="shared" si="92"/>
        <v>27625</v>
      </c>
      <c r="BN165" s="257"/>
      <c r="BO165" s="255"/>
      <c r="BP165" s="248"/>
      <c r="BQ165" s="249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7">
        <f t="shared" si="93"/>
        <v>27625</v>
      </c>
      <c r="CD165" s="244">
        <v>25000</v>
      </c>
      <c r="CE165" s="244">
        <f t="shared" si="103"/>
        <v>-2625</v>
      </c>
      <c r="CF165" s="244"/>
    </row>
    <row r="166" spans="1:84" x14ac:dyDescent="0.2">
      <c r="A166" s="245" t="s">
        <v>10</v>
      </c>
      <c r="B166" s="246" t="s">
        <v>34</v>
      </c>
      <c r="C166" s="246" t="s">
        <v>600</v>
      </c>
      <c r="D166" s="246" t="s">
        <v>111</v>
      </c>
      <c r="E166" s="247" t="s">
        <v>211</v>
      </c>
      <c r="F166" s="247" t="s">
        <v>712</v>
      </c>
      <c r="G166" s="233" t="str">
        <f t="shared" si="94"/>
        <v>1</v>
      </c>
      <c r="H166" s="233" t="str">
        <f t="shared" si="95"/>
        <v>0</v>
      </c>
      <c r="I166" s="233" t="str">
        <f t="shared" si="96"/>
        <v>0</v>
      </c>
      <c r="J166" s="233" t="str">
        <f t="shared" si="97"/>
        <v>0</v>
      </c>
      <c r="K166" s="233" t="str">
        <f t="shared" si="98"/>
        <v>1000</v>
      </c>
      <c r="L166" s="247" t="str">
        <f t="shared" si="99"/>
        <v>0050N/ADistrict Design and Led 17-20</v>
      </c>
      <c r="M166" s="225">
        <v>49872</v>
      </c>
      <c r="N166" s="255"/>
      <c r="O166" s="225">
        <v>-49872</v>
      </c>
      <c r="P166" s="255"/>
      <c r="Q166" s="225">
        <f t="shared" si="100"/>
        <v>0</v>
      </c>
      <c r="R166" s="255"/>
      <c r="S166" s="255">
        <v>0</v>
      </c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25">
        <f t="shared" si="101"/>
        <v>0</v>
      </c>
      <c r="AG166" s="255"/>
      <c r="AH166" s="255">
        <v>0</v>
      </c>
      <c r="AI166" s="255"/>
      <c r="AJ166" s="255"/>
      <c r="AK166" s="255"/>
      <c r="AL166" s="255"/>
      <c r="AM166" s="255"/>
      <c r="AN166" s="255">
        <v>0</v>
      </c>
      <c r="AO166" s="255">
        <v>0</v>
      </c>
      <c r="AP166" s="255"/>
      <c r="AQ166" s="255"/>
      <c r="AR166" s="255"/>
      <c r="AS166" s="255"/>
      <c r="AT166" s="256">
        <v>0</v>
      </c>
      <c r="AU166" s="256">
        <v>0</v>
      </c>
      <c r="AV166" s="256">
        <v>0</v>
      </c>
      <c r="AW166" s="227">
        <f t="shared" si="102"/>
        <v>0</v>
      </c>
      <c r="AX166" s="257">
        <v>0</v>
      </c>
      <c r="AY166" s="255">
        <v>0</v>
      </c>
      <c r="AZ166" s="258"/>
      <c r="BA166" s="259">
        <v>0</v>
      </c>
      <c r="BB166" s="225">
        <v>0</v>
      </c>
      <c r="BC166" s="255">
        <v>0</v>
      </c>
      <c r="BD166" s="255">
        <v>0</v>
      </c>
      <c r="BE166" s="255"/>
      <c r="BF166" s="255"/>
      <c r="BG166" s="255">
        <v>0</v>
      </c>
      <c r="BH166" s="255">
        <v>0</v>
      </c>
      <c r="BI166" s="255">
        <v>0</v>
      </c>
      <c r="BJ166" s="256"/>
      <c r="BK166" s="256"/>
      <c r="BL166" s="256"/>
      <c r="BM166" s="248">
        <f t="shared" si="92"/>
        <v>0</v>
      </c>
      <c r="BN166" s="257"/>
      <c r="BO166" s="255"/>
      <c r="BP166" s="256"/>
      <c r="BQ166" s="249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7">
        <f t="shared" si="93"/>
        <v>0</v>
      </c>
      <c r="CD166" s="244">
        <v>0</v>
      </c>
      <c r="CE166" s="244">
        <f t="shared" si="103"/>
        <v>0</v>
      </c>
      <c r="CF166" s="244"/>
    </row>
    <row r="167" spans="1:84" x14ac:dyDescent="0.2">
      <c r="A167" s="245" t="s">
        <v>12</v>
      </c>
      <c r="B167" s="246" t="s">
        <v>34</v>
      </c>
      <c r="C167" s="246" t="s">
        <v>93</v>
      </c>
      <c r="D167" s="246" t="s">
        <v>111</v>
      </c>
      <c r="E167" s="247" t="s">
        <v>211</v>
      </c>
      <c r="F167" s="247" t="s">
        <v>712</v>
      </c>
      <c r="G167" s="233" t="str">
        <f t="shared" si="94"/>
        <v>1</v>
      </c>
      <c r="H167" s="233" t="str">
        <f t="shared" si="95"/>
        <v>0</v>
      </c>
      <c r="I167" s="233" t="str">
        <f t="shared" si="96"/>
        <v>0</v>
      </c>
      <c r="J167" s="233" t="str">
        <f t="shared" si="97"/>
        <v>0</v>
      </c>
      <c r="K167" s="233" t="str">
        <f t="shared" si="98"/>
        <v>1000</v>
      </c>
      <c r="L167" s="247" t="str">
        <f t="shared" si="99"/>
        <v>0070N/ADistrict Design and Led 17-20</v>
      </c>
      <c r="M167" s="225">
        <v>358789</v>
      </c>
      <c r="N167" s="255"/>
      <c r="O167" s="255"/>
      <c r="P167" s="255"/>
      <c r="Q167" s="225">
        <f t="shared" si="100"/>
        <v>358789</v>
      </c>
      <c r="R167" s="255"/>
      <c r="S167" s="255">
        <v>0</v>
      </c>
      <c r="T167" s="255"/>
      <c r="U167" s="255"/>
      <c r="V167" s="225">
        <v>-1746</v>
      </c>
      <c r="W167" s="225">
        <v>-9359</v>
      </c>
      <c r="X167" s="225">
        <v>-5636</v>
      </c>
      <c r="Y167" s="225">
        <v>-30766</v>
      </c>
      <c r="Z167" s="225">
        <v>-12952</v>
      </c>
      <c r="AA167" s="225">
        <v>-37200</v>
      </c>
      <c r="AB167" s="225">
        <v>-24226</v>
      </c>
      <c r="AC167" s="225">
        <v>-10500</v>
      </c>
      <c r="AD167" s="255"/>
      <c r="AE167" s="255"/>
      <c r="AF167" s="225">
        <f t="shared" si="101"/>
        <v>226404</v>
      </c>
      <c r="AG167" s="255"/>
      <c r="AH167" s="255">
        <v>0</v>
      </c>
      <c r="AI167" s="255"/>
      <c r="AJ167" s="225">
        <v>-154595.37</v>
      </c>
      <c r="AK167" s="255"/>
      <c r="AL167" s="255"/>
      <c r="AM167" s="255"/>
      <c r="AN167" s="255">
        <v>0</v>
      </c>
      <c r="AO167" s="255">
        <v>0</v>
      </c>
      <c r="AP167" s="255"/>
      <c r="AQ167" s="255"/>
      <c r="AR167" s="255"/>
      <c r="AS167" s="255">
        <v>-33500</v>
      </c>
      <c r="AT167" s="256">
        <v>-32744.7</v>
      </c>
      <c r="AU167" s="256">
        <v>-3400</v>
      </c>
      <c r="AV167" s="256">
        <v>0</v>
      </c>
      <c r="AW167" s="227">
        <f t="shared" si="102"/>
        <v>2163.9300000000039</v>
      </c>
      <c r="AX167" s="257">
        <v>0</v>
      </c>
      <c r="AY167" s="255">
        <v>0</v>
      </c>
      <c r="AZ167" s="258"/>
      <c r="BA167" s="259">
        <v>0</v>
      </c>
      <c r="BB167" s="255">
        <v>0</v>
      </c>
      <c r="BC167" s="255">
        <v>0</v>
      </c>
      <c r="BD167" s="255">
        <v>0</v>
      </c>
      <c r="BE167" s="255"/>
      <c r="BF167" s="255"/>
      <c r="BG167" s="255">
        <v>0</v>
      </c>
      <c r="BH167" s="255">
        <v>0</v>
      </c>
      <c r="BI167" s="255">
        <v>0</v>
      </c>
      <c r="BJ167" s="256"/>
      <c r="BK167" s="256"/>
      <c r="BL167" s="256"/>
      <c r="BM167" s="248">
        <f t="shared" si="92"/>
        <v>2163.9300000000039</v>
      </c>
      <c r="BN167" s="257"/>
      <c r="BO167" s="255"/>
      <c r="BP167" s="256"/>
      <c r="BQ167" s="249"/>
      <c r="BR167" s="225"/>
      <c r="BS167" s="225"/>
      <c r="BT167" s="225"/>
      <c r="BU167" s="252">
        <v>-2163.9299999999998</v>
      </c>
      <c r="BV167" s="225"/>
      <c r="BW167" s="225"/>
      <c r="BX167" s="225"/>
      <c r="BY167" s="225"/>
      <c r="BZ167" s="225"/>
      <c r="CA167" s="225"/>
      <c r="CB167" s="225"/>
      <c r="CC167" s="227">
        <f t="shared" si="93"/>
        <v>4.0927261579781771E-12</v>
      </c>
      <c r="CD167" s="244">
        <v>2163.929999999993</v>
      </c>
      <c r="CE167" s="244">
        <f t="shared" si="103"/>
        <v>2163.9299999999889</v>
      </c>
      <c r="CF167" s="244"/>
    </row>
    <row r="168" spans="1:84" x14ac:dyDescent="0.2">
      <c r="A168" s="245" t="s">
        <v>12</v>
      </c>
      <c r="B168" s="246" t="s">
        <v>34</v>
      </c>
      <c r="C168" s="246" t="s">
        <v>93</v>
      </c>
      <c r="D168" s="246" t="s">
        <v>111</v>
      </c>
      <c r="E168" s="247" t="s">
        <v>213</v>
      </c>
      <c r="F168" s="247" t="s">
        <v>712</v>
      </c>
      <c r="G168" s="233" t="str">
        <f t="shared" si="94"/>
        <v>0</v>
      </c>
      <c r="H168" s="233" t="str">
        <f t="shared" si="95"/>
        <v>1</v>
      </c>
      <c r="I168" s="233" t="str">
        <f t="shared" si="96"/>
        <v>0</v>
      </c>
      <c r="J168" s="233" t="str">
        <f t="shared" si="97"/>
        <v>0</v>
      </c>
      <c r="K168" s="233" t="str">
        <f t="shared" si="98"/>
        <v>0100</v>
      </c>
      <c r="L168" s="247" t="str">
        <f t="shared" si="99"/>
        <v>0070N/ADistrict Design and Led 18-21</v>
      </c>
      <c r="M168" s="255"/>
      <c r="N168" s="255"/>
      <c r="O168" s="255"/>
      <c r="P168" s="255"/>
      <c r="Q168" s="225">
        <f t="shared" si="100"/>
        <v>0</v>
      </c>
      <c r="R168" s="225"/>
      <c r="S168" s="225">
        <v>135500</v>
      </c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25">
        <v>-5869</v>
      </c>
      <c r="AE168" s="225">
        <v>-25200</v>
      </c>
      <c r="AF168" s="225">
        <f t="shared" si="101"/>
        <v>104431</v>
      </c>
      <c r="AG168" s="255"/>
      <c r="AH168" s="255">
        <v>0</v>
      </c>
      <c r="AI168" s="255"/>
      <c r="AJ168" s="255"/>
      <c r="AK168" s="225">
        <v>-40679.279999999999</v>
      </c>
      <c r="AL168" s="255"/>
      <c r="AM168" s="255"/>
      <c r="AN168" s="255">
        <v>0</v>
      </c>
      <c r="AO168" s="255">
        <v>0</v>
      </c>
      <c r="AP168" s="255"/>
      <c r="AQ168" s="225">
        <v>-10500</v>
      </c>
      <c r="AR168" s="225">
        <v>-1050</v>
      </c>
      <c r="AS168" s="225"/>
      <c r="AT168" s="248">
        <v>0</v>
      </c>
      <c r="AU168" s="248">
        <v>0</v>
      </c>
      <c r="AV168" s="248">
        <v>0</v>
      </c>
      <c r="AW168" s="227">
        <f t="shared" si="102"/>
        <v>52201.72</v>
      </c>
      <c r="AX168" s="257">
        <v>0</v>
      </c>
      <c r="AY168" s="255">
        <v>0</v>
      </c>
      <c r="AZ168" s="258"/>
      <c r="BA168" s="250">
        <v>0</v>
      </c>
      <c r="BB168" s="225">
        <v>0</v>
      </c>
      <c r="BC168" s="255">
        <v>-31848.06</v>
      </c>
      <c r="BD168" s="255">
        <v>0</v>
      </c>
      <c r="BE168" s="255"/>
      <c r="BF168" s="255"/>
      <c r="BG168" s="225">
        <v>0</v>
      </c>
      <c r="BH168" s="225">
        <v>0</v>
      </c>
      <c r="BI168" s="225">
        <v>0</v>
      </c>
      <c r="BJ168" s="248"/>
      <c r="BK168" s="248"/>
      <c r="BL168" s="248"/>
      <c r="BM168" s="248">
        <f t="shared" si="92"/>
        <v>20353.66</v>
      </c>
      <c r="BN168" s="257"/>
      <c r="BO168" s="255"/>
      <c r="BP168" s="256"/>
      <c r="BQ168" s="249"/>
      <c r="BR168" s="225"/>
      <c r="BS168" s="225"/>
      <c r="BT168" s="225"/>
      <c r="BU168" s="252">
        <v>-14100.540000000006</v>
      </c>
      <c r="BV168" s="147">
        <v>-6252.74</v>
      </c>
      <c r="BW168" s="225"/>
      <c r="BX168" s="225"/>
      <c r="BY168" s="225"/>
      <c r="BZ168" s="225"/>
      <c r="CA168" s="225"/>
      <c r="CB168" s="225"/>
      <c r="CC168" s="227">
        <f t="shared" si="93"/>
        <v>0.37999999999374268</v>
      </c>
      <c r="CD168" s="244">
        <v>20353.66</v>
      </c>
      <c r="CE168" s="244">
        <f t="shared" si="103"/>
        <v>20353.280000000006</v>
      </c>
      <c r="CF168" s="244"/>
    </row>
    <row r="169" spans="1:84" x14ac:dyDescent="0.2">
      <c r="A169" s="251" t="s">
        <v>13</v>
      </c>
      <c r="B169" s="246" t="s">
        <v>34</v>
      </c>
      <c r="C169" s="246" t="s">
        <v>94</v>
      </c>
      <c r="D169" s="246" t="s">
        <v>111</v>
      </c>
      <c r="E169" s="247" t="s">
        <v>213</v>
      </c>
      <c r="F169" s="247" t="s">
        <v>712</v>
      </c>
      <c r="G169" s="233" t="str">
        <f t="shared" si="94"/>
        <v>0</v>
      </c>
      <c r="H169" s="233" t="str">
        <f t="shared" si="95"/>
        <v>1</v>
      </c>
      <c r="I169" s="233" t="str">
        <f t="shared" si="96"/>
        <v>0</v>
      </c>
      <c r="J169" s="233" t="str">
        <f t="shared" si="97"/>
        <v>0</v>
      </c>
      <c r="K169" s="233" t="str">
        <f t="shared" si="98"/>
        <v>0100</v>
      </c>
      <c r="L169" s="247" t="str">
        <f t="shared" si="99"/>
        <v>0120N/ADistrict Design and Led 18-21</v>
      </c>
      <c r="M169" s="255"/>
      <c r="N169" s="255"/>
      <c r="O169" s="255"/>
      <c r="P169" s="255"/>
      <c r="Q169" s="225">
        <f t="shared" si="100"/>
        <v>0</v>
      </c>
      <c r="R169" s="225"/>
      <c r="S169" s="225">
        <v>10525</v>
      </c>
      <c r="T169" s="255"/>
      <c r="U169" s="255"/>
      <c r="V169" s="255"/>
      <c r="W169" s="255"/>
      <c r="X169" s="255"/>
      <c r="Y169" s="255"/>
      <c r="Z169" s="255"/>
      <c r="AA169" s="255"/>
      <c r="AB169" s="255"/>
      <c r="AC169" s="255"/>
      <c r="AD169" s="255"/>
      <c r="AE169" s="255"/>
      <c r="AF169" s="225">
        <f t="shared" si="101"/>
        <v>10525</v>
      </c>
      <c r="AG169" s="225"/>
      <c r="AH169" s="225">
        <v>74124</v>
      </c>
      <c r="AI169" s="225"/>
      <c r="AJ169" s="225">
        <v>-9163</v>
      </c>
      <c r="AK169" s="255"/>
      <c r="AL169" s="255"/>
      <c r="AM169" s="255"/>
      <c r="AN169" s="255">
        <v>0</v>
      </c>
      <c r="AO169" s="255">
        <v>0</v>
      </c>
      <c r="AP169" s="255"/>
      <c r="AQ169" s="255"/>
      <c r="AR169" s="255"/>
      <c r="AS169" s="255">
        <v>-11126</v>
      </c>
      <c r="AT169" s="256">
        <v>-270</v>
      </c>
      <c r="AU169" s="256">
        <v>0</v>
      </c>
      <c r="AV169" s="256">
        <v>0</v>
      </c>
      <c r="AW169" s="227">
        <f t="shared" si="102"/>
        <v>64090</v>
      </c>
      <c r="AX169" s="249">
        <v>81390</v>
      </c>
      <c r="AY169" s="225">
        <v>0</v>
      </c>
      <c r="AZ169" s="227"/>
      <c r="BA169" s="259">
        <v>0</v>
      </c>
      <c r="BB169" s="225">
        <v>-4527</v>
      </c>
      <c r="BC169" s="255">
        <v>0</v>
      </c>
      <c r="BD169" s="255">
        <v>-25147</v>
      </c>
      <c r="BE169" s="255">
        <v>-835</v>
      </c>
      <c r="BF169" s="255">
        <v>-450</v>
      </c>
      <c r="BG169" s="255">
        <v>-4590</v>
      </c>
      <c r="BH169" s="255">
        <v>-3273</v>
      </c>
      <c r="BI169" s="255">
        <v>-6900</v>
      </c>
      <c r="BJ169" s="256"/>
      <c r="BK169" s="256">
        <v>-1878</v>
      </c>
      <c r="BL169" s="256"/>
      <c r="BM169" s="248">
        <f t="shared" si="92"/>
        <v>97880</v>
      </c>
      <c r="BN169" s="249"/>
      <c r="BO169" s="225"/>
      <c r="BP169" s="248"/>
      <c r="BQ169" s="249">
        <v>-20614</v>
      </c>
      <c r="BR169" s="225">
        <v>-3207</v>
      </c>
      <c r="BS169" s="225"/>
      <c r="BT169" s="225"/>
      <c r="BU169" s="225"/>
      <c r="BV169" s="147">
        <v>-13398</v>
      </c>
      <c r="BW169" s="225"/>
      <c r="BX169" s="225"/>
      <c r="BY169" s="225">
        <v>-7363.53</v>
      </c>
      <c r="BZ169" s="225"/>
      <c r="CA169" s="225"/>
      <c r="CB169" s="225"/>
      <c r="CC169" s="227">
        <f t="shared" si="93"/>
        <v>53297.47</v>
      </c>
      <c r="CD169" s="244">
        <v>77266</v>
      </c>
      <c r="CE169" s="244">
        <f t="shared" si="103"/>
        <v>23968.53</v>
      </c>
      <c r="CF169" s="244"/>
    </row>
    <row r="170" spans="1:84" x14ac:dyDescent="0.2">
      <c r="A170" s="245" t="s">
        <v>14</v>
      </c>
      <c r="B170" s="246" t="s">
        <v>351</v>
      </c>
      <c r="C170" s="246" t="s">
        <v>95</v>
      </c>
      <c r="D170" s="246" t="s">
        <v>570</v>
      </c>
      <c r="E170" s="247" t="s">
        <v>214</v>
      </c>
      <c r="F170" s="247" t="s">
        <v>712</v>
      </c>
      <c r="G170" s="233" t="str">
        <f t="shared" si="94"/>
        <v>0</v>
      </c>
      <c r="H170" s="233" t="str">
        <f t="shared" si="95"/>
        <v>0</v>
      </c>
      <c r="I170" s="233" t="str">
        <f t="shared" si="96"/>
        <v>1</v>
      </c>
      <c r="J170" s="233" t="str">
        <f t="shared" si="97"/>
        <v>0</v>
      </c>
      <c r="K170" s="233" t="str">
        <f t="shared" si="98"/>
        <v>0010</v>
      </c>
      <c r="L170" s="247" t="str">
        <f t="shared" si="99"/>
        <v>01233054District Design and Led 19-22</v>
      </c>
      <c r="M170" s="255"/>
      <c r="N170" s="255"/>
      <c r="O170" s="255"/>
      <c r="P170" s="255"/>
      <c r="Q170" s="225">
        <f t="shared" si="100"/>
        <v>0</v>
      </c>
      <c r="R170" s="225"/>
      <c r="S170" s="225">
        <v>0</v>
      </c>
      <c r="T170" s="255"/>
      <c r="U170" s="255"/>
      <c r="V170" s="255"/>
      <c r="W170" s="255"/>
      <c r="X170" s="255"/>
      <c r="Y170" s="255"/>
      <c r="Z170" s="255"/>
      <c r="AA170" s="255"/>
      <c r="AB170" s="255"/>
      <c r="AC170" s="225"/>
      <c r="AD170" s="225"/>
      <c r="AE170" s="255"/>
      <c r="AF170" s="225">
        <f t="shared" si="101"/>
        <v>0</v>
      </c>
      <c r="AG170" s="225"/>
      <c r="AH170" s="225">
        <v>0</v>
      </c>
      <c r="AI170" s="225">
        <v>37150.1</v>
      </c>
      <c r="AJ170" s="255"/>
      <c r="AK170" s="255"/>
      <c r="AL170" s="255"/>
      <c r="AM170" s="255"/>
      <c r="AN170" s="225">
        <v>0</v>
      </c>
      <c r="AO170" s="255">
        <v>0</v>
      </c>
      <c r="AP170" s="255"/>
      <c r="AQ170" s="255"/>
      <c r="AR170" s="225"/>
      <c r="AS170" s="225"/>
      <c r="AT170" s="248">
        <v>0</v>
      </c>
      <c r="AU170" s="248">
        <v>-826.03</v>
      </c>
      <c r="AV170" s="248">
        <v>0</v>
      </c>
      <c r="AW170" s="227">
        <f t="shared" si="102"/>
        <v>36324.07</v>
      </c>
      <c r="AX170" s="249">
        <v>0</v>
      </c>
      <c r="AY170" s="225">
        <v>74256</v>
      </c>
      <c r="AZ170" s="227"/>
      <c r="BA170" s="250">
        <v>0</v>
      </c>
      <c r="BB170" s="225">
        <v>0</v>
      </c>
      <c r="BC170" s="255">
        <v>0</v>
      </c>
      <c r="BD170" s="225">
        <v>0</v>
      </c>
      <c r="BE170" s="255"/>
      <c r="BF170" s="255"/>
      <c r="BG170" s="255">
        <v>0</v>
      </c>
      <c r="BH170" s="225">
        <v>0</v>
      </c>
      <c r="BI170" s="225">
        <v>0</v>
      </c>
      <c r="BJ170" s="248"/>
      <c r="BK170" s="248"/>
      <c r="BL170" s="248"/>
      <c r="BM170" s="248">
        <f t="shared" si="92"/>
        <v>110580.07</v>
      </c>
      <c r="BN170" s="249"/>
      <c r="BO170" s="225">
        <v>74256</v>
      </c>
      <c r="BP170" s="248"/>
      <c r="BQ170" s="249">
        <v>-58571.05</v>
      </c>
      <c r="BR170" s="225"/>
      <c r="BS170" s="225"/>
      <c r="BT170" s="225">
        <v>-3966.03</v>
      </c>
      <c r="BU170" s="225"/>
      <c r="BV170" s="225"/>
      <c r="BW170" s="225"/>
      <c r="BX170" s="225"/>
      <c r="BY170" s="225"/>
      <c r="BZ170" s="225"/>
      <c r="CA170" s="225"/>
      <c r="CB170" s="225"/>
      <c r="CC170" s="227">
        <f t="shared" si="93"/>
        <v>122298.99</v>
      </c>
      <c r="CD170" s="244">
        <v>52009.020000000004</v>
      </c>
      <c r="CE170" s="244">
        <f t="shared" si="103"/>
        <v>-70289.97</v>
      </c>
      <c r="CF170" s="244"/>
    </row>
    <row r="171" spans="1:84" x14ac:dyDescent="0.2">
      <c r="A171" s="245" t="s">
        <v>14</v>
      </c>
      <c r="B171" s="246" t="s">
        <v>37</v>
      </c>
      <c r="C171" s="246" t="s">
        <v>95</v>
      </c>
      <c r="D171" s="246" t="s">
        <v>114</v>
      </c>
      <c r="E171" s="247" t="s">
        <v>211</v>
      </c>
      <c r="F171" s="247" t="s">
        <v>712</v>
      </c>
      <c r="G171" s="233" t="str">
        <f t="shared" si="94"/>
        <v>1</v>
      </c>
      <c r="H171" s="233" t="str">
        <f t="shared" si="95"/>
        <v>0</v>
      </c>
      <c r="I171" s="233" t="str">
        <f t="shared" si="96"/>
        <v>0</v>
      </c>
      <c r="J171" s="233" t="str">
        <f t="shared" si="97"/>
        <v>0</v>
      </c>
      <c r="K171" s="233" t="str">
        <f t="shared" si="98"/>
        <v>1000</v>
      </c>
      <c r="L171" s="247" t="str">
        <f t="shared" si="99"/>
        <v>01238123District Design and Led 17-20</v>
      </c>
      <c r="M171" s="225">
        <v>86765</v>
      </c>
      <c r="N171" s="255"/>
      <c r="O171" s="255"/>
      <c r="P171" s="225">
        <v>-25257</v>
      </c>
      <c r="Q171" s="225">
        <f t="shared" si="100"/>
        <v>61508</v>
      </c>
      <c r="R171" s="225">
        <v>224141</v>
      </c>
      <c r="S171" s="225">
        <v>0</v>
      </c>
      <c r="T171" s="255"/>
      <c r="U171" s="225">
        <v>-26648</v>
      </c>
      <c r="V171" s="255"/>
      <c r="W171" s="255"/>
      <c r="X171" s="225">
        <v>-70161</v>
      </c>
      <c r="Y171" s="225">
        <v>-4037</v>
      </c>
      <c r="Z171" s="255"/>
      <c r="AA171" s="255"/>
      <c r="AB171" s="225">
        <v>-36149</v>
      </c>
      <c r="AC171" s="255"/>
      <c r="AD171" s="225">
        <v>-30074</v>
      </c>
      <c r="AE171" s="255"/>
      <c r="AF171" s="225">
        <f t="shared" si="101"/>
        <v>118580</v>
      </c>
      <c r="AG171" s="225">
        <v>129184</v>
      </c>
      <c r="AH171" s="225">
        <v>0</v>
      </c>
      <c r="AI171" s="225"/>
      <c r="AJ171" s="255"/>
      <c r="AK171" s="255"/>
      <c r="AL171" s="255"/>
      <c r="AM171" s="255"/>
      <c r="AN171" s="225">
        <v>-21863.1</v>
      </c>
      <c r="AO171" s="255">
        <v>0</v>
      </c>
      <c r="AP171" s="225">
        <v>-46769.73</v>
      </c>
      <c r="AQ171" s="255"/>
      <c r="AR171" s="255"/>
      <c r="AS171" s="255">
        <v>-38333.26</v>
      </c>
      <c r="AT171" s="256">
        <v>0</v>
      </c>
      <c r="AU171" s="256">
        <v>-56505.490000000005</v>
      </c>
      <c r="AV171" s="256">
        <v>-18074.099999999999</v>
      </c>
      <c r="AW171" s="227">
        <f t="shared" si="102"/>
        <v>66218.319999999978</v>
      </c>
      <c r="AX171" s="249">
        <v>0</v>
      </c>
      <c r="AY171" s="225">
        <v>0</v>
      </c>
      <c r="AZ171" s="227"/>
      <c r="BA171" s="259">
        <v>0</v>
      </c>
      <c r="BB171" s="225">
        <v>-26874.46</v>
      </c>
      <c r="BC171" s="255">
        <v>0</v>
      </c>
      <c r="BD171" s="225">
        <v>0</v>
      </c>
      <c r="BE171" s="255"/>
      <c r="BF171" s="225">
        <v>-23944.15</v>
      </c>
      <c r="BG171" s="255">
        <v>0</v>
      </c>
      <c r="BH171" s="255">
        <v>0</v>
      </c>
      <c r="BI171" s="255">
        <v>-15399.71</v>
      </c>
      <c r="BJ171" s="256"/>
      <c r="BK171" s="256"/>
      <c r="BL171" s="256"/>
      <c r="BM171" s="248">
        <f t="shared" si="92"/>
        <v>-2.1827872842550278E-11</v>
      </c>
      <c r="BN171" s="249"/>
      <c r="BO171" s="225"/>
      <c r="BP171" s="248"/>
      <c r="BQ171" s="249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7">
        <f t="shared" si="93"/>
        <v>-2.1827872842550278E-11</v>
      </c>
      <c r="CD171" s="244">
        <v>0</v>
      </c>
      <c r="CE171" s="244">
        <f t="shared" si="103"/>
        <v>2.1827872842550278E-11</v>
      </c>
      <c r="CF171" s="244"/>
    </row>
    <row r="172" spans="1:84" x14ac:dyDescent="0.2">
      <c r="A172" s="245" t="s">
        <v>481</v>
      </c>
      <c r="B172" s="246" t="s">
        <v>486</v>
      </c>
      <c r="C172" s="246" t="s">
        <v>483</v>
      </c>
      <c r="D172" s="246" t="s">
        <v>487</v>
      </c>
      <c r="E172" s="247" t="s">
        <v>214</v>
      </c>
      <c r="F172" s="247" t="s">
        <v>712</v>
      </c>
      <c r="G172" s="233" t="str">
        <f t="shared" si="94"/>
        <v>0</v>
      </c>
      <c r="H172" s="233" t="str">
        <f t="shared" si="95"/>
        <v>0</v>
      </c>
      <c r="I172" s="233" t="str">
        <f t="shared" si="96"/>
        <v>1</v>
      </c>
      <c r="J172" s="233" t="str">
        <f t="shared" si="97"/>
        <v>0</v>
      </c>
      <c r="K172" s="233" t="str">
        <f t="shared" si="98"/>
        <v>0010</v>
      </c>
      <c r="L172" s="247" t="str">
        <f t="shared" si="99"/>
        <v>01303988District Design and Led 19-22</v>
      </c>
      <c r="M172" s="255"/>
      <c r="N172" s="255"/>
      <c r="O172" s="255"/>
      <c r="P172" s="255"/>
      <c r="Q172" s="225">
        <f t="shared" si="100"/>
        <v>0</v>
      </c>
      <c r="R172" s="225"/>
      <c r="S172" s="225">
        <v>0</v>
      </c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25">
        <f t="shared" si="101"/>
        <v>0</v>
      </c>
      <c r="AG172" s="225"/>
      <c r="AH172" s="225">
        <v>0</v>
      </c>
      <c r="AI172" s="225">
        <v>54337.013632429997</v>
      </c>
      <c r="AJ172" s="255"/>
      <c r="AK172" s="255"/>
      <c r="AL172" s="255"/>
      <c r="AM172" s="255"/>
      <c r="AN172" s="255">
        <v>0</v>
      </c>
      <c r="AO172" s="255">
        <v>0</v>
      </c>
      <c r="AP172" s="255"/>
      <c r="AQ172" s="255"/>
      <c r="AR172" s="255"/>
      <c r="AS172" s="255"/>
      <c r="AT172" s="256">
        <v>0</v>
      </c>
      <c r="AU172" s="256">
        <v>0</v>
      </c>
      <c r="AV172" s="256">
        <v>0</v>
      </c>
      <c r="AW172" s="227">
        <f t="shared" si="102"/>
        <v>54337.013632429997</v>
      </c>
      <c r="AX172" s="249">
        <v>0</v>
      </c>
      <c r="AY172" s="225">
        <v>0</v>
      </c>
      <c r="AZ172" s="227"/>
      <c r="BA172" s="259">
        <v>0</v>
      </c>
      <c r="BB172" s="225">
        <v>0</v>
      </c>
      <c r="BC172" s="255">
        <v>0</v>
      </c>
      <c r="BD172" s="255">
        <v>0</v>
      </c>
      <c r="BE172" s="255">
        <v>-11471.92</v>
      </c>
      <c r="BF172" s="255"/>
      <c r="BG172" s="255">
        <v>0</v>
      </c>
      <c r="BH172" s="255">
        <v>0</v>
      </c>
      <c r="BI172" s="255">
        <v>-550.58000000000004</v>
      </c>
      <c r="BJ172" s="256">
        <v>-8384.0400000000009</v>
      </c>
      <c r="BK172" s="256">
        <v>-1009.35</v>
      </c>
      <c r="BL172" s="256"/>
      <c r="BM172" s="248">
        <f t="shared" si="92"/>
        <v>32921.123632429997</v>
      </c>
      <c r="BN172" s="249"/>
      <c r="BO172" s="225">
        <v>2920</v>
      </c>
      <c r="BP172" s="248"/>
      <c r="BQ172" s="249">
        <v>-1366.77</v>
      </c>
      <c r="BR172" s="225"/>
      <c r="BS172" s="225">
        <v>-15094.32</v>
      </c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7">
        <f t="shared" si="93"/>
        <v>19380.033632430001</v>
      </c>
      <c r="CD172" s="244">
        <v>31554.353632429997</v>
      </c>
      <c r="CE172" s="244">
        <f t="shared" si="103"/>
        <v>12174.319999999996</v>
      </c>
      <c r="CF172" s="244"/>
    </row>
    <row r="173" spans="1:84" x14ac:dyDescent="0.2">
      <c r="A173" s="245" t="s">
        <v>15</v>
      </c>
      <c r="B173" s="246" t="s">
        <v>34</v>
      </c>
      <c r="C173" s="246" t="s">
        <v>529</v>
      </c>
      <c r="D173" s="246" t="s">
        <v>111</v>
      </c>
      <c r="E173" s="247" t="s">
        <v>213</v>
      </c>
      <c r="F173" s="247" t="s">
        <v>712</v>
      </c>
      <c r="G173" s="233" t="str">
        <f t="shared" si="94"/>
        <v>0</v>
      </c>
      <c r="H173" s="233" t="str">
        <f t="shared" si="95"/>
        <v>1</v>
      </c>
      <c r="I173" s="233" t="str">
        <f t="shared" si="96"/>
        <v>0</v>
      </c>
      <c r="J173" s="233" t="str">
        <f t="shared" si="97"/>
        <v>0</v>
      </c>
      <c r="K173" s="233" t="str">
        <f t="shared" si="98"/>
        <v>0100</v>
      </c>
      <c r="L173" s="247" t="str">
        <f t="shared" si="99"/>
        <v>0180N/ADistrict Design and Led 18-21</v>
      </c>
      <c r="M173" s="255"/>
      <c r="N173" s="255"/>
      <c r="O173" s="255"/>
      <c r="P173" s="255"/>
      <c r="Q173" s="225">
        <f t="shared" si="100"/>
        <v>0</v>
      </c>
      <c r="R173" s="225"/>
      <c r="S173" s="225">
        <v>155183</v>
      </c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25">
        <f t="shared" si="101"/>
        <v>155183</v>
      </c>
      <c r="AG173" s="225"/>
      <c r="AH173" s="225">
        <v>451500</v>
      </c>
      <c r="AI173" s="225"/>
      <c r="AJ173" s="255"/>
      <c r="AK173" s="255"/>
      <c r="AL173" s="255"/>
      <c r="AM173" s="225">
        <v>-12260.58</v>
      </c>
      <c r="AN173" s="255">
        <v>0</v>
      </c>
      <c r="AO173" s="225">
        <v>-46772.86</v>
      </c>
      <c r="AP173" s="255"/>
      <c r="AQ173" s="255"/>
      <c r="AR173" s="255"/>
      <c r="AS173" s="255"/>
      <c r="AT173" s="256">
        <v>0</v>
      </c>
      <c r="AU173" s="256">
        <v>0</v>
      </c>
      <c r="AV173" s="256">
        <v>0</v>
      </c>
      <c r="AW173" s="227">
        <f t="shared" si="102"/>
        <v>547649.56000000006</v>
      </c>
      <c r="AX173" s="249">
        <v>311140</v>
      </c>
      <c r="AY173" s="225">
        <v>0</v>
      </c>
      <c r="AZ173" s="227"/>
      <c r="BA173" s="259">
        <v>0</v>
      </c>
      <c r="BB173" s="225">
        <v>0</v>
      </c>
      <c r="BC173" s="225">
        <v>-96149.56</v>
      </c>
      <c r="BD173" s="255">
        <v>-321010.13</v>
      </c>
      <c r="BE173" s="225"/>
      <c r="BF173" s="255"/>
      <c r="BG173" s="255">
        <v>0</v>
      </c>
      <c r="BH173" s="255">
        <v>0</v>
      </c>
      <c r="BI173" s="255">
        <v>0</v>
      </c>
      <c r="BJ173" s="256"/>
      <c r="BK173" s="256"/>
      <c r="BL173" s="256">
        <v>-255332.94</v>
      </c>
      <c r="BM173" s="248">
        <f t="shared" si="92"/>
        <v>186296.93</v>
      </c>
      <c r="BN173" s="249"/>
      <c r="BO173" s="225"/>
      <c r="BP173" s="248"/>
      <c r="BQ173" s="249"/>
      <c r="BR173" s="225"/>
      <c r="BS173" s="225"/>
      <c r="BT173" s="225"/>
      <c r="BU173" s="147">
        <v>-45476.160000000003</v>
      </c>
      <c r="BV173" s="225"/>
      <c r="BW173" s="225"/>
      <c r="BX173" s="225"/>
      <c r="BY173" s="225"/>
      <c r="BZ173" s="225"/>
      <c r="CA173" s="225"/>
      <c r="CB173" s="225"/>
      <c r="CC173" s="227">
        <f t="shared" si="93"/>
        <v>140820.76999999999</v>
      </c>
      <c r="CD173" s="244">
        <v>186296.93000000005</v>
      </c>
      <c r="CE173" s="244">
        <f t="shared" si="103"/>
        <v>45476.160000000062</v>
      </c>
      <c r="CF173" s="244"/>
    </row>
    <row r="174" spans="1:84" x14ac:dyDescent="0.2">
      <c r="A174" s="245" t="s">
        <v>377</v>
      </c>
      <c r="B174" s="247" t="s">
        <v>353</v>
      </c>
      <c r="C174" s="246" t="s">
        <v>601</v>
      </c>
      <c r="D174" s="246" t="s">
        <v>577</v>
      </c>
      <c r="E174" s="247" t="s">
        <v>214</v>
      </c>
      <c r="F174" s="247" t="s">
        <v>712</v>
      </c>
      <c r="G174" s="233" t="str">
        <f t="shared" si="94"/>
        <v>0</v>
      </c>
      <c r="H174" s="233" t="str">
        <f t="shared" si="95"/>
        <v>0</v>
      </c>
      <c r="I174" s="233" t="str">
        <f t="shared" si="96"/>
        <v>1</v>
      </c>
      <c r="J174" s="233" t="str">
        <f t="shared" si="97"/>
        <v>0</v>
      </c>
      <c r="K174" s="233" t="str">
        <f t="shared" si="98"/>
        <v>0010</v>
      </c>
      <c r="L174" s="247" t="str">
        <f t="shared" si="99"/>
        <v>05004085District Design and Led 19-22</v>
      </c>
      <c r="M174" s="255"/>
      <c r="N174" s="255"/>
      <c r="O174" s="255"/>
      <c r="P174" s="255"/>
      <c r="Q174" s="225">
        <f t="shared" si="100"/>
        <v>0</v>
      </c>
      <c r="R174" s="255"/>
      <c r="S174" s="255">
        <v>0</v>
      </c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25">
        <f t="shared" si="101"/>
        <v>0</v>
      </c>
      <c r="AG174" s="225"/>
      <c r="AH174" s="225">
        <v>0</v>
      </c>
      <c r="AI174" s="225">
        <v>55106.35</v>
      </c>
      <c r="AJ174" s="255"/>
      <c r="AK174" s="255"/>
      <c r="AL174" s="255"/>
      <c r="AM174" s="255"/>
      <c r="AN174" s="225">
        <v>0</v>
      </c>
      <c r="AO174" s="225">
        <v>0</v>
      </c>
      <c r="AP174" s="255"/>
      <c r="AQ174" s="255"/>
      <c r="AR174" s="255"/>
      <c r="AS174" s="255">
        <v>-4800.53</v>
      </c>
      <c r="AT174" s="256">
        <v>0</v>
      </c>
      <c r="AU174" s="256">
        <v>-825</v>
      </c>
      <c r="AV174" s="256">
        <v>-12928.95</v>
      </c>
      <c r="AW174" s="227">
        <f t="shared" si="102"/>
        <v>36551.869999999995</v>
      </c>
      <c r="AX174" s="249">
        <v>0</v>
      </c>
      <c r="AY174" s="225">
        <v>77389</v>
      </c>
      <c r="AZ174" s="227"/>
      <c r="BA174" s="259">
        <v>-4792.95</v>
      </c>
      <c r="BB174" s="225">
        <v>0</v>
      </c>
      <c r="BC174" s="255">
        <v>-5525</v>
      </c>
      <c r="BD174" s="225">
        <v>0</v>
      </c>
      <c r="BE174" s="225">
        <v>-10057.31</v>
      </c>
      <c r="BF174" s="255">
        <v>-1212.29</v>
      </c>
      <c r="BG174" s="255">
        <v>-4369.58</v>
      </c>
      <c r="BH174" s="255">
        <v>-5986.26</v>
      </c>
      <c r="BI174" s="255">
        <v>-8442.3499999999985</v>
      </c>
      <c r="BJ174" s="256">
        <v>-2211.02</v>
      </c>
      <c r="BK174" s="256">
        <v>-225.57</v>
      </c>
      <c r="BL174" s="256">
        <v>-1400.02</v>
      </c>
      <c r="BM174" s="248">
        <f t="shared" si="92"/>
        <v>69718.51999999999</v>
      </c>
      <c r="BN174" s="249"/>
      <c r="BO174" s="225">
        <v>74626</v>
      </c>
      <c r="BP174" s="248"/>
      <c r="BQ174" s="260">
        <v>-4247.7299999999996</v>
      </c>
      <c r="BR174" s="225"/>
      <c r="BS174" s="225"/>
      <c r="BT174" s="225"/>
      <c r="BU174" s="225"/>
      <c r="BV174" s="225">
        <v>-22251.29</v>
      </c>
      <c r="BW174" s="225">
        <v>-12727.68</v>
      </c>
      <c r="BX174" s="225"/>
      <c r="BY174" s="225">
        <f>-7902.24-7630.3</f>
        <v>-15532.54</v>
      </c>
      <c r="BZ174" s="225"/>
      <c r="CA174" s="225"/>
      <c r="CB174" s="225"/>
      <c r="CC174" s="227">
        <f t="shared" si="93"/>
        <v>89585.27999999997</v>
      </c>
      <c r="CD174" s="244">
        <v>65470.790000000008</v>
      </c>
      <c r="CE174" s="244">
        <f t="shared" si="103"/>
        <v>-24114.489999999962</v>
      </c>
      <c r="CF174" s="244"/>
    </row>
    <row r="175" spans="1:84" x14ac:dyDescent="0.2">
      <c r="A175" s="245" t="s">
        <v>220</v>
      </c>
      <c r="B175" s="246" t="s">
        <v>670</v>
      </c>
      <c r="C175" s="246" t="s">
        <v>221</v>
      </c>
      <c r="D175" s="246" t="s">
        <v>680</v>
      </c>
      <c r="E175" s="247" t="s">
        <v>214</v>
      </c>
      <c r="F175" s="247" t="s">
        <v>712</v>
      </c>
      <c r="G175" s="233" t="str">
        <f t="shared" si="94"/>
        <v>0</v>
      </c>
      <c r="H175" s="233" t="str">
        <f t="shared" si="95"/>
        <v>0</v>
      </c>
      <c r="I175" s="233" t="str">
        <f t="shared" si="96"/>
        <v>1</v>
      </c>
      <c r="J175" s="233" t="str">
        <f t="shared" si="97"/>
        <v>0</v>
      </c>
      <c r="K175" s="233" t="str">
        <f t="shared" si="98"/>
        <v>0010</v>
      </c>
      <c r="L175" s="247" t="str">
        <f t="shared" si="99"/>
        <v>05800248District Design and Led 19-22</v>
      </c>
      <c r="M175" s="255"/>
      <c r="N175" s="255"/>
      <c r="O175" s="255"/>
      <c r="P175" s="255"/>
      <c r="Q175" s="225">
        <f t="shared" si="100"/>
        <v>0</v>
      </c>
      <c r="R175" s="225"/>
      <c r="S175" s="225">
        <v>0</v>
      </c>
      <c r="T175" s="255"/>
      <c r="U175" s="255"/>
      <c r="V175" s="255"/>
      <c r="W175" s="255"/>
      <c r="X175" s="255"/>
      <c r="Y175" s="255"/>
      <c r="Z175" s="255"/>
      <c r="AA175" s="255"/>
      <c r="AB175" s="255"/>
      <c r="AC175" s="225"/>
      <c r="AD175" s="255"/>
      <c r="AE175" s="225"/>
      <c r="AF175" s="225">
        <f t="shared" si="101"/>
        <v>0</v>
      </c>
      <c r="AG175" s="225"/>
      <c r="AH175" s="225">
        <v>0</v>
      </c>
      <c r="AI175" s="225">
        <v>5000</v>
      </c>
      <c r="AJ175" s="255"/>
      <c r="AK175" s="255"/>
      <c r="AL175" s="255"/>
      <c r="AM175" s="255"/>
      <c r="AN175" s="225">
        <v>0</v>
      </c>
      <c r="AO175" s="225">
        <v>0</v>
      </c>
      <c r="AP175" s="255"/>
      <c r="AQ175" s="255"/>
      <c r="AR175" s="225"/>
      <c r="AS175" s="225"/>
      <c r="AT175" s="248">
        <v>-5000</v>
      </c>
      <c r="AU175" s="248">
        <v>0</v>
      </c>
      <c r="AV175" s="248">
        <v>0</v>
      </c>
      <c r="AW175" s="227">
        <f t="shared" si="102"/>
        <v>0</v>
      </c>
      <c r="AX175" s="249">
        <v>0</v>
      </c>
      <c r="AY175" s="225">
        <v>80948</v>
      </c>
      <c r="AZ175" s="227"/>
      <c r="BA175" s="250">
        <v>0</v>
      </c>
      <c r="BB175" s="225">
        <v>0</v>
      </c>
      <c r="BC175" s="255">
        <v>0</v>
      </c>
      <c r="BD175" s="225">
        <v>0</v>
      </c>
      <c r="BE175" s="225"/>
      <c r="BF175" s="255">
        <v>-3991.66</v>
      </c>
      <c r="BG175" s="255">
        <v>0</v>
      </c>
      <c r="BH175" s="225">
        <v>-32290.93</v>
      </c>
      <c r="BI175" s="225">
        <v>0</v>
      </c>
      <c r="BJ175" s="248">
        <v>-11222.58</v>
      </c>
      <c r="BK175" s="248">
        <v>-16436.03</v>
      </c>
      <c r="BL175" s="248">
        <v>-8710.33</v>
      </c>
      <c r="BM175" s="248">
        <f t="shared" si="92"/>
        <v>8296.4699999999957</v>
      </c>
      <c r="BN175" s="249"/>
      <c r="BO175" s="261">
        <v>64430.603999999999</v>
      </c>
      <c r="BP175" s="262"/>
      <c r="BQ175" s="263">
        <v>-6433.43</v>
      </c>
      <c r="BR175" s="225"/>
      <c r="BS175" s="225"/>
      <c r="BT175" s="225"/>
      <c r="BU175" s="225"/>
      <c r="BV175" s="225"/>
      <c r="BW175" s="225">
        <v>-3890.4</v>
      </c>
      <c r="BX175" s="225"/>
      <c r="BY175" s="225">
        <v>-37500</v>
      </c>
      <c r="BZ175" s="225"/>
      <c r="CA175" s="225"/>
      <c r="CB175" s="225"/>
      <c r="CC175" s="227">
        <f t="shared" si="93"/>
        <v>24903.243999999999</v>
      </c>
      <c r="CD175" s="244">
        <v>1863.0400000000009</v>
      </c>
      <c r="CE175" s="244">
        <f t="shared" si="103"/>
        <v>-23040.203999999998</v>
      </c>
      <c r="CF175" s="244"/>
    </row>
    <row r="176" spans="1:84" x14ac:dyDescent="0.2">
      <c r="A176" s="245" t="s">
        <v>220</v>
      </c>
      <c r="B176" s="246" t="s">
        <v>669</v>
      </c>
      <c r="C176" s="246" t="s">
        <v>221</v>
      </c>
      <c r="D176" s="246" t="s">
        <v>679</v>
      </c>
      <c r="E176" s="247" t="s">
        <v>214</v>
      </c>
      <c r="F176" s="247" t="s">
        <v>712</v>
      </c>
      <c r="G176" s="233" t="str">
        <f t="shared" si="94"/>
        <v>0</v>
      </c>
      <c r="H176" s="233" t="str">
        <f t="shared" si="95"/>
        <v>0</v>
      </c>
      <c r="I176" s="233" t="str">
        <f t="shared" si="96"/>
        <v>1</v>
      </c>
      <c r="J176" s="233" t="str">
        <f t="shared" si="97"/>
        <v>0</v>
      </c>
      <c r="K176" s="233" t="str">
        <f t="shared" si="98"/>
        <v>0010</v>
      </c>
      <c r="L176" s="247" t="str">
        <f t="shared" si="99"/>
        <v>05800252District Design and Led 19-22</v>
      </c>
      <c r="M176" s="255"/>
      <c r="N176" s="255"/>
      <c r="O176" s="255"/>
      <c r="P176" s="255"/>
      <c r="Q176" s="225">
        <f t="shared" si="100"/>
        <v>0</v>
      </c>
      <c r="R176" s="225"/>
      <c r="S176" s="225">
        <v>0</v>
      </c>
      <c r="T176" s="255"/>
      <c r="U176" s="255"/>
      <c r="V176" s="255"/>
      <c r="W176" s="255"/>
      <c r="X176" s="255"/>
      <c r="Y176" s="255"/>
      <c r="Z176" s="255"/>
      <c r="AA176" s="255"/>
      <c r="AB176" s="255"/>
      <c r="AC176" s="225"/>
      <c r="AD176" s="225"/>
      <c r="AE176" s="255"/>
      <c r="AF176" s="225">
        <f t="shared" si="101"/>
        <v>0</v>
      </c>
      <c r="AG176" s="225"/>
      <c r="AH176" s="225">
        <v>0</v>
      </c>
      <c r="AI176" s="225">
        <v>5000</v>
      </c>
      <c r="AJ176" s="255"/>
      <c r="AK176" s="255"/>
      <c r="AL176" s="255"/>
      <c r="AM176" s="255"/>
      <c r="AN176" s="255">
        <v>0</v>
      </c>
      <c r="AO176" s="225">
        <v>0</v>
      </c>
      <c r="AP176" s="255"/>
      <c r="AQ176" s="255"/>
      <c r="AR176" s="255"/>
      <c r="AS176" s="255"/>
      <c r="AT176" s="256">
        <v>-5000</v>
      </c>
      <c r="AU176" s="256">
        <v>0</v>
      </c>
      <c r="AV176" s="256">
        <v>0</v>
      </c>
      <c r="AW176" s="227">
        <f t="shared" si="102"/>
        <v>0</v>
      </c>
      <c r="AX176" s="249">
        <v>0</v>
      </c>
      <c r="AY176" s="225">
        <v>80948</v>
      </c>
      <c r="AZ176" s="227"/>
      <c r="BA176" s="259">
        <v>0</v>
      </c>
      <c r="BB176" s="225">
        <v>0</v>
      </c>
      <c r="BC176" s="255">
        <v>0</v>
      </c>
      <c r="BD176" s="255">
        <v>0</v>
      </c>
      <c r="BE176" s="225"/>
      <c r="BF176" s="255"/>
      <c r="BG176" s="255">
        <v>0</v>
      </c>
      <c r="BH176" s="255">
        <v>-25161.4</v>
      </c>
      <c r="BI176" s="255">
        <v>0</v>
      </c>
      <c r="BJ176" s="256">
        <v>-14588.41</v>
      </c>
      <c r="BK176" s="256">
        <v>-17063.349999999999</v>
      </c>
      <c r="BL176" s="256">
        <v>-8986.83</v>
      </c>
      <c r="BM176" s="248">
        <f t="shared" si="92"/>
        <v>15148.010000000004</v>
      </c>
      <c r="BN176" s="249"/>
      <c r="BO176" s="261">
        <v>64430.603999999999</v>
      </c>
      <c r="BP176" s="262"/>
      <c r="BQ176" s="249"/>
      <c r="BR176" s="225"/>
      <c r="BS176" s="225"/>
      <c r="BT176" s="225"/>
      <c r="BU176" s="225"/>
      <c r="BV176" s="225"/>
      <c r="BW176" s="225">
        <v>-163.56</v>
      </c>
      <c r="BX176" s="225"/>
      <c r="BY176" s="225">
        <v>-42500</v>
      </c>
      <c r="BZ176" s="225"/>
      <c r="CA176" s="225"/>
      <c r="CB176" s="225"/>
      <c r="CC176" s="227">
        <f t="shared" si="93"/>
        <v>36915.054000000004</v>
      </c>
      <c r="CD176" s="244">
        <v>15148.010000000009</v>
      </c>
      <c r="CE176" s="244">
        <f t="shared" si="103"/>
        <v>-21767.043999999994</v>
      </c>
      <c r="CF176" s="244"/>
    </row>
    <row r="177" spans="1:84" x14ac:dyDescent="0.2">
      <c r="A177" s="245" t="s">
        <v>23</v>
      </c>
      <c r="B177" s="246" t="s">
        <v>8</v>
      </c>
      <c r="C177" s="246" t="s">
        <v>507</v>
      </c>
      <c r="D177" s="246" t="s">
        <v>530</v>
      </c>
      <c r="E177" s="247" t="s">
        <v>213</v>
      </c>
      <c r="F177" s="247" t="s">
        <v>712</v>
      </c>
      <c r="G177" s="233" t="str">
        <f t="shared" si="94"/>
        <v>0</v>
      </c>
      <c r="H177" s="233" t="str">
        <f t="shared" si="95"/>
        <v>1</v>
      </c>
      <c r="I177" s="233" t="str">
        <f t="shared" si="96"/>
        <v>0</v>
      </c>
      <c r="J177" s="233" t="str">
        <f t="shared" si="97"/>
        <v>0</v>
      </c>
      <c r="K177" s="233" t="str">
        <f t="shared" si="98"/>
        <v>0100</v>
      </c>
      <c r="L177" s="247" t="str">
        <f t="shared" si="99"/>
        <v>08800010District Design and Led 18-21</v>
      </c>
      <c r="M177" s="255"/>
      <c r="N177" s="255"/>
      <c r="O177" s="255"/>
      <c r="P177" s="255"/>
      <c r="Q177" s="225">
        <f t="shared" si="100"/>
        <v>0</v>
      </c>
      <c r="R177" s="225"/>
      <c r="S177" s="225">
        <v>7837</v>
      </c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25">
        <f t="shared" si="101"/>
        <v>7837</v>
      </c>
      <c r="AG177" s="255"/>
      <c r="AH177" s="255">
        <v>0</v>
      </c>
      <c r="AI177" s="255"/>
      <c r="AJ177" s="255"/>
      <c r="AK177" s="255"/>
      <c r="AL177" s="255"/>
      <c r="AM177" s="255"/>
      <c r="AN177" s="255">
        <v>0</v>
      </c>
      <c r="AO177" s="255">
        <v>0</v>
      </c>
      <c r="AP177" s="255"/>
      <c r="AQ177" s="255"/>
      <c r="AR177" s="255"/>
      <c r="AS177" s="255"/>
      <c r="AT177" s="256">
        <v>0</v>
      </c>
      <c r="AU177" s="256">
        <v>0</v>
      </c>
      <c r="AV177" s="256">
        <v>0</v>
      </c>
      <c r="AW177" s="227">
        <f t="shared" si="102"/>
        <v>7837</v>
      </c>
      <c r="AX177" s="257">
        <v>0</v>
      </c>
      <c r="AY177" s="255">
        <v>0</v>
      </c>
      <c r="AZ177" s="258"/>
      <c r="BA177" s="259">
        <v>0</v>
      </c>
      <c r="BB177" s="225">
        <v>0</v>
      </c>
      <c r="BC177" s="255">
        <v>0</v>
      </c>
      <c r="BD177" s="255">
        <v>0</v>
      </c>
      <c r="BE177" s="255"/>
      <c r="BF177" s="255"/>
      <c r="BG177" s="255">
        <v>0</v>
      </c>
      <c r="BH177" s="255">
        <v>0</v>
      </c>
      <c r="BI177" s="255">
        <v>0</v>
      </c>
      <c r="BJ177" s="256"/>
      <c r="BK177" s="256"/>
      <c r="BL177" s="256"/>
      <c r="BM177" s="248">
        <f t="shared" ref="BM177:BM208" si="104">SUM(AW177:BL177)</f>
        <v>7837</v>
      </c>
      <c r="BN177" s="257"/>
      <c r="BO177" s="255"/>
      <c r="BP177" s="256"/>
      <c r="BQ177" s="241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7">
        <f t="shared" si="93"/>
        <v>7837</v>
      </c>
      <c r="CD177" s="244">
        <v>7837</v>
      </c>
      <c r="CE177" s="244">
        <f t="shared" si="103"/>
        <v>0</v>
      </c>
      <c r="CF177" s="244"/>
    </row>
    <row r="178" spans="1:84" x14ac:dyDescent="0.2">
      <c r="A178" s="245" t="s">
        <v>23</v>
      </c>
      <c r="B178" s="246" t="s">
        <v>409</v>
      </c>
      <c r="C178" s="246" t="s">
        <v>507</v>
      </c>
      <c r="D178" s="246" t="s">
        <v>545</v>
      </c>
      <c r="E178" s="247" t="s">
        <v>213</v>
      </c>
      <c r="F178" s="247" t="s">
        <v>712</v>
      </c>
      <c r="G178" s="233" t="str">
        <f t="shared" si="94"/>
        <v>0</v>
      </c>
      <c r="H178" s="233" t="str">
        <f t="shared" si="95"/>
        <v>1</v>
      </c>
      <c r="I178" s="233" t="str">
        <f t="shared" si="96"/>
        <v>1</v>
      </c>
      <c r="J178" s="233" t="str">
        <f t="shared" si="97"/>
        <v>0</v>
      </c>
      <c r="K178" s="233" t="str">
        <f t="shared" si="98"/>
        <v>0110</v>
      </c>
      <c r="L178" s="247" t="str">
        <f t="shared" si="99"/>
        <v>08800040District Design and Led 18-21</v>
      </c>
      <c r="M178" s="255"/>
      <c r="N178" s="255"/>
      <c r="O178" s="255"/>
      <c r="P178" s="255"/>
      <c r="Q178" s="225">
        <f t="shared" si="100"/>
        <v>0</v>
      </c>
      <c r="R178" s="225"/>
      <c r="S178" s="225">
        <v>42469</v>
      </c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25">
        <f t="shared" si="101"/>
        <v>42469</v>
      </c>
      <c r="AG178" s="255"/>
      <c r="AH178" s="255">
        <v>0</v>
      </c>
      <c r="AI178" s="255">
        <v>810.48</v>
      </c>
      <c r="AJ178" s="255"/>
      <c r="AK178" s="255"/>
      <c r="AL178" s="255"/>
      <c r="AM178" s="225">
        <v>-548.12</v>
      </c>
      <c r="AN178" s="255">
        <v>0</v>
      </c>
      <c r="AO178" s="255">
        <v>0</v>
      </c>
      <c r="AP178" s="255"/>
      <c r="AQ178" s="255"/>
      <c r="AR178" s="255"/>
      <c r="AS178" s="255"/>
      <c r="AT178" s="256">
        <v>0</v>
      </c>
      <c r="AU178" s="256">
        <v>0</v>
      </c>
      <c r="AV178" s="256">
        <v>0</v>
      </c>
      <c r="AW178" s="227">
        <f t="shared" si="102"/>
        <v>42731.360000000001</v>
      </c>
      <c r="AX178" s="257">
        <v>0</v>
      </c>
      <c r="AY178" s="255">
        <v>73037.1728</v>
      </c>
      <c r="AZ178" s="258"/>
      <c r="BA178" s="259">
        <v>0</v>
      </c>
      <c r="BB178" s="225">
        <v>0</v>
      </c>
      <c r="BC178" s="225">
        <v>0</v>
      </c>
      <c r="BD178" s="255">
        <v>0</v>
      </c>
      <c r="BE178" s="255"/>
      <c r="BF178" s="255"/>
      <c r="BG178" s="255">
        <v>0</v>
      </c>
      <c r="BH178" s="255">
        <v>0</v>
      </c>
      <c r="BI178" s="255">
        <v>0</v>
      </c>
      <c r="BJ178" s="256"/>
      <c r="BK178" s="256"/>
      <c r="BL178" s="256"/>
      <c r="BM178" s="248">
        <f t="shared" si="104"/>
        <v>115768.5328</v>
      </c>
      <c r="BN178" s="257"/>
      <c r="BO178" s="255">
        <v>16825</v>
      </c>
      <c r="BP178" s="256"/>
      <c r="BQ178" s="249"/>
      <c r="BR178" s="225"/>
      <c r="BS178" s="225"/>
      <c r="BT178" s="225"/>
      <c r="BU178" s="225"/>
      <c r="BV178" s="225"/>
      <c r="BW178" s="225"/>
      <c r="BX178" s="225"/>
      <c r="BY178" s="225"/>
      <c r="BZ178" s="225"/>
      <c r="CA178" s="225"/>
      <c r="CB178" s="225"/>
      <c r="CC178" s="227">
        <f t="shared" si="93"/>
        <v>132593.53279999999</v>
      </c>
      <c r="CD178" s="244">
        <v>115768.5328</v>
      </c>
      <c r="CE178" s="244">
        <f t="shared" si="103"/>
        <v>-16824.999999999985</v>
      </c>
      <c r="CF178" s="244"/>
    </row>
    <row r="179" spans="1:84" x14ac:dyDescent="0.2">
      <c r="A179" s="245" t="s">
        <v>23</v>
      </c>
      <c r="B179" s="246" t="s">
        <v>51</v>
      </c>
      <c r="C179" s="246" t="s">
        <v>507</v>
      </c>
      <c r="D179" s="246" t="s">
        <v>538</v>
      </c>
      <c r="E179" s="247" t="s">
        <v>211</v>
      </c>
      <c r="F179" s="247" t="s">
        <v>712</v>
      </c>
      <c r="G179" s="233" t="str">
        <f t="shared" si="94"/>
        <v>1</v>
      </c>
      <c r="H179" s="233" t="str">
        <f t="shared" si="95"/>
        <v>0</v>
      </c>
      <c r="I179" s="233" t="str">
        <f t="shared" si="96"/>
        <v>0</v>
      </c>
      <c r="J179" s="233" t="str">
        <f t="shared" si="97"/>
        <v>0</v>
      </c>
      <c r="K179" s="233" t="str">
        <f t="shared" si="98"/>
        <v>1000</v>
      </c>
      <c r="L179" s="247" t="str">
        <f t="shared" si="99"/>
        <v>08800220District Design and Led 17-20</v>
      </c>
      <c r="M179" s="225">
        <v>8046</v>
      </c>
      <c r="N179" s="255"/>
      <c r="O179" s="255"/>
      <c r="P179" s="255"/>
      <c r="Q179" s="225">
        <f t="shared" si="100"/>
        <v>8046</v>
      </c>
      <c r="R179" s="225">
        <v>7631</v>
      </c>
      <c r="S179" s="225">
        <v>0</v>
      </c>
      <c r="T179" s="255"/>
      <c r="U179" s="255"/>
      <c r="V179" s="255"/>
      <c r="W179" s="255"/>
      <c r="X179" s="255"/>
      <c r="Y179" s="255"/>
      <c r="Z179" s="225">
        <v>-2167</v>
      </c>
      <c r="AA179" s="255"/>
      <c r="AB179" s="255"/>
      <c r="AC179" s="255"/>
      <c r="AD179" s="255"/>
      <c r="AE179" s="255"/>
      <c r="AF179" s="225">
        <f t="shared" si="101"/>
        <v>13510</v>
      </c>
      <c r="AG179" s="255"/>
      <c r="AH179" s="255">
        <v>0</v>
      </c>
      <c r="AI179" s="255"/>
      <c r="AJ179" s="255"/>
      <c r="AK179" s="255"/>
      <c r="AL179" s="255"/>
      <c r="AM179" s="255"/>
      <c r="AN179" s="255">
        <v>0</v>
      </c>
      <c r="AO179" s="255">
        <v>0</v>
      </c>
      <c r="AP179" s="255"/>
      <c r="AQ179" s="255"/>
      <c r="AR179" s="255"/>
      <c r="AS179" s="255"/>
      <c r="AT179" s="256">
        <v>0</v>
      </c>
      <c r="AU179" s="256">
        <v>0</v>
      </c>
      <c r="AV179" s="256">
        <v>0</v>
      </c>
      <c r="AW179" s="227">
        <f t="shared" si="102"/>
        <v>13510</v>
      </c>
      <c r="AX179" s="257">
        <v>0</v>
      </c>
      <c r="AY179" s="255">
        <v>0</v>
      </c>
      <c r="AZ179" s="258"/>
      <c r="BA179" s="259">
        <v>0</v>
      </c>
      <c r="BB179" s="225">
        <v>0</v>
      </c>
      <c r="BC179" s="255">
        <v>0</v>
      </c>
      <c r="BD179" s="255">
        <v>0</v>
      </c>
      <c r="BE179" s="255"/>
      <c r="BF179" s="255"/>
      <c r="BG179" s="255">
        <v>0</v>
      </c>
      <c r="BH179" s="255">
        <v>0</v>
      </c>
      <c r="BI179" s="255">
        <v>0</v>
      </c>
      <c r="BJ179" s="256"/>
      <c r="BK179" s="256"/>
      <c r="BL179" s="256"/>
      <c r="BM179" s="248">
        <f t="shared" si="104"/>
        <v>13510</v>
      </c>
      <c r="BN179" s="257"/>
      <c r="BO179" s="255"/>
      <c r="BP179" s="256"/>
      <c r="BQ179" s="249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7">
        <f t="shared" si="93"/>
        <v>13510</v>
      </c>
      <c r="CD179" s="244">
        <v>13510</v>
      </c>
      <c r="CE179" s="244">
        <f t="shared" si="103"/>
        <v>0</v>
      </c>
      <c r="CF179" s="244"/>
    </row>
    <row r="180" spans="1:84" x14ac:dyDescent="0.2">
      <c r="A180" s="245" t="s">
        <v>23</v>
      </c>
      <c r="B180" s="246" t="s">
        <v>51</v>
      </c>
      <c r="C180" s="246" t="s">
        <v>507</v>
      </c>
      <c r="D180" s="246" t="s">
        <v>538</v>
      </c>
      <c r="E180" s="247" t="s">
        <v>213</v>
      </c>
      <c r="F180" s="247" t="s">
        <v>712</v>
      </c>
      <c r="G180" s="233" t="str">
        <f t="shared" si="94"/>
        <v>0</v>
      </c>
      <c r="H180" s="233" t="str">
        <f t="shared" si="95"/>
        <v>1</v>
      </c>
      <c r="I180" s="233" t="str">
        <f t="shared" si="96"/>
        <v>0</v>
      </c>
      <c r="J180" s="233" t="str">
        <f t="shared" si="97"/>
        <v>0</v>
      </c>
      <c r="K180" s="233" t="str">
        <f t="shared" si="98"/>
        <v>0100</v>
      </c>
      <c r="L180" s="247" t="str">
        <f t="shared" si="99"/>
        <v>08800220District Design and Led 18-21</v>
      </c>
      <c r="M180" s="255"/>
      <c r="N180" s="255"/>
      <c r="O180" s="255"/>
      <c r="P180" s="255"/>
      <c r="Q180" s="225">
        <f t="shared" si="100"/>
        <v>0</v>
      </c>
      <c r="R180" s="225"/>
      <c r="S180" s="225">
        <v>14191</v>
      </c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25">
        <f t="shared" si="101"/>
        <v>14191</v>
      </c>
      <c r="AG180" s="255"/>
      <c r="AH180" s="255">
        <v>0</v>
      </c>
      <c r="AI180" s="255"/>
      <c r="AJ180" s="255"/>
      <c r="AK180" s="255"/>
      <c r="AL180" s="255"/>
      <c r="AM180" s="255"/>
      <c r="AN180" s="255">
        <v>0</v>
      </c>
      <c r="AO180" s="255">
        <v>0</v>
      </c>
      <c r="AP180" s="255"/>
      <c r="AQ180" s="255"/>
      <c r="AR180" s="255"/>
      <c r="AS180" s="255"/>
      <c r="AT180" s="256">
        <v>0</v>
      </c>
      <c r="AU180" s="256">
        <v>0</v>
      </c>
      <c r="AV180" s="256">
        <v>0</v>
      </c>
      <c r="AW180" s="227">
        <f t="shared" si="102"/>
        <v>14191</v>
      </c>
      <c r="AX180" s="257">
        <v>0</v>
      </c>
      <c r="AY180" s="255">
        <v>0</v>
      </c>
      <c r="AZ180" s="258"/>
      <c r="BA180" s="259">
        <v>0</v>
      </c>
      <c r="BB180" s="225">
        <v>0</v>
      </c>
      <c r="BC180" s="255">
        <v>0</v>
      </c>
      <c r="BD180" s="255">
        <v>0</v>
      </c>
      <c r="BE180" s="255"/>
      <c r="BF180" s="255"/>
      <c r="BG180" s="255">
        <v>0</v>
      </c>
      <c r="BH180" s="255">
        <v>0</v>
      </c>
      <c r="BI180" s="255">
        <v>0</v>
      </c>
      <c r="BJ180" s="256"/>
      <c r="BK180" s="256"/>
      <c r="BL180" s="256"/>
      <c r="BM180" s="248">
        <f t="shared" si="104"/>
        <v>14191</v>
      </c>
      <c r="BN180" s="257"/>
      <c r="BO180" s="255"/>
      <c r="BP180" s="256"/>
      <c r="BQ180" s="249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7">
        <f t="shared" si="93"/>
        <v>14191</v>
      </c>
      <c r="CD180" s="244">
        <v>14191</v>
      </c>
      <c r="CE180" s="244">
        <f t="shared" si="103"/>
        <v>0</v>
      </c>
      <c r="CF180" s="244"/>
    </row>
    <row r="181" spans="1:84" x14ac:dyDescent="0.2">
      <c r="A181" s="245" t="s">
        <v>23</v>
      </c>
      <c r="B181" s="246" t="s">
        <v>52</v>
      </c>
      <c r="C181" s="246" t="s">
        <v>507</v>
      </c>
      <c r="D181" s="246" t="s">
        <v>128</v>
      </c>
      <c r="E181" s="247" t="s">
        <v>211</v>
      </c>
      <c r="F181" s="247" t="s">
        <v>712</v>
      </c>
      <c r="G181" s="233" t="str">
        <f t="shared" si="94"/>
        <v>1</v>
      </c>
      <c r="H181" s="233" t="str">
        <f t="shared" si="95"/>
        <v>0</v>
      </c>
      <c r="I181" s="233" t="str">
        <f t="shared" si="96"/>
        <v>0</v>
      </c>
      <c r="J181" s="233" t="str">
        <f t="shared" si="97"/>
        <v>0</v>
      </c>
      <c r="K181" s="233" t="str">
        <f t="shared" si="98"/>
        <v>1000</v>
      </c>
      <c r="L181" s="247" t="str">
        <f t="shared" si="99"/>
        <v>08800388District Design and Led 17-20</v>
      </c>
      <c r="M181" s="225">
        <v>13946</v>
      </c>
      <c r="N181" s="255"/>
      <c r="O181" s="255"/>
      <c r="P181" s="255"/>
      <c r="Q181" s="225">
        <f t="shared" si="100"/>
        <v>13946</v>
      </c>
      <c r="R181" s="225">
        <v>9946</v>
      </c>
      <c r="S181" s="225">
        <v>0</v>
      </c>
      <c r="T181" s="255"/>
      <c r="U181" s="255"/>
      <c r="V181" s="255"/>
      <c r="W181" s="255"/>
      <c r="X181" s="255"/>
      <c r="Y181" s="255"/>
      <c r="Z181" s="225">
        <v>-3467</v>
      </c>
      <c r="AA181" s="255"/>
      <c r="AB181" s="255"/>
      <c r="AC181" s="255"/>
      <c r="AD181" s="255"/>
      <c r="AE181" s="255"/>
      <c r="AF181" s="225">
        <f t="shared" si="101"/>
        <v>20425</v>
      </c>
      <c r="AG181" s="255"/>
      <c r="AH181" s="255">
        <v>0</v>
      </c>
      <c r="AI181" s="255"/>
      <c r="AJ181" s="255"/>
      <c r="AK181" s="255"/>
      <c r="AL181" s="255"/>
      <c r="AM181" s="255"/>
      <c r="AN181" s="255">
        <v>0</v>
      </c>
      <c r="AO181" s="255">
        <v>0</v>
      </c>
      <c r="AP181" s="255"/>
      <c r="AQ181" s="255"/>
      <c r="AR181" s="255"/>
      <c r="AS181" s="255"/>
      <c r="AT181" s="256">
        <v>0</v>
      </c>
      <c r="AU181" s="256">
        <v>0</v>
      </c>
      <c r="AV181" s="256">
        <v>0</v>
      </c>
      <c r="AW181" s="227">
        <f t="shared" si="102"/>
        <v>20425</v>
      </c>
      <c r="AX181" s="257">
        <v>0</v>
      </c>
      <c r="AY181" s="255">
        <v>0</v>
      </c>
      <c r="AZ181" s="258"/>
      <c r="BA181" s="259">
        <v>0</v>
      </c>
      <c r="BB181" s="225">
        <v>0</v>
      </c>
      <c r="BC181" s="255">
        <v>0</v>
      </c>
      <c r="BD181" s="255">
        <v>0</v>
      </c>
      <c r="BE181" s="255"/>
      <c r="BF181" s="255"/>
      <c r="BG181" s="255">
        <v>0</v>
      </c>
      <c r="BH181" s="255">
        <v>0</v>
      </c>
      <c r="BI181" s="255">
        <v>0</v>
      </c>
      <c r="BJ181" s="256"/>
      <c r="BK181" s="256"/>
      <c r="BL181" s="256"/>
      <c r="BM181" s="248">
        <f t="shared" si="104"/>
        <v>20425</v>
      </c>
      <c r="BN181" s="257"/>
      <c r="BO181" s="255"/>
      <c r="BP181" s="256"/>
      <c r="BQ181" s="249"/>
      <c r="BR181" s="225"/>
      <c r="BS181" s="225"/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7">
        <f t="shared" si="93"/>
        <v>20425</v>
      </c>
      <c r="CD181" s="244">
        <v>20425</v>
      </c>
      <c r="CE181" s="244">
        <f t="shared" si="103"/>
        <v>0</v>
      </c>
      <c r="CF181" s="244"/>
    </row>
    <row r="182" spans="1:84" x14ac:dyDescent="0.2">
      <c r="A182" s="245" t="s">
        <v>23</v>
      </c>
      <c r="B182" s="246" t="s">
        <v>52</v>
      </c>
      <c r="C182" s="246" t="s">
        <v>507</v>
      </c>
      <c r="D182" s="246" t="s">
        <v>128</v>
      </c>
      <c r="E182" s="247" t="s">
        <v>213</v>
      </c>
      <c r="F182" s="247" t="s">
        <v>712</v>
      </c>
      <c r="G182" s="233" t="str">
        <f t="shared" si="94"/>
        <v>0</v>
      </c>
      <c r="H182" s="233" t="str">
        <f t="shared" si="95"/>
        <v>1</v>
      </c>
      <c r="I182" s="233" t="str">
        <f t="shared" si="96"/>
        <v>0</v>
      </c>
      <c r="J182" s="233" t="str">
        <f t="shared" si="97"/>
        <v>0</v>
      </c>
      <c r="K182" s="233" t="str">
        <f t="shared" si="98"/>
        <v>0100</v>
      </c>
      <c r="L182" s="247" t="str">
        <f t="shared" si="99"/>
        <v>08800388District Design and Led 18-21</v>
      </c>
      <c r="M182" s="255"/>
      <c r="N182" s="255"/>
      <c r="O182" s="255"/>
      <c r="P182" s="255"/>
      <c r="Q182" s="225">
        <f t="shared" si="100"/>
        <v>0</v>
      </c>
      <c r="R182" s="225"/>
      <c r="S182" s="225">
        <v>42469</v>
      </c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25">
        <f t="shared" si="101"/>
        <v>42469</v>
      </c>
      <c r="AG182" s="255"/>
      <c r="AH182" s="255">
        <v>0</v>
      </c>
      <c r="AI182" s="255"/>
      <c r="AJ182" s="255"/>
      <c r="AK182" s="255"/>
      <c r="AL182" s="255"/>
      <c r="AM182" s="255"/>
      <c r="AN182" s="255">
        <v>0</v>
      </c>
      <c r="AO182" s="255">
        <v>0</v>
      </c>
      <c r="AP182" s="255"/>
      <c r="AQ182" s="255"/>
      <c r="AR182" s="255"/>
      <c r="AS182" s="255"/>
      <c r="AT182" s="256">
        <v>0</v>
      </c>
      <c r="AU182" s="256">
        <v>0</v>
      </c>
      <c r="AV182" s="256">
        <v>0</v>
      </c>
      <c r="AW182" s="227">
        <f t="shared" si="102"/>
        <v>42469</v>
      </c>
      <c r="AX182" s="257">
        <v>0</v>
      </c>
      <c r="AY182" s="255">
        <v>0</v>
      </c>
      <c r="AZ182" s="258"/>
      <c r="BA182" s="259">
        <v>0</v>
      </c>
      <c r="BB182" s="225">
        <v>0</v>
      </c>
      <c r="BC182" s="255">
        <v>0</v>
      </c>
      <c r="BD182" s="255">
        <v>0</v>
      </c>
      <c r="BE182" s="255"/>
      <c r="BF182" s="255"/>
      <c r="BG182" s="255">
        <v>0</v>
      </c>
      <c r="BH182" s="255">
        <v>0</v>
      </c>
      <c r="BI182" s="255">
        <v>0</v>
      </c>
      <c r="BJ182" s="256"/>
      <c r="BK182" s="256"/>
      <c r="BL182" s="256"/>
      <c r="BM182" s="248">
        <f t="shared" si="104"/>
        <v>42469</v>
      </c>
      <c r="BN182" s="257"/>
      <c r="BO182" s="255"/>
      <c r="BP182" s="256"/>
      <c r="BQ182" s="249"/>
      <c r="BR182" s="225"/>
      <c r="BS182" s="225"/>
      <c r="BT182" s="225"/>
      <c r="BU182" s="225"/>
      <c r="BV182" s="225"/>
      <c r="BW182" s="225"/>
      <c r="BX182" s="225"/>
      <c r="BY182" s="225"/>
      <c r="BZ182" s="225"/>
      <c r="CA182" s="225"/>
      <c r="CB182" s="225"/>
      <c r="CC182" s="227">
        <f t="shared" si="93"/>
        <v>42469</v>
      </c>
      <c r="CD182" s="244">
        <v>42469</v>
      </c>
      <c r="CE182" s="244">
        <f t="shared" si="103"/>
        <v>0</v>
      </c>
      <c r="CF182" s="244"/>
    </row>
    <row r="183" spans="1:84" x14ac:dyDescent="0.2">
      <c r="A183" s="245" t="s">
        <v>23</v>
      </c>
      <c r="B183" s="246" t="s">
        <v>53</v>
      </c>
      <c r="C183" s="246" t="s">
        <v>507</v>
      </c>
      <c r="D183" s="246" t="s">
        <v>129</v>
      </c>
      <c r="E183" s="247" t="s">
        <v>211</v>
      </c>
      <c r="F183" s="247" t="s">
        <v>712</v>
      </c>
      <c r="G183" s="233" t="str">
        <f t="shared" si="94"/>
        <v>1</v>
      </c>
      <c r="H183" s="233" t="str">
        <f t="shared" si="95"/>
        <v>0</v>
      </c>
      <c r="I183" s="233" t="str">
        <f t="shared" si="96"/>
        <v>0</v>
      </c>
      <c r="J183" s="233" t="str">
        <f t="shared" si="97"/>
        <v>0</v>
      </c>
      <c r="K183" s="233" t="str">
        <f t="shared" si="98"/>
        <v>1000</v>
      </c>
      <c r="L183" s="247" t="str">
        <f t="shared" si="99"/>
        <v>08800520District Design and Led 17-20</v>
      </c>
      <c r="M183" s="225">
        <v>13946</v>
      </c>
      <c r="N183" s="255"/>
      <c r="O183" s="255"/>
      <c r="P183" s="255"/>
      <c r="Q183" s="225">
        <f t="shared" si="100"/>
        <v>13946</v>
      </c>
      <c r="R183" s="225">
        <v>9946</v>
      </c>
      <c r="S183" s="225">
        <v>0</v>
      </c>
      <c r="T183" s="255"/>
      <c r="U183" s="255"/>
      <c r="V183" s="255"/>
      <c r="W183" s="255"/>
      <c r="X183" s="255"/>
      <c r="Y183" s="255"/>
      <c r="Z183" s="225">
        <v>-3467</v>
      </c>
      <c r="AA183" s="255"/>
      <c r="AB183" s="255"/>
      <c r="AC183" s="255"/>
      <c r="AD183" s="255"/>
      <c r="AE183" s="255"/>
      <c r="AF183" s="225">
        <f t="shared" si="101"/>
        <v>20425</v>
      </c>
      <c r="AG183" s="255"/>
      <c r="AH183" s="255">
        <v>0</v>
      </c>
      <c r="AI183" s="255"/>
      <c r="AJ183" s="255"/>
      <c r="AK183" s="255"/>
      <c r="AL183" s="255"/>
      <c r="AM183" s="255"/>
      <c r="AN183" s="255">
        <v>0</v>
      </c>
      <c r="AO183" s="255">
        <v>0</v>
      </c>
      <c r="AP183" s="255"/>
      <c r="AQ183" s="255"/>
      <c r="AR183" s="255"/>
      <c r="AS183" s="255"/>
      <c r="AT183" s="256">
        <v>0</v>
      </c>
      <c r="AU183" s="256">
        <v>0</v>
      </c>
      <c r="AV183" s="256">
        <v>0</v>
      </c>
      <c r="AW183" s="227">
        <f t="shared" si="102"/>
        <v>20425</v>
      </c>
      <c r="AX183" s="257">
        <v>0</v>
      </c>
      <c r="AY183" s="255">
        <v>0</v>
      </c>
      <c r="AZ183" s="258"/>
      <c r="BA183" s="259">
        <v>0</v>
      </c>
      <c r="BB183" s="225">
        <v>0</v>
      </c>
      <c r="BC183" s="255">
        <v>0</v>
      </c>
      <c r="BD183" s="255">
        <v>0</v>
      </c>
      <c r="BE183" s="255"/>
      <c r="BF183" s="255"/>
      <c r="BG183" s="255">
        <v>0</v>
      </c>
      <c r="BH183" s="255">
        <v>0</v>
      </c>
      <c r="BI183" s="255">
        <v>0</v>
      </c>
      <c r="BJ183" s="256"/>
      <c r="BK183" s="256"/>
      <c r="BL183" s="256"/>
      <c r="BM183" s="248">
        <f t="shared" si="104"/>
        <v>20425</v>
      </c>
      <c r="BN183" s="257"/>
      <c r="BO183" s="255"/>
      <c r="BP183" s="256"/>
      <c r="BQ183" s="249"/>
      <c r="BR183" s="225"/>
      <c r="BS183" s="225"/>
      <c r="BT183" s="225"/>
      <c r="BU183" s="225"/>
      <c r="BV183" s="225"/>
      <c r="BW183" s="225"/>
      <c r="BX183" s="225"/>
      <c r="BY183" s="225"/>
      <c r="BZ183" s="225"/>
      <c r="CA183" s="225"/>
      <c r="CB183" s="225"/>
      <c r="CC183" s="227">
        <f t="shared" si="93"/>
        <v>20425</v>
      </c>
      <c r="CD183" s="244">
        <v>20425</v>
      </c>
      <c r="CE183" s="244">
        <f t="shared" si="103"/>
        <v>0</v>
      </c>
      <c r="CF183" s="244"/>
    </row>
    <row r="184" spans="1:84" x14ac:dyDescent="0.2">
      <c r="A184" s="245" t="s">
        <v>23</v>
      </c>
      <c r="B184" s="246" t="s">
        <v>53</v>
      </c>
      <c r="C184" s="246" t="s">
        <v>507</v>
      </c>
      <c r="D184" s="246" t="s">
        <v>129</v>
      </c>
      <c r="E184" s="247" t="s">
        <v>213</v>
      </c>
      <c r="F184" s="247" t="s">
        <v>712</v>
      </c>
      <c r="G184" s="233" t="str">
        <f t="shared" si="94"/>
        <v>0</v>
      </c>
      <c r="H184" s="233" t="str">
        <f t="shared" si="95"/>
        <v>1</v>
      </c>
      <c r="I184" s="233" t="str">
        <f t="shared" si="96"/>
        <v>0</v>
      </c>
      <c r="J184" s="233" t="str">
        <f t="shared" si="97"/>
        <v>0</v>
      </c>
      <c r="K184" s="233" t="str">
        <f t="shared" si="98"/>
        <v>0100</v>
      </c>
      <c r="L184" s="247" t="str">
        <f t="shared" si="99"/>
        <v>08800520District Design and Led 18-21</v>
      </c>
      <c r="M184" s="255"/>
      <c r="N184" s="255"/>
      <c r="O184" s="255"/>
      <c r="P184" s="255"/>
      <c r="Q184" s="225">
        <f t="shared" si="100"/>
        <v>0</v>
      </c>
      <c r="R184" s="225"/>
      <c r="S184" s="225">
        <v>28278</v>
      </c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25">
        <f t="shared" si="101"/>
        <v>28278</v>
      </c>
      <c r="AG184" s="255"/>
      <c r="AH184" s="255">
        <v>0</v>
      </c>
      <c r="AI184" s="255"/>
      <c r="AJ184" s="255"/>
      <c r="AK184" s="255"/>
      <c r="AL184" s="255"/>
      <c r="AM184" s="255"/>
      <c r="AN184" s="255">
        <v>0</v>
      </c>
      <c r="AO184" s="255">
        <v>0</v>
      </c>
      <c r="AP184" s="255"/>
      <c r="AQ184" s="255"/>
      <c r="AR184" s="255"/>
      <c r="AS184" s="255"/>
      <c r="AT184" s="256">
        <v>0</v>
      </c>
      <c r="AU184" s="256">
        <v>0</v>
      </c>
      <c r="AV184" s="256">
        <v>0</v>
      </c>
      <c r="AW184" s="227">
        <f t="shared" si="102"/>
        <v>28278</v>
      </c>
      <c r="AX184" s="257">
        <v>0</v>
      </c>
      <c r="AY184" s="255">
        <v>0</v>
      </c>
      <c r="AZ184" s="258"/>
      <c r="BA184" s="259">
        <v>0</v>
      </c>
      <c r="BB184" s="225">
        <v>0</v>
      </c>
      <c r="BC184" s="255">
        <v>0</v>
      </c>
      <c r="BD184" s="255">
        <v>0</v>
      </c>
      <c r="BE184" s="255"/>
      <c r="BF184" s="255"/>
      <c r="BG184" s="255">
        <v>0</v>
      </c>
      <c r="BH184" s="255">
        <v>0</v>
      </c>
      <c r="BI184" s="255">
        <v>0</v>
      </c>
      <c r="BJ184" s="256"/>
      <c r="BK184" s="256"/>
      <c r="BL184" s="256"/>
      <c r="BM184" s="248">
        <f t="shared" si="104"/>
        <v>28278</v>
      </c>
      <c r="BN184" s="257"/>
      <c r="BO184" s="255"/>
      <c r="BP184" s="256"/>
      <c r="BQ184" s="249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225"/>
      <c r="CB184" s="225"/>
      <c r="CC184" s="227">
        <f t="shared" si="93"/>
        <v>28278</v>
      </c>
      <c r="CD184" s="244">
        <v>28278</v>
      </c>
      <c r="CE184" s="244">
        <f t="shared" si="103"/>
        <v>0</v>
      </c>
      <c r="CF184" s="244"/>
    </row>
    <row r="185" spans="1:84" x14ac:dyDescent="0.2">
      <c r="A185" s="245" t="s">
        <v>23</v>
      </c>
      <c r="B185" s="246" t="s">
        <v>54</v>
      </c>
      <c r="C185" s="246" t="s">
        <v>507</v>
      </c>
      <c r="D185" s="246" t="s">
        <v>130</v>
      </c>
      <c r="E185" s="247" t="s">
        <v>211</v>
      </c>
      <c r="F185" s="247" t="s">
        <v>712</v>
      </c>
      <c r="G185" s="233" t="str">
        <f t="shared" si="94"/>
        <v>1</v>
      </c>
      <c r="H185" s="233" t="str">
        <f t="shared" si="95"/>
        <v>0</v>
      </c>
      <c r="I185" s="233" t="str">
        <f t="shared" si="96"/>
        <v>0</v>
      </c>
      <c r="J185" s="233" t="str">
        <f t="shared" si="97"/>
        <v>0</v>
      </c>
      <c r="K185" s="233" t="str">
        <f t="shared" si="98"/>
        <v>1000</v>
      </c>
      <c r="L185" s="247" t="str">
        <f t="shared" si="99"/>
        <v>08800650District Design and Led 17-20</v>
      </c>
      <c r="M185" s="225">
        <v>13946</v>
      </c>
      <c r="N185" s="255"/>
      <c r="O185" s="255"/>
      <c r="P185" s="255"/>
      <c r="Q185" s="225">
        <f t="shared" si="100"/>
        <v>13946</v>
      </c>
      <c r="R185" s="225">
        <v>9946</v>
      </c>
      <c r="S185" s="225">
        <v>0</v>
      </c>
      <c r="T185" s="255"/>
      <c r="U185" s="255"/>
      <c r="V185" s="255"/>
      <c r="W185" s="255"/>
      <c r="X185" s="255"/>
      <c r="Y185" s="255"/>
      <c r="Z185" s="225">
        <v>-3467</v>
      </c>
      <c r="AA185" s="255"/>
      <c r="AB185" s="255"/>
      <c r="AC185" s="255"/>
      <c r="AD185" s="255"/>
      <c r="AE185" s="255"/>
      <c r="AF185" s="225">
        <f t="shared" si="101"/>
        <v>20425</v>
      </c>
      <c r="AG185" s="255"/>
      <c r="AH185" s="255">
        <v>0</v>
      </c>
      <c r="AI185" s="255"/>
      <c r="AJ185" s="255"/>
      <c r="AK185" s="255"/>
      <c r="AL185" s="255"/>
      <c r="AM185" s="255"/>
      <c r="AN185" s="255">
        <v>0</v>
      </c>
      <c r="AO185" s="255">
        <v>0</v>
      </c>
      <c r="AP185" s="255"/>
      <c r="AQ185" s="255"/>
      <c r="AR185" s="255"/>
      <c r="AS185" s="255"/>
      <c r="AT185" s="256">
        <v>0</v>
      </c>
      <c r="AU185" s="256">
        <v>0</v>
      </c>
      <c r="AV185" s="256">
        <v>0</v>
      </c>
      <c r="AW185" s="227">
        <f t="shared" si="102"/>
        <v>20425</v>
      </c>
      <c r="AX185" s="257">
        <v>0</v>
      </c>
      <c r="AY185" s="255">
        <v>0</v>
      </c>
      <c r="AZ185" s="258"/>
      <c r="BA185" s="259">
        <v>0</v>
      </c>
      <c r="BB185" s="225">
        <v>0</v>
      </c>
      <c r="BC185" s="255">
        <v>0</v>
      </c>
      <c r="BD185" s="255">
        <v>0</v>
      </c>
      <c r="BE185" s="255"/>
      <c r="BF185" s="255"/>
      <c r="BG185" s="255">
        <v>0</v>
      </c>
      <c r="BH185" s="255">
        <v>0</v>
      </c>
      <c r="BI185" s="255">
        <v>0</v>
      </c>
      <c r="BJ185" s="256"/>
      <c r="BK185" s="256"/>
      <c r="BL185" s="256"/>
      <c r="BM185" s="248">
        <f t="shared" si="104"/>
        <v>20425</v>
      </c>
      <c r="BN185" s="257"/>
      <c r="BO185" s="255"/>
      <c r="BP185" s="256"/>
      <c r="BQ185" s="249"/>
      <c r="BR185" s="225"/>
      <c r="BS185" s="225"/>
      <c r="BT185" s="225"/>
      <c r="BU185" s="225"/>
      <c r="BV185" s="225"/>
      <c r="BW185" s="225"/>
      <c r="BX185" s="225"/>
      <c r="BY185" s="225"/>
      <c r="BZ185" s="225"/>
      <c r="CA185" s="225"/>
      <c r="CB185" s="225"/>
      <c r="CC185" s="227">
        <f t="shared" si="93"/>
        <v>20425</v>
      </c>
      <c r="CD185" s="244">
        <v>20425</v>
      </c>
      <c r="CE185" s="244">
        <f t="shared" si="103"/>
        <v>0</v>
      </c>
      <c r="CF185" s="244"/>
    </row>
    <row r="186" spans="1:84" x14ac:dyDescent="0.2">
      <c r="A186" s="245" t="s">
        <v>23</v>
      </c>
      <c r="B186" s="246" t="s">
        <v>54</v>
      </c>
      <c r="C186" s="246" t="s">
        <v>507</v>
      </c>
      <c r="D186" s="246" t="s">
        <v>130</v>
      </c>
      <c r="E186" s="247" t="s">
        <v>213</v>
      </c>
      <c r="F186" s="247" t="s">
        <v>712</v>
      </c>
      <c r="G186" s="233" t="str">
        <f t="shared" si="94"/>
        <v>0</v>
      </c>
      <c r="H186" s="233" t="str">
        <f t="shared" si="95"/>
        <v>1</v>
      </c>
      <c r="I186" s="233" t="str">
        <f t="shared" si="96"/>
        <v>0</v>
      </c>
      <c r="J186" s="233" t="str">
        <f t="shared" si="97"/>
        <v>0</v>
      </c>
      <c r="K186" s="233" t="str">
        <f t="shared" si="98"/>
        <v>0100</v>
      </c>
      <c r="L186" s="247" t="str">
        <f t="shared" si="99"/>
        <v>08800650District Design and Led 18-21</v>
      </c>
      <c r="M186" s="255"/>
      <c r="N186" s="255"/>
      <c r="O186" s="255"/>
      <c r="P186" s="255"/>
      <c r="Q186" s="225">
        <f t="shared" si="100"/>
        <v>0</v>
      </c>
      <c r="R186" s="225"/>
      <c r="S186" s="225">
        <v>22028</v>
      </c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25">
        <f t="shared" si="101"/>
        <v>22028</v>
      </c>
      <c r="AG186" s="255"/>
      <c r="AH186" s="255">
        <v>0</v>
      </c>
      <c r="AI186" s="255"/>
      <c r="AJ186" s="255"/>
      <c r="AK186" s="255"/>
      <c r="AL186" s="255"/>
      <c r="AM186" s="255"/>
      <c r="AN186" s="255">
        <v>0</v>
      </c>
      <c r="AO186" s="255">
        <v>0</v>
      </c>
      <c r="AP186" s="255"/>
      <c r="AQ186" s="255"/>
      <c r="AR186" s="255"/>
      <c r="AS186" s="255"/>
      <c r="AT186" s="256">
        <v>0</v>
      </c>
      <c r="AU186" s="256">
        <v>0</v>
      </c>
      <c r="AV186" s="256">
        <v>0</v>
      </c>
      <c r="AW186" s="227">
        <f t="shared" si="102"/>
        <v>22028</v>
      </c>
      <c r="AX186" s="257">
        <v>0</v>
      </c>
      <c r="AY186" s="255">
        <v>0</v>
      </c>
      <c r="AZ186" s="258"/>
      <c r="BA186" s="259">
        <v>0</v>
      </c>
      <c r="BB186" s="225">
        <v>0</v>
      </c>
      <c r="BC186" s="255">
        <v>0</v>
      </c>
      <c r="BD186" s="255">
        <v>0</v>
      </c>
      <c r="BE186" s="255"/>
      <c r="BF186" s="255"/>
      <c r="BG186" s="255">
        <v>0</v>
      </c>
      <c r="BH186" s="255">
        <v>0</v>
      </c>
      <c r="BI186" s="255">
        <v>0</v>
      </c>
      <c r="BJ186" s="256"/>
      <c r="BK186" s="256"/>
      <c r="BL186" s="256"/>
      <c r="BM186" s="248">
        <f t="shared" si="104"/>
        <v>22028</v>
      </c>
      <c r="BN186" s="257"/>
      <c r="BO186" s="255"/>
      <c r="BP186" s="256"/>
      <c r="BQ186" s="249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7">
        <f t="shared" si="93"/>
        <v>22028</v>
      </c>
      <c r="CD186" s="244">
        <v>22028</v>
      </c>
      <c r="CE186" s="244">
        <f t="shared" si="103"/>
        <v>0</v>
      </c>
      <c r="CF186" s="244"/>
    </row>
    <row r="187" spans="1:84" x14ac:dyDescent="0.2">
      <c r="A187" s="245" t="s">
        <v>23</v>
      </c>
      <c r="B187" s="246" t="s">
        <v>410</v>
      </c>
      <c r="C187" s="246" t="s">
        <v>507</v>
      </c>
      <c r="D187" s="246" t="s">
        <v>531</v>
      </c>
      <c r="E187" s="247" t="s">
        <v>213</v>
      </c>
      <c r="F187" s="247" t="s">
        <v>712</v>
      </c>
      <c r="G187" s="233" t="str">
        <f t="shared" si="94"/>
        <v>0</v>
      </c>
      <c r="H187" s="233" t="str">
        <f t="shared" si="95"/>
        <v>1</v>
      </c>
      <c r="I187" s="233" t="str">
        <f t="shared" si="96"/>
        <v>0</v>
      </c>
      <c r="J187" s="233" t="str">
        <f t="shared" si="97"/>
        <v>0</v>
      </c>
      <c r="K187" s="233" t="str">
        <f t="shared" si="98"/>
        <v>0100</v>
      </c>
      <c r="L187" s="247" t="str">
        <f t="shared" si="99"/>
        <v>08801076District Design and Led 18-21</v>
      </c>
      <c r="M187" s="255"/>
      <c r="N187" s="255"/>
      <c r="O187" s="255"/>
      <c r="P187" s="255"/>
      <c r="Q187" s="225">
        <f t="shared" si="100"/>
        <v>0</v>
      </c>
      <c r="R187" s="225"/>
      <c r="S187" s="225">
        <v>7837</v>
      </c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25">
        <f t="shared" si="101"/>
        <v>7837</v>
      </c>
      <c r="AG187" s="255"/>
      <c r="AH187" s="255">
        <v>0</v>
      </c>
      <c r="AI187" s="255"/>
      <c r="AJ187" s="255"/>
      <c r="AK187" s="255"/>
      <c r="AL187" s="255"/>
      <c r="AM187" s="255"/>
      <c r="AN187" s="255">
        <v>0</v>
      </c>
      <c r="AO187" s="255">
        <v>0</v>
      </c>
      <c r="AP187" s="255"/>
      <c r="AQ187" s="255"/>
      <c r="AR187" s="255"/>
      <c r="AS187" s="255"/>
      <c r="AT187" s="256">
        <v>0</v>
      </c>
      <c r="AU187" s="256">
        <v>0</v>
      </c>
      <c r="AV187" s="256">
        <v>0</v>
      </c>
      <c r="AW187" s="227">
        <f t="shared" si="102"/>
        <v>7837</v>
      </c>
      <c r="AX187" s="257">
        <v>0</v>
      </c>
      <c r="AY187" s="255">
        <v>0</v>
      </c>
      <c r="AZ187" s="258"/>
      <c r="BA187" s="259">
        <v>0</v>
      </c>
      <c r="BB187" s="225">
        <v>0</v>
      </c>
      <c r="BC187" s="255">
        <v>0</v>
      </c>
      <c r="BD187" s="255">
        <v>0</v>
      </c>
      <c r="BE187" s="255"/>
      <c r="BF187" s="255"/>
      <c r="BG187" s="255">
        <v>0</v>
      </c>
      <c r="BH187" s="255">
        <v>0</v>
      </c>
      <c r="BI187" s="255">
        <v>0</v>
      </c>
      <c r="BJ187" s="256"/>
      <c r="BK187" s="256"/>
      <c r="BL187" s="256"/>
      <c r="BM187" s="248">
        <f t="shared" si="104"/>
        <v>7837</v>
      </c>
      <c r="BN187" s="257"/>
      <c r="BO187" s="255"/>
      <c r="BP187" s="256"/>
      <c r="BQ187" s="249"/>
      <c r="BR187" s="225"/>
      <c r="BS187" s="225"/>
      <c r="BT187" s="225"/>
      <c r="BU187" s="225"/>
      <c r="BV187" s="225"/>
      <c r="BW187" s="225"/>
      <c r="BX187" s="225"/>
      <c r="BY187" s="225"/>
      <c r="BZ187" s="225"/>
      <c r="CA187" s="225"/>
      <c r="CB187" s="225"/>
      <c r="CC187" s="227">
        <f t="shared" si="93"/>
        <v>7837</v>
      </c>
      <c r="CD187" s="244">
        <v>7837</v>
      </c>
      <c r="CE187" s="244">
        <f t="shared" si="103"/>
        <v>0</v>
      </c>
      <c r="CF187" s="244"/>
    </row>
    <row r="188" spans="1:84" x14ac:dyDescent="0.2">
      <c r="A188" s="245" t="s">
        <v>23</v>
      </c>
      <c r="B188" s="246" t="s">
        <v>56</v>
      </c>
      <c r="C188" s="246" t="s">
        <v>507</v>
      </c>
      <c r="D188" s="246" t="s">
        <v>132</v>
      </c>
      <c r="E188" s="247" t="s">
        <v>211</v>
      </c>
      <c r="F188" s="247" t="s">
        <v>712</v>
      </c>
      <c r="G188" s="233" t="str">
        <f t="shared" si="94"/>
        <v>1</v>
      </c>
      <c r="H188" s="233" t="str">
        <f t="shared" si="95"/>
        <v>0</v>
      </c>
      <c r="I188" s="233" t="str">
        <f t="shared" si="96"/>
        <v>0</v>
      </c>
      <c r="J188" s="233" t="str">
        <f t="shared" si="97"/>
        <v>0</v>
      </c>
      <c r="K188" s="233" t="str">
        <f t="shared" si="98"/>
        <v>1000</v>
      </c>
      <c r="L188" s="247" t="str">
        <f t="shared" si="99"/>
        <v>08801295District Design and Led 17-20</v>
      </c>
      <c r="M188" s="225">
        <v>18112</v>
      </c>
      <c r="N188" s="255"/>
      <c r="O188" s="255"/>
      <c r="P188" s="255"/>
      <c r="Q188" s="225">
        <f t="shared" si="100"/>
        <v>18112</v>
      </c>
      <c r="R188" s="225">
        <v>14908</v>
      </c>
      <c r="S188" s="225">
        <v>0</v>
      </c>
      <c r="T188" s="255"/>
      <c r="U188" s="255"/>
      <c r="V188" s="255"/>
      <c r="W188" s="255"/>
      <c r="X188" s="255"/>
      <c r="Y188" s="255"/>
      <c r="Z188" s="225">
        <v>-5555</v>
      </c>
      <c r="AA188" s="255"/>
      <c r="AB188" s="255"/>
      <c r="AC188" s="255"/>
      <c r="AD188" s="255"/>
      <c r="AE188" s="255"/>
      <c r="AF188" s="225">
        <f t="shared" si="101"/>
        <v>27465</v>
      </c>
      <c r="AG188" s="255"/>
      <c r="AH188" s="255">
        <v>0</v>
      </c>
      <c r="AI188" s="255"/>
      <c r="AJ188" s="255"/>
      <c r="AK188" s="255"/>
      <c r="AL188" s="255"/>
      <c r="AM188" s="255"/>
      <c r="AN188" s="225">
        <v>-12330.7</v>
      </c>
      <c r="AO188" s="255">
        <v>0</v>
      </c>
      <c r="AP188" s="255"/>
      <c r="AQ188" s="255"/>
      <c r="AR188" s="255"/>
      <c r="AS188" s="255"/>
      <c r="AT188" s="256">
        <v>0</v>
      </c>
      <c r="AU188" s="256">
        <v>0</v>
      </c>
      <c r="AV188" s="256">
        <v>0</v>
      </c>
      <c r="AW188" s="227">
        <f t="shared" si="102"/>
        <v>15134.3</v>
      </c>
      <c r="AX188" s="257">
        <v>0</v>
      </c>
      <c r="AY188" s="255">
        <v>0</v>
      </c>
      <c r="AZ188" s="258"/>
      <c r="BA188" s="259">
        <v>0</v>
      </c>
      <c r="BB188" s="225">
        <v>0</v>
      </c>
      <c r="BC188" s="255">
        <v>0</v>
      </c>
      <c r="BD188" s="225">
        <v>0</v>
      </c>
      <c r="BE188" s="255"/>
      <c r="BF188" s="255"/>
      <c r="BG188" s="255">
        <v>0</v>
      </c>
      <c r="BH188" s="255">
        <v>0</v>
      </c>
      <c r="BI188" s="255">
        <v>0</v>
      </c>
      <c r="BJ188" s="256"/>
      <c r="BK188" s="256"/>
      <c r="BL188" s="256"/>
      <c r="BM188" s="248">
        <f t="shared" si="104"/>
        <v>15134.3</v>
      </c>
      <c r="BN188" s="257"/>
      <c r="BO188" s="255"/>
      <c r="BP188" s="256"/>
      <c r="BQ188" s="249"/>
      <c r="BR188" s="225"/>
      <c r="BS188" s="225"/>
      <c r="BT188" s="225"/>
      <c r="BU188" s="225"/>
      <c r="BV188" s="225"/>
      <c r="BW188" s="225"/>
      <c r="BX188" s="225"/>
      <c r="BY188" s="225"/>
      <c r="BZ188" s="225"/>
      <c r="CA188" s="225"/>
      <c r="CB188" s="225"/>
      <c r="CC188" s="227">
        <f t="shared" si="93"/>
        <v>15134.3</v>
      </c>
      <c r="CD188" s="244">
        <v>15134.3</v>
      </c>
      <c r="CE188" s="244">
        <f t="shared" si="103"/>
        <v>0</v>
      </c>
      <c r="CF188" s="244"/>
    </row>
    <row r="189" spans="1:84" x14ac:dyDescent="0.2">
      <c r="A189" s="245" t="s">
        <v>23</v>
      </c>
      <c r="B189" s="246" t="s">
        <v>58</v>
      </c>
      <c r="C189" s="246" t="s">
        <v>507</v>
      </c>
      <c r="D189" s="246" t="s">
        <v>134</v>
      </c>
      <c r="E189" s="247" t="s">
        <v>211</v>
      </c>
      <c r="F189" s="247" t="s">
        <v>712</v>
      </c>
      <c r="G189" s="233" t="str">
        <f t="shared" si="94"/>
        <v>1</v>
      </c>
      <c r="H189" s="233" t="str">
        <f t="shared" si="95"/>
        <v>0</v>
      </c>
      <c r="I189" s="233" t="str">
        <f t="shared" si="96"/>
        <v>0</v>
      </c>
      <c r="J189" s="233" t="str">
        <f t="shared" si="97"/>
        <v>0</v>
      </c>
      <c r="K189" s="233" t="str">
        <f t="shared" si="98"/>
        <v>1000</v>
      </c>
      <c r="L189" s="247" t="str">
        <f t="shared" si="99"/>
        <v>08801489District Design and Led 17-20</v>
      </c>
      <c r="M189" s="225">
        <v>8046</v>
      </c>
      <c r="N189" s="255"/>
      <c r="O189" s="255"/>
      <c r="P189" s="255"/>
      <c r="Q189" s="225">
        <f t="shared" si="100"/>
        <v>8046</v>
      </c>
      <c r="R189" s="225">
        <v>130979</v>
      </c>
      <c r="S189" s="225">
        <v>0</v>
      </c>
      <c r="T189" s="255"/>
      <c r="U189" s="255"/>
      <c r="V189" s="255"/>
      <c r="W189" s="255"/>
      <c r="X189" s="255"/>
      <c r="Y189" s="255"/>
      <c r="Z189" s="225">
        <v>-30525</v>
      </c>
      <c r="AA189" s="255"/>
      <c r="AB189" s="255"/>
      <c r="AC189" s="225">
        <v>-47781</v>
      </c>
      <c r="AD189" s="255"/>
      <c r="AE189" s="255"/>
      <c r="AF189" s="225">
        <f t="shared" si="101"/>
        <v>60719</v>
      </c>
      <c r="AG189" s="255"/>
      <c r="AH189" s="255">
        <v>0</v>
      </c>
      <c r="AI189" s="255"/>
      <c r="AJ189" s="255"/>
      <c r="AK189" s="255"/>
      <c r="AL189" s="255"/>
      <c r="AM189" s="255"/>
      <c r="AN189" s="255">
        <v>0</v>
      </c>
      <c r="AO189" s="255">
        <v>0</v>
      </c>
      <c r="AP189" s="255"/>
      <c r="AQ189" s="255"/>
      <c r="AR189" s="255"/>
      <c r="AS189" s="255"/>
      <c r="AT189" s="256">
        <v>0</v>
      </c>
      <c r="AU189" s="256">
        <v>0</v>
      </c>
      <c r="AV189" s="256">
        <v>0</v>
      </c>
      <c r="AW189" s="227">
        <f t="shared" si="102"/>
        <v>60719</v>
      </c>
      <c r="AX189" s="257">
        <v>0</v>
      </c>
      <c r="AY189" s="255">
        <v>0</v>
      </c>
      <c r="AZ189" s="258"/>
      <c r="BA189" s="259">
        <v>0</v>
      </c>
      <c r="BB189" s="225">
        <v>0</v>
      </c>
      <c r="BC189" s="255">
        <v>0</v>
      </c>
      <c r="BD189" s="255">
        <v>0</v>
      </c>
      <c r="BE189" s="255"/>
      <c r="BF189" s="255"/>
      <c r="BG189" s="255">
        <v>0</v>
      </c>
      <c r="BH189" s="255">
        <v>0</v>
      </c>
      <c r="BI189" s="255">
        <v>0</v>
      </c>
      <c r="BJ189" s="256"/>
      <c r="BK189" s="256"/>
      <c r="BL189" s="256"/>
      <c r="BM189" s="248">
        <f t="shared" si="104"/>
        <v>60719</v>
      </c>
      <c r="BN189" s="257"/>
      <c r="BO189" s="255"/>
      <c r="BP189" s="256"/>
      <c r="BQ189" s="249"/>
      <c r="BR189" s="225"/>
      <c r="BS189" s="225"/>
      <c r="BT189" s="225"/>
      <c r="BU189" s="147">
        <f>-23791+23791-46635.02</f>
        <v>-46635.02</v>
      </c>
      <c r="BV189" s="225"/>
      <c r="BW189" s="225"/>
      <c r="BX189" s="225"/>
      <c r="BY189" s="225"/>
      <c r="BZ189" s="225"/>
      <c r="CA189" s="225"/>
      <c r="CB189" s="225"/>
      <c r="CC189" s="227">
        <f t="shared" si="93"/>
        <v>14083.980000000003</v>
      </c>
      <c r="CD189" s="244">
        <v>60719</v>
      </c>
      <c r="CE189" s="244">
        <f t="shared" si="103"/>
        <v>46635.02</v>
      </c>
      <c r="CF189" s="244"/>
    </row>
    <row r="190" spans="1:84" x14ac:dyDescent="0.2">
      <c r="A190" s="245" t="s">
        <v>23</v>
      </c>
      <c r="B190" s="246" t="s">
        <v>58</v>
      </c>
      <c r="C190" s="246" t="s">
        <v>507</v>
      </c>
      <c r="D190" s="246" t="s">
        <v>134</v>
      </c>
      <c r="E190" s="247" t="s">
        <v>213</v>
      </c>
      <c r="F190" s="247" t="s">
        <v>712</v>
      </c>
      <c r="G190" s="233" t="str">
        <f t="shared" si="94"/>
        <v>0</v>
      </c>
      <c r="H190" s="233" t="str">
        <f t="shared" si="95"/>
        <v>1</v>
      </c>
      <c r="I190" s="233" t="str">
        <f t="shared" si="96"/>
        <v>0</v>
      </c>
      <c r="J190" s="233" t="str">
        <f t="shared" si="97"/>
        <v>0</v>
      </c>
      <c r="K190" s="233" t="str">
        <f t="shared" si="98"/>
        <v>0100</v>
      </c>
      <c r="L190" s="247" t="str">
        <f t="shared" si="99"/>
        <v>08801489District Design and Led 18-21</v>
      </c>
      <c r="M190" s="255"/>
      <c r="N190" s="255"/>
      <c r="O190" s="255"/>
      <c r="P190" s="255"/>
      <c r="Q190" s="225">
        <f t="shared" si="100"/>
        <v>0</v>
      </c>
      <c r="R190" s="225"/>
      <c r="S190" s="225">
        <v>7837</v>
      </c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25">
        <f t="shared" si="101"/>
        <v>7837</v>
      </c>
      <c r="AG190" s="255"/>
      <c r="AH190" s="255">
        <v>0</v>
      </c>
      <c r="AI190" s="255"/>
      <c r="AJ190" s="255"/>
      <c r="AK190" s="255"/>
      <c r="AL190" s="255"/>
      <c r="AM190" s="255"/>
      <c r="AN190" s="255">
        <v>0</v>
      </c>
      <c r="AO190" s="255">
        <v>0</v>
      </c>
      <c r="AP190" s="255"/>
      <c r="AQ190" s="255"/>
      <c r="AR190" s="255"/>
      <c r="AS190" s="255"/>
      <c r="AT190" s="256">
        <v>0</v>
      </c>
      <c r="AU190" s="256">
        <v>0</v>
      </c>
      <c r="AV190" s="256">
        <v>0</v>
      </c>
      <c r="AW190" s="227">
        <f t="shared" si="102"/>
        <v>7837</v>
      </c>
      <c r="AX190" s="257">
        <v>0</v>
      </c>
      <c r="AY190" s="255">
        <v>81780</v>
      </c>
      <c r="AZ190" s="258"/>
      <c r="BA190" s="259">
        <v>0</v>
      </c>
      <c r="BB190" s="225">
        <v>0</v>
      </c>
      <c r="BC190" s="255">
        <v>0</v>
      </c>
      <c r="BD190" s="255">
        <v>0</v>
      </c>
      <c r="BE190" s="255"/>
      <c r="BF190" s="255"/>
      <c r="BG190" s="255">
        <v>0</v>
      </c>
      <c r="BH190" s="255">
        <v>0</v>
      </c>
      <c r="BI190" s="255">
        <v>0</v>
      </c>
      <c r="BJ190" s="256"/>
      <c r="BK190" s="256"/>
      <c r="BL190" s="256"/>
      <c r="BM190" s="248">
        <f t="shared" si="104"/>
        <v>89617</v>
      </c>
      <c r="BN190" s="257"/>
      <c r="BO190" s="255"/>
      <c r="BP190" s="256"/>
      <c r="BQ190" s="249"/>
      <c r="BR190" s="225"/>
      <c r="BS190" s="225"/>
      <c r="BT190" s="225"/>
      <c r="BU190" s="147"/>
      <c r="BV190" s="225"/>
      <c r="BW190" s="225"/>
      <c r="BX190" s="225"/>
      <c r="BY190" s="225"/>
      <c r="BZ190" s="225"/>
      <c r="CA190" s="225"/>
      <c r="CB190" s="225"/>
      <c r="CC190" s="227">
        <f t="shared" si="93"/>
        <v>89617</v>
      </c>
      <c r="CD190" s="244">
        <v>89617</v>
      </c>
      <c r="CE190" s="244">
        <f t="shared" si="103"/>
        <v>0</v>
      </c>
      <c r="CF190" s="244"/>
    </row>
    <row r="191" spans="1:84" x14ac:dyDescent="0.2">
      <c r="A191" s="245" t="s">
        <v>23</v>
      </c>
      <c r="B191" s="246" t="s">
        <v>57</v>
      </c>
      <c r="C191" s="246" t="s">
        <v>507</v>
      </c>
      <c r="D191" s="246" t="s">
        <v>133</v>
      </c>
      <c r="E191" s="247" t="s">
        <v>211</v>
      </c>
      <c r="F191" s="247" t="s">
        <v>712</v>
      </c>
      <c r="G191" s="233" t="str">
        <f t="shared" si="94"/>
        <v>1</v>
      </c>
      <c r="H191" s="233" t="str">
        <f t="shared" si="95"/>
        <v>0</v>
      </c>
      <c r="I191" s="233" t="str">
        <f t="shared" si="96"/>
        <v>0</v>
      </c>
      <c r="J191" s="233" t="str">
        <f t="shared" si="97"/>
        <v>0</v>
      </c>
      <c r="K191" s="233" t="str">
        <f t="shared" si="98"/>
        <v>1000</v>
      </c>
      <c r="L191" s="247" t="str">
        <f t="shared" si="99"/>
        <v>08801816District Design and Led 17-20</v>
      </c>
      <c r="M191" s="225">
        <v>18112</v>
      </c>
      <c r="N191" s="255"/>
      <c r="O191" s="255"/>
      <c r="P191" s="255"/>
      <c r="Q191" s="225">
        <f t="shared" si="100"/>
        <v>18112</v>
      </c>
      <c r="R191" s="225">
        <v>14908</v>
      </c>
      <c r="S191" s="225">
        <v>0</v>
      </c>
      <c r="T191" s="255"/>
      <c r="U191" s="255"/>
      <c r="V191" s="255"/>
      <c r="W191" s="255"/>
      <c r="X191" s="255"/>
      <c r="Y191" s="255"/>
      <c r="Z191" s="225">
        <v>-5555</v>
      </c>
      <c r="AA191" s="255"/>
      <c r="AB191" s="255"/>
      <c r="AC191" s="255"/>
      <c r="AD191" s="255"/>
      <c r="AE191" s="255"/>
      <c r="AF191" s="225">
        <f t="shared" si="101"/>
        <v>27465</v>
      </c>
      <c r="AG191" s="255"/>
      <c r="AH191" s="255">
        <v>0</v>
      </c>
      <c r="AI191" s="255"/>
      <c r="AJ191" s="255"/>
      <c r="AK191" s="255"/>
      <c r="AL191" s="255"/>
      <c r="AM191" s="255"/>
      <c r="AN191" s="225">
        <v>-15688.48</v>
      </c>
      <c r="AO191" s="255">
        <v>0</v>
      </c>
      <c r="AP191" s="255"/>
      <c r="AQ191" s="255"/>
      <c r="AR191" s="255"/>
      <c r="AS191" s="255"/>
      <c r="AT191" s="256">
        <v>0</v>
      </c>
      <c r="AU191" s="256">
        <v>0</v>
      </c>
      <c r="AV191" s="256">
        <v>0</v>
      </c>
      <c r="AW191" s="227">
        <f t="shared" si="102"/>
        <v>11776.52</v>
      </c>
      <c r="AX191" s="257">
        <v>0</v>
      </c>
      <c r="AY191" s="255">
        <v>0</v>
      </c>
      <c r="AZ191" s="258"/>
      <c r="BA191" s="259">
        <v>0</v>
      </c>
      <c r="BB191" s="225">
        <v>0</v>
      </c>
      <c r="BC191" s="255">
        <v>0</v>
      </c>
      <c r="BD191" s="225">
        <v>0</v>
      </c>
      <c r="BE191" s="255"/>
      <c r="BF191" s="255"/>
      <c r="BG191" s="255">
        <v>0</v>
      </c>
      <c r="BH191" s="255">
        <v>0</v>
      </c>
      <c r="BI191" s="255">
        <v>0</v>
      </c>
      <c r="BJ191" s="256"/>
      <c r="BK191" s="256"/>
      <c r="BL191" s="256"/>
      <c r="BM191" s="248">
        <f t="shared" si="104"/>
        <v>11776.52</v>
      </c>
      <c r="BN191" s="257"/>
      <c r="BO191" s="255"/>
      <c r="BP191" s="256"/>
      <c r="BQ191" s="249"/>
      <c r="BR191" s="225"/>
      <c r="BS191" s="225"/>
      <c r="BT191" s="225"/>
      <c r="BU191" s="225"/>
      <c r="BV191" s="225"/>
      <c r="BW191" s="225"/>
      <c r="BX191" s="225"/>
      <c r="BY191" s="225"/>
      <c r="BZ191" s="225"/>
      <c r="CA191" s="225"/>
      <c r="CB191" s="225"/>
      <c r="CC191" s="227">
        <f t="shared" si="93"/>
        <v>11776.52</v>
      </c>
      <c r="CD191" s="244">
        <v>11776.52</v>
      </c>
      <c r="CE191" s="244">
        <f t="shared" si="103"/>
        <v>0</v>
      </c>
      <c r="CF191" s="244"/>
    </row>
    <row r="192" spans="1:84" x14ac:dyDescent="0.2">
      <c r="A192" s="245" t="s">
        <v>23</v>
      </c>
      <c r="B192" s="246" t="s">
        <v>62</v>
      </c>
      <c r="C192" s="246" t="s">
        <v>507</v>
      </c>
      <c r="D192" s="246" t="s">
        <v>514</v>
      </c>
      <c r="E192" s="247" t="s">
        <v>211</v>
      </c>
      <c r="F192" s="247" t="s">
        <v>712</v>
      </c>
      <c r="G192" s="233" t="str">
        <f t="shared" si="94"/>
        <v>1</v>
      </c>
      <c r="H192" s="233" t="str">
        <f t="shared" si="95"/>
        <v>0</v>
      </c>
      <c r="I192" s="233" t="str">
        <f t="shared" si="96"/>
        <v>0</v>
      </c>
      <c r="J192" s="233" t="str">
        <f t="shared" si="97"/>
        <v>0</v>
      </c>
      <c r="K192" s="233" t="str">
        <f t="shared" si="98"/>
        <v>1000</v>
      </c>
      <c r="L192" s="247" t="str">
        <f t="shared" si="99"/>
        <v>08802129District Design and Led 17-20</v>
      </c>
      <c r="M192" s="225">
        <v>8046</v>
      </c>
      <c r="N192" s="255"/>
      <c r="O192" s="255"/>
      <c r="P192" s="255"/>
      <c r="Q192" s="225">
        <f t="shared" si="100"/>
        <v>8046</v>
      </c>
      <c r="R192" s="225">
        <v>7631</v>
      </c>
      <c r="S192" s="225">
        <v>0</v>
      </c>
      <c r="T192" s="255"/>
      <c r="U192" s="255"/>
      <c r="V192" s="255"/>
      <c r="W192" s="255"/>
      <c r="X192" s="255"/>
      <c r="Y192" s="255"/>
      <c r="Z192" s="225">
        <v>-2167</v>
      </c>
      <c r="AA192" s="255"/>
      <c r="AB192" s="255"/>
      <c r="AC192" s="255"/>
      <c r="AD192" s="255"/>
      <c r="AE192" s="255"/>
      <c r="AF192" s="225">
        <f t="shared" si="101"/>
        <v>13510</v>
      </c>
      <c r="AG192" s="255"/>
      <c r="AH192" s="255">
        <v>0</v>
      </c>
      <c r="AI192" s="255"/>
      <c r="AJ192" s="255"/>
      <c r="AK192" s="255"/>
      <c r="AL192" s="255"/>
      <c r="AM192" s="255"/>
      <c r="AN192" s="255">
        <v>0</v>
      </c>
      <c r="AO192" s="255">
        <v>0</v>
      </c>
      <c r="AP192" s="255"/>
      <c r="AQ192" s="255"/>
      <c r="AR192" s="255"/>
      <c r="AS192" s="255"/>
      <c r="AT192" s="256">
        <v>0</v>
      </c>
      <c r="AU192" s="256">
        <v>0</v>
      </c>
      <c r="AV192" s="256">
        <v>0</v>
      </c>
      <c r="AW192" s="227">
        <f t="shared" si="102"/>
        <v>13510</v>
      </c>
      <c r="AX192" s="257">
        <v>0</v>
      </c>
      <c r="AY192" s="255">
        <v>0</v>
      </c>
      <c r="AZ192" s="258"/>
      <c r="BA192" s="259">
        <v>0</v>
      </c>
      <c r="BB192" s="225">
        <v>0</v>
      </c>
      <c r="BC192" s="255">
        <v>0</v>
      </c>
      <c r="BD192" s="255">
        <v>0</v>
      </c>
      <c r="BE192" s="255"/>
      <c r="BF192" s="255"/>
      <c r="BG192" s="255">
        <v>0</v>
      </c>
      <c r="BH192" s="255">
        <v>0</v>
      </c>
      <c r="BI192" s="255">
        <v>0</v>
      </c>
      <c r="BJ192" s="256"/>
      <c r="BK192" s="256"/>
      <c r="BL192" s="256"/>
      <c r="BM192" s="248">
        <f t="shared" si="104"/>
        <v>13510</v>
      </c>
      <c r="BN192" s="257"/>
      <c r="BO192" s="255"/>
      <c r="BP192" s="256"/>
      <c r="BQ192" s="249"/>
      <c r="BR192" s="225"/>
      <c r="BS192" s="225"/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7">
        <f t="shared" si="93"/>
        <v>13510</v>
      </c>
      <c r="CD192" s="244">
        <v>13510</v>
      </c>
      <c r="CE192" s="244">
        <f t="shared" si="103"/>
        <v>0</v>
      </c>
      <c r="CF192" s="244"/>
    </row>
    <row r="193" spans="1:84" x14ac:dyDescent="0.2">
      <c r="A193" s="245" t="s">
        <v>23</v>
      </c>
      <c r="B193" s="246" t="s">
        <v>62</v>
      </c>
      <c r="C193" s="246" t="s">
        <v>507</v>
      </c>
      <c r="D193" s="246" t="s">
        <v>514</v>
      </c>
      <c r="E193" s="247" t="s">
        <v>213</v>
      </c>
      <c r="F193" s="247" t="s">
        <v>712</v>
      </c>
      <c r="G193" s="233" t="str">
        <f t="shared" si="94"/>
        <v>0</v>
      </c>
      <c r="H193" s="233" t="str">
        <f t="shared" si="95"/>
        <v>1</v>
      </c>
      <c r="I193" s="233" t="str">
        <f t="shared" si="96"/>
        <v>0</v>
      </c>
      <c r="J193" s="233" t="str">
        <f t="shared" si="97"/>
        <v>0</v>
      </c>
      <c r="K193" s="233" t="str">
        <f t="shared" si="98"/>
        <v>0100</v>
      </c>
      <c r="L193" s="247" t="str">
        <f t="shared" si="99"/>
        <v>08802129District Design and Led 18-21</v>
      </c>
      <c r="M193" s="255"/>
      <c r="N193" s="255"/>
      <c r="O193" s="255"/>
      <c r="P193" s="255"/>
      <c r="Q193" s="225">
        <f t="shared" si="100"/>
        <v>0</v>
      </c>
      <c r="R193" s="225"/>
      <c r="S193" s="225">
        <v>7837</v>
      </c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25">
        <f t="shared" si="101"/>
        <v>7837</v>
      </c>
      <c r="AG193" s="255"/>
      <c r="AH193" s="255">
        <v>0</v>
      </c>
      <c r="AI193" s="255"/>
      <c r="AJ193" s="255"/>
      <c r="AK193" s="255"/>
      <c r="AL193" s="255"/>
      <c r="AM193" s="255"/>
      <c r="AN193" s="255">
        <v>0</v>
      </c>
      <c r="AO193" s="255">
        <v>0</v>
      </c>
      <c r="AP193" s="255"/>
      <c r="AQ193" s="255"/>
      <c r="AR193" s="255"/>
      <c r="AS193" s="255"/>
      <c r="AT193" s="256">
        <v>0</v>
      </c>
      <c r="AU193" s="256">
        <v>0</v>
      </c>
      <c r="AV193" s="256">
        <v>0</v>
      </c>
      <c r="AW193" s="227">
        <f t="shared" si="102"/>
        <v>7837</v>
      </c>
      <c r="AX193" s="257">
        <v>0</v>
      </c>
      <c r="AY193" s="255">
        <v>0</v>
      </c>
      <c r="AZ193" s="258"/>
      <c r="BA193" s="259">
        <v>0</v>
      </c>
      <c r="BB193" s="225">
        <v>0</v>
      </c>
      <c r="BC193" s="255">
        <v>0</v>
      </c>
      <c r="BD193" s="255">
        <v>0</v>
      </c>
      <c r="BE193" s="255"/>
      <c r="BF193" s="255"/>
      <c r="BG193" s="255">
        <v>0</v>
      </c>
      <c r="BH193" s="255">
        <v>0</v>
      </c>
      <c r="BI193" s="255">
        <v>0</v>
      </c>
      <c r="BJ193" s="256"/>
      <c r="BK193" s="256"/>
      <c r="BL193" s="256"/>
      <c r="BM193" s="248">
        <f t="shared" si="104"/>
        <v>7837</v>
      </c>
      <c r="BN193" s="257"/>
      <c r="BO193" s="255"/>
      <c r="BP193" s="256"/>
      <c r="BQ193" s="249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7">
        <f t="shared" si="93"/>
        <v>7837</v>
      </c>
      <c r="CD193" s="244">
        <v>7837</v>
      </c>
      <c r="CE193" s="244">
        <f t="shared" si="103"/>
        <v>0</v>
      </c>
      <c r="CF193" s="244"/>
    </row>
    <row r="194" spans="1:84" x14ac:dyDescent="0.2">
      <c r="A194" s="245" t="s">
        <v>23</v>
      </c>
      <c r="B194" s="246" t="s">
        <v>61</v>
      </c>
      <c r="C194" s="246" t="s">
        <v>507</v>
      </c>
      <c r="D194" s="246" t="s">
        <v>532</v>
      </c>
      <c r="E194" s="247" t="s">
        <v>211</v>
      </c>
      <c r="F194" s="247" t="s">
        <v>712</v>
      </c>
      <c r="G194" s="233" t="str">
        <f t="shared" si="94"/>
        <v>1</v>
      </c>
      <c r="H194" s="233" t="str">
        <f t="shared" si="95"/>
        <v>0</v>
      </c>
      <c r="I194" s="233" t="str">
        <f t="shared" si="96"/>
        <v>0</v>
      </c>
      <c r="J194" s="233" t="str">
        <f t="shared" si="97"/>
        <v>0</v>
      </c>
      <c r="K194" s="233" t="str">
        <f t="shared" si="98"/>
        <v>1000</v>
      </c>
      <c r="L194" s="247" t="str">
        <f t="shared" si="99"/>
        <v>08802188District Design and Led 17-20</v>
      </c>
      <c r="M194" s="225">
        <v>8046</v>
      </c>
      <c r="N194" s="255"/>
      <c r="O194" s="255"/>
      <c r="P194" s="255"/>
      <c r="Q194" s="225">
        <f t="shared" si="100"/>
        <v>8046</v>
      </c>
      <c r="R194" s="225">
        <v>130979</v>
      </c>
      <c r="S194" s="225">
        <v>0</v>
      </c>
      <c r="T194" s="255"/>
      <c r="U194" s="255"/>
      <c r="V194" s="255"/>
      <c r="W194" s="255"/>
      <c r="X194" s="255"/>
      <c r="Y194" s="255"/>
      <c r="Z194" s="225">
        <v>-26727</v>
      </c>
      <c r="AA194" s="255"/>
      <c r="AB194" s="255"/>
      <c r="AC194" s="225">
        <v>-52619</v>
      </c>
      <c r="AD194" s="255"/>
      <c r="AE194" s="255"/>
      <c r="AF194" s="225">
        <f t="shared" si="101"/>
        <v>59679</v>
      </c>
      <c r="AG194" s="255"/>
      <c r="AH194" s="255">
        <v>0</v>
      </c>
      <c r="AI194" s="255"/>
      <c r="AJ194" s="255"/>
      <c r="AK194" s="255"/>
      <c r="AL194" s="255"/>
      <c r="AM194" s="255"/>
      <c r="AN194" s="255">
        <v>0</v>
      </c>
      <c r="AO194" s="255">
        <v>0</v>
      </c>
      <c r="AP194" s="255"/>
      <c r="AQ194" s="255"/>
      <c r="AR194" s="255"/>
      <c r="AS194" s="255"/>
      <c r="AT194" s="256">
        <v>0</v>
      </c>
      <c r="AU194" s="256">
        <v>0</v>
      </c>
      <c r="AV194" s="256">
        <v>0</v>
      </c>
      <c r="AW194" s="227">
        <f t="shared" si="102"/>
        <v>59679</v>
      </c>
      <c r="AX194" s="257">
        <v>0</v>
      </c>
      <c r="AY194" s="255">
        <v>0</v>
      </c>
      <c r="AZ194" s="258"/>
      <c r="BA194" s="259">
        <v>0</v>
      </c>
      <c r="BB194" s="225">
        <v>0</v>
      </c>
      <c r="BC194" s="255">
        <v>0</v>
      </c>
      <c r="BD194" s="255">
        <v>0</v>
      </c>
      <c r="BE194" s="255"/>
      <c r="BF194" s="255"/>
      <c r="BG194" s="255">
        <v>0</v>
      </c>
      <c r="BH194" s="255">
        <v>0</v>
      </c>
      <c r="BI194" s="255">
        <v>0</v>
      </c>
      <c r="BJ194" s="256"/>
      <c r="BK194" s="256"/>
      <c r="BL194" s="256"/>
      <c r="BM194" s="248">
        <f t="shared" si="104"/>
        <v>59679</v>
      </c>
      <c r="BN194" s="257"/>
      <c r="BO194" s="255"/>
      <c r="BP194" s="256"/>
      <c r="BQ194" s="249"/>
      <c r="BR194" s="225"/>
      <c r="BS194" s="225"/>
      <c r="BT194" s="225"/>
      <c r="BU194" s="147">
        <f>-1312.02-23084-5652.58+23084-34923.6</f>
        <v>-41888.199999999997</v>
      </c>
      <c r="BV194" s="225"/>
      <c r="BW194" s="225"/>
      <c r="BX194" s="225"/>
      <c r="BY194" s="225"/>
      <c r="BZ194" s="225"/>
      <c r="CA194" s="225"/>
      <c r="CB194" s="225"/>
      <c r="CC194" s="227">
        <f t="shared" si="93"/>
        <v>17790.800000000003</v>
      </c>
      <c r="CD194" s="244">
        <v>59679</v>
      </c>
      <c r="CE194" s="244">
        <f t="shared" si="103"/>
        <v>41888.199999999997</v>
      </c>
      <c r="CF194" s="244"/>
    </row>
    <row r="195" spans="1:84" x14ac:dyDescent="0.2">
      <c r="A195" s="245" t="s">
        <v>23</v>
      </c>
      <c r="B195" s="246" t="s">
        <v>61</v>
      </c>
      <c r="C195" s="246" t="s">
        <v>507</v>
      </c>
      <c r="D195" s="246" t="s">
        <v>532</v>
      </c>
      <c r="E195" s="247" t="s">
        <v>213</v>
      </c>
      <c r="F195" s="247" t="s">
        <v>712</v>
      </c>
      <c r="G195" s="233" t="str">
        <f t="shared" si="94"/>
        <v>0</v>
      </c>
      <c r="H195" s="233" t="str">
        <f t="shared" si="95"/>
        <v>1</v>
      </c>
      <c r="I195" s="233" t="str">
        <f t="shared" si="96"/>
        <v>0</v>
      </c>
      <c r="J195" s="233" t="str">
        <f t="shared" si="97"/>
        <v>0</v>
      </c>
      <c r="K195" s="233" t="str">
        <f t="shared" si="98"/>
        <v>0100</v>
      </c>
      <c r="L195" s="247" t="str">
        <f t="shared" si="99"/>
        <v>08802188District Design and Led 18-21</v>
      </c>
      <c r="M195" s="255"/>
      <c r="N195" s="255"/>
      <c r="O195" s="255"/>
      <c r="P195" s="255"/>
      <c r="Q195" s="225">
        <f t="shared" si="100"/>
        <v>0</v>
      </c>
      <c r="R195" s="225"/>
      <c r="S195" s="225">
        <v>7837</v>
      </c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25">
        <f t="shared" si="101"/>
        <v>7837</v>
      </c>
      <c r="AG195" s="255"/>
      <c r="AH195" s="255">
        <v>0</v>
      </c>
      <c r="AI195" s="255"/>
      <c r="AJ195" s="255"/>
      <c r="AK195" s="255"/>
      <c r="AL195" s="255"/>
      <c r="AM195" s="255"/>
      <c r="AN195" s="255">
        <v>0</v>
      </c>
      <c r="AO195" s="255">
        <v>0</v>
      </c>
      <c r="AP195" s="255"/>
      <c r="AQ195" s="255"/>
      <c r="AR195" s="255"/>
      <c r="AS195" s="255"/>
      <c r="AT195" s="256">
        <v>0</v>
      </c>
      <c r="AU195" s="256">
        <v>0</v>
      </c>
      <c r="AV195" s="256">
        <v>0</v>
      </c>
      <c r="AW195" s="227">
        <f t="shared" si="102"/>
        <v>7837</v>
      </c>
      <c r="AX195" s="257">
        <v>0</v>
      </c>
      <c r="AY195" s="255">
        <v>81780</v>
      </c>
      <c r="AZ195" s="258"/>
      <c r="BA195" s="259">
        <v>0</v>
      </c>
      <c r="BB195" s="225">
        <v>0</v>
      </c>
      <c r="BC195" s="255">
        <v>0</v>
      </c>
      <c r="BD195" s="255">
        <v>0</v>
      </c>
      <c r="BE195" s="255"/>
      <c r="BF195" s="255"/>
      <c r="BG195" s="255">
        <v>0</v>
      </c>
      <c r="BH195" s="255">
        <v>0</v>
      </c>
      <c r="BI195" s="255">
        <v>0</v>
      </c>
      <c r="BJ195" s="256"/>
      <c r="BK195" s="256"/>
      <c r="BL195" s="256"/>
      <c r="BM195" s="248">
        <f t="shared" si="104"/>
        <v>89617</v>
      </c>
      <c r="BN195" s="257"/>
      <c r="BO195" s="255"/>
      <c r="BP195" s="256"/>
      <c r="BQ195" s="249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7">
        <f t="shared" si="93"/>
        <v>89617</v>
      </c>
      <c r="CD195" s="244">
        <v>89617</v>
      </c>
      <c r="CE195" s="244">
        <f t="shared" ref="CE195:CE226" si="105">CD195-CC195</f>
        <v>0</v>
      </c>
      <c r="CF195" s="244"/>
    </row>
    <row r="196" spans="1:84" x14ac:dyDescent="0.2">
      <c r="A196" s="245" t="s">
        <v>23</v>
      </c>
      <c r="B196" s="246" t="s">
        <v>60</v>
      </c>
      <c r="C196" s="246" t="s">
        <v>507</v>
      </c>
      <c r="D196" s="246" t="s">
        <v>512</v>
      </c>
      <c r="E196" s="247" t="s">
        <v>211</v>
      </c>
      <c r="F196" s="247" t="s">
        <v>712</v>
      </c>
      <c r="G196" s="233" t="str">
        <f t="shared" si="94"/>
        <v>1</v>
      </c>
      <c r="H196" s="233" t="str">
        <f t="shared" si="95"/>
        <v>0</v>
      </c>
      <c r="I196" s="233" t="str">
        <f t="shared" si="96"/>
        <v>0</v>
      </c>
      <c r="J196" s="233" t="str">
        <f t="shared" si="97"/>
        <v>0</v>
      </c>
      <c r="K196" s="233" t="str">
        <f t="shared" si="98"/>
        <v>1000</v>
      </c>
      <c r="L196" s="247" t="str">
        <f t="shared" si="99"/>
        <v>08802209District Design and Led 17-20</v>
      </c>
      <c r="M196" s="225">
        <v>13946</v>
      </c>
      <c r="N196" s="255"/>
      <c r="O196" s="255"/>
      <c r="P196" s="255"/>
      <c r="Q196" s="225">
        <f t="shared" si="100"/>
        <v>13946</v>
      </c>
      <c r="R196" s="225">
        <v>9946</v>
      </c>
      <c r="S196" s="225">
        <v>0</v>
      </c>
      <c r="T196" s="255"/>
      <c r="U196" s="255"/>
      <c r="V196" s="255"/>
      <c r="W196" s="255"/>
      <c r="X196" s="255"/>
      <c r="Y196" s="255"/>
      <c r="Z196" s="225">
        <v>-3467</v>
      </c>
      <c r="AA196" s="255"/>
      <c r="AB196" s="255"/>
      <c r="AC196" s="255"/>
      <c r="AD196" s="255"/>
      <c r="AE196" s="255"/>
      <c r="AF196" s="225">
        <f t="shared" si="101"/>
        <v>20425</v>
      </c>
      <c r="AG196" s="255"/>
      <c r="AH196" s="255">
        <v>0</v>
      </c>
      <c r="AI196" s="255"/>
      <c r="AJ196" s="255"/>
      <c r="AK196" s="255"/>
      <c r="AL196" s="255"/>
      <c r="AM196" s="255"/>
      <c r="AN196" s="255">
        <v>0</v>
      </c>
      <c r="AO196" s="255">
        <v>0</v>
      </c>
      <c r="AP196" s="255"/>
      <c r="AQ196" s="255"/>
      <c r="AR196" s="255"/>
      <c r="AS196" s="255"/>
      <c r="AT196" s="256">
        <v>0</v>
      </c>
      <c r="AU196" s="256">
        <v>0</v>
      </c>
      <c r="AV196" s="256">
        <v>0</v>
      </c>
      <c r="AW196" s="227">
        <f t="shared" si="102"/>
        <v>20425</v>
      </c>
      <c r="AX196" s="257">
        <v>0</v>
      </c>
      <c r="AY196" s="255">
        <v>0</v>
      </c>
      <c r="AZ196" s="258"/>
      <c r="BA196" s="259">
        <v>0</v>
      </c>
      <c r="BB196" s="225">
        <v>0</v>
      </c>
      <c r="BC196" s="255">
        <v>0</v>
      </c>
      <c r="BD196" s="255">
        <v>0</v>
      </c>
      <c r="BE196" s="255"/>
      <c r="BF196" s="255"/>
      <c r="BG196" s="255">
        <v>0</v>
      </c>
      <c r="BH196" s="255">
        <v>0</v>
      </c>
      <c r="BI196" s="255">
        <v>0</v>
      </c>
      <c r="BJ196" s="256"/>
      <c r="BK196" s="256"/>
      <c r="BL196" s="256"/>
      <c r="BM196" s="248">
        <f t="shared" si="104"/>
        <v>20425</v>
      </c>
      <c r="BN196" s="257"/>
      <c r="BO196" s="255"/>
      <c r="BP196" s="256"/>
      <c r="BQ196" s="249"/>
      <c r="BR196" s="225"/>
      <c r="BS196" s="225"/>
      <c r="BT196" s="225"/>
      <c r="BU196" s="225"/>
      <c r="BV196" s="225"/>
      <c r="BW196" s="225"/>
      <c r="BX196" s="225"/>
      <c r="BY196" s="225"/>
      <c r="BZ196" s="225"/>
      <c r="CA196" s="225"/>
      <c r="CB196" s="225"/>
      <c r="CC196" s="227">
        <f t="shared" si="93"/>
        <v>20425</v>
      </c>
      <c r="CD196" s="244">
        <v>20425</v>
      </c>
      <c r="CE196" s="244">
        <f t="shared" si="105"/>
        <v>0</v>
      </c>
      <c r="CF196" s="244"/>
    </row>
    <row r="197" spans="1:84" x14ac:dyDescent="0.2">
      <c r="A197" s="245" t="s">
        <v>23</v>
      </c>
      <c r="B197" s="246" t="s">
        <v>60</v>
      </c>
      <c r="C197" s="246" t="s">
        <v>507</v>
      </c>
      <c r="D197" s="246" t="s">
        <v>512</v>
      </c>
      <c r="E197" s="247" t="s">
        <v>213</v>
      </c>
      <c r="F197" s="247" t="s">
        <v>712</v>
      </c>
      <c r="G197" s="233" t="str">
        <f t="shared" si="94"/>
        <v>0</v>
      </c>
      <c r="H197" s="233" t="str">
        <f t="shared" si="95"/>
        <v>1</v>
      </c>
      <c r="I197" s="233" t="str">
        <f t="shared" si="96"/>
        <v>0</v>
      </c>
      <c r="J197" s="233" t="str">
        <f t="shared" si="97"/>
        <v>0</v>
      </c>
      <c r="K197" s="233" t="str">
        <f t="shared" si="98"/>
        <v>0100</v>
      </c>
      <c r="L197" s="247" t="str">
        <f t="shared" si="99"/>
        <v>08802209District Design and Led 18-21</v>
      </c>
      <c r="M197" s="255"/>
      <c r="N197" s="255"/>
      <c r="O197" s="255"/>
      <c r="P197" s="255"/>
      <c r="Q197" s="225">
        <f t="shared" si="100"/>
        <v>0</v>
      </c>
      <c r="R197" s="225"/>
      <c r="S197" s="225">
        <v>14191</v>
      </c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25">
        <f t="shared" si="101"/>
        <v>14191</v>
      </c>
      <c r="AG197" s="255"/>
      <c r="AH197" s="255">
        <v>0</v>
      </c>
      <c r="AI197" s="255"/>
      <c r="AJ197" s="255"/>
      <c r="AK197" s="255"/>
      <c r="AL197" s="255"/>
      <c r="AM197" s="255"/>
      <c r="AN197" s="255">
        <v>0</v>
      </c>
      <c r="AO197" s="255">
        <v>0</v>
      </c>
      <c r="AP197" s="255"/>
      <c r="AQ197" s="255"/>
      <c r="AR197" s="255"/>
      <c r="AS197" s="255"/>
      <c r="AT197" s="256">
        <v>0</v>
      </c>
      <c r="AU197" s="256">
        <v>0</v>
      </c>
      <c r="AV197" s="256">
        <v>0</v>
      </c>
      <c r="AW197" s="227">
        <f t="shared" si="102"/>
        <v>14191</v>
      </c>
      <c r="AX197" s="257">
        <v>0</v>
      </c>
      <c r="AY197" s="255">
        <v>0</v>
      </c>
      <c r="AZ197" s="258"/>
      <c r="BA197" s="259">
        <v>0</v>
      </c>
      <c r="BB197" s="225">
        <v>0</v>
      </c>
      <c r="BC197" s="255">
        <v>0</v>
      </c>
      <c r="BD197" s="255">
        <v>0</v>
      </c>
      <c r="BE197" s="255"/>
      <c r="BF197" s="255"/>
      <c r="BG197" s="255">
        <v>0</v>
      </c>
      <c r="BH197" s="255">
        <v>0</v>
      </c>
      <c r="BI197" s="255">
        <v>0</v>
      </c>
      <c r="BJ197" s="256"/>
      <c r="BK197" s="256"/>
      <c r="BL197" s="256"/>
      <c r="BM197" s="248">
        <f t="shared" si="104"/>
        <v>14191</v>
      </c>
      <c r="BN197" s="257"/>
      <c r="BO197" s="255"/>
      <c r="BP197" s="256"/>
      <c r="BQ197" s="249"/>
      <c r="BR197" s="225"/>
      <c r="BS197" s="225"/>
      <c r="BT197" s="225"/>
      <c r="BU197" s="225"/>
      <c r="BV197" s="225"/>
      <c r="BW197" s="225"/>
      <c r="BX197" s="225"/>
      <c r="BY197" s="225"/>
      <c r="BZ197" s="225"/>
      <c r="CA197" s="225"/>
      <c r="CB197" s="225"/>
      <c r="CC197" s="227">
        <f t="shared" si="93"/>
        <v>14191</v>
      </c>
      <c r="CD197" s="244">
        <v>14191</v>
      </c>
      <c r="CE197" s="244">
        <f t="shared" si="105"/>
        <v>0</v>
      </c>
      <c r="CF197" s="244"/>
    </row>
    <row r="198" spans="1:84" x14ac:dyDescent="0.2">
      <c r="A198" s="245" t="s">
        <v>23</v>
      </c>
      <c r="B198" s="246" t="s">
        <v>735</v>
      </c>
      <c r="C198" s="246" t="s">
        <v>507</v>
      </c>
      <c r="D198" s="246" t="s">
        <v>736</v>
      </c>
      <c r="E198" s="247" t="s">
        <v>214</v>
      </c>
      <c r="F198" s="247"/>
      <c r="G198" s="233"/>
      <c r="H198" s="233"/>
      <c r="I198" s="233"/>
      <c r="J198" s="233"/>
      <c r="K198" s="233"/>
      <c r="L198" s="247"/>
      <c r="M198" s="255"/>
      <c r="N198" s="255"/>
      <c r="O198" s="255"/>
      <c r="P198" s="255"/>
      <c r="Q198" s="225"/>
      <c r="R198" s="225"/>
      <c r="S198" s="22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2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6"/>
      <c r="AU198" s="256"/>
      <c r="AV198" s="256"/>
      <c r="AW198" s="227"/>
      <c r="AX198" s="257">
        <v>50574.932800000002</v>
      </c>
      <c r="AY198" s="255"/>
      <c r="AZ198" s="258"/>
      <c r="BA198" s="259"/>
      <c r="BB198" s="225"/>
      <c r="BC198" s="255"/>
      <c r="BD198" s="255"/>
      <c r="BE198" s="255"/>
      <c r="BF198" s="255"/>
      <c r="BG198" s="255"/>
      <c r="BH198" s="255"/>
      <c r="BI198" s="255"/>
      <c r="BJ198" s="256"/>
      <c r="BK198" s="256"/>
      <c r="BL198" s="256"/>
      <c r="BM198" s="248">
        <f t="shared" si="104"/>
        <v>50574.932800000002</v>
      </c>
      <c r="BN198" s="257"/>
      <c r="BO198" s="255"/>
      <c r="BP198" s="256"/>
      <c r="BQ198" s="249"/>
      <c r="BR198" s="225"/>
      <c r="BS198" s="225"/>
      <c r="BT198" s="225"/>
      <c r="BU198" s="225"/>
      <c r="BV198" s="225"/>
      <c r="BW198" s="225"/>
      <c r="BX198" s="225"/>
      <c r="BY198" s="225"/>
      <c r="BZ198" s="225"/>
      <c r="CA198" s="225"/>
      <c r="CB198" s="225"/>
      <c r="CC198" s="227">
        <f t="shared" si="93"/>
        <v>50574.932800000002</v>
      </c>
      <c r="CD198" s="244">
        <v>50574.932800000002</v>
      </c>
      <c r="CE198" s="244">
        <f t="shared" si="105"/>
        <v>0</v>
      </c>
      <c r="CF198" s="244"/>
    </row>
    <row r="199" spans="1:84" x14ac:dyDescent="0.2">
      <c r="A199" s="245" t="s">
        <v>23</v>
      </c>
      <c r="B199" s="246" t="s">
        <v>411</v>
      </c>
      <c r="C199" s="246" t="s">
        <v>507</v>
      </c>
      <c r="D199" s="246" t="s">
        <v>535</v>
      </c>
      <c r="E199" s="247" t="s">
        <v>213</v>
      </c>
      <c r="F199" s="247" t="s">
        <v>712</v>
      </c>
      <c r="G199" s="233" t="str">
        <f t="shared" ref="G199:G225" si="106">IF(M199&gt;0, "1", "0")</f>
        <v>0</v>
      </c>
      <c r="H199" s="233" t="str">
        <f t="shared" ref="H199:H225" si="107">IF(S199&gt;0, "1", "0")</f>
        <v>1</v>
      </c>
      <c r="I199" s="233" t="str">
        <f t="shared" ref="I199:I225" si="108">IF(AI199&gt;0, "1", "0")</f>
        <v>0</v>
      </c>
      <c r="J199" s="233" t="str">
        <f t="shared" ref="J199:J225" si="109">IF(AZ199&gt;0, "1", "0")</f>
        <v>0</v>
      </c>
      <c r="K199" s="233" t="str">
        <f t="shared" ref="K199:K225" si="110">CONCATENATE(G199,H199,I199,J199)</f>
        <v>0100</v>
      </c>
      <c r="L199" s="247" t="str">
        <f t="shared" ref="L199:L225" si="111">A199&amp;B199&amp;E199</f>
        <v>08802506District Design and Led 18-21</v>
      </c>
      <c r="M199" s="255"/>
      <c r="N199" s="255"/>
      <c r="O199" s="255"/>
      <c r="P199" s="255"/>
      <c r="Q199" s="225">
        <f t="shared" ref="Q199:Q225" si="112">SUM(M199:P199)</f>
        <v>0</v>
      </c>
      <c r="R199" s="225"/>
      <c r="S199" s="225">
        <v>7837</v>
      </c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25">
        <f t="shared" ref="AF199:AF225" si="113">SUM(Q199:AE199)</f>
        <v>7837</v>
      </c>
      <c r="AG199" s="255"/>
      <c r="AH199" s="255">
        <v>0</v>
      </c>
      <c r="AI199" s="255"/>
      <c r="AJ199" s="255"/>
      <c r="AK199" s="255"/>
      <c r="AL199" s="255"/>
      <c r="AM199" s="255"/>
      <c r="AN199" s="255">
        <v>0</v>
      </c>
      <c r="AO199" s="255">
        <v>0</v>
      </c>
      <c r="AP199" s="255"/>
      <c r="AQ199" s="255"/>
      <c r="AR199" s="255"/>
      <c r="AS199" s="255"/>
      <c r="AT199" s="256">
        <v>0</v>
      </c>
      <c r="AU199" s="256">
        <v>0</v>
      </c>
      <c r="AV199" s="256">
        <v>0</v>
      </c>
      <c r="AW199" s="227">
        <f t="shared" ref="AW199:AW231" si="114">SUM(AF199:AV199)</f>
        <v>7837</v>
      </c>
      <c r="AX199" s="257">
        <v>0</v>
      </c>
      <c r="AY199" s="255">
        <v>0</v>
      </c>
      <c r="AZ199" s="258"/>
      <c r="BA199" s="259">
        <v>0</v>
      </c>
      <c r="BB199" s="225">
        <v>0</v>
      </c>
      <c r="BC199" s="255">
        <v>0</v>
      </c>
      <c r="BD199" s="255">
        <v>0</v>
      </c>
      <c r="BE199" s="255"/>
      <c r="BF199" s="255"/>
      <c r="BG199" s="255">
        <v>0</v>
      </c>
      <c r="BH199" s="255">
        <v>0</v>
      </c>
      <c r="BI199" s="255">
        <v>0</v>
      </c>
      <c r="BJ199" s="256"/>
      <c r="BK199" s="256"/>
      <c r="BL199" s="256"/>
      <c r="BM199" s="248">
        <f t="shared" si="104"/>
        <v>7837</v>
      </c>
      <c r="BN199" s="257"/>
      <c r="BO199" s="255"/>
      <c r="BP199" s="256"/>
      <c r="BQ199" s="249"/>
      <c r="BR199" s="225"/>
      <c r="BS199" s="225"/>
      <c r="BT199" s="225"/>
      <c r="BU199" s="225"/>
      <c r="BV199" s="225"/>
      <c r="BW199" s="225"/>
      <c r="BX199" s="225"/>
      <c r="BY199" s="225"/>
      <c r="BZ199" s="225"/>
      <c r="CA199" s="225"/>
      <c r="CB199" s="225"/>
      <c r="CC199" s="227">
        <f t="shared" si="93"/>
        <v>7837</v>
      </c>
      <c r="CD199" s="244">
        <v>7837</v>
      </c>
      <c r="CE199" s="244">
        <f t="shared" si="105"/>
        <v>0</v>
      </c>
      <c r="CF199" s="244"/>
    </row>
    <row r="200" spans="1:84" x14ac:dyDescent="0.2">
      <c r="A200" s="245" t="s">
        <v>23</v>
      </c>
      <c r="B200" s="246" t="s">
        <v>63</v>
      </c>
      <c r="C200" s="246" t="s">
        <v>507</v>
      </c>
      <c r="D200" s="246" t="s">
        <v>136</v>
      </c>
      <c r="E200" s="247" t="s">
        <v>211</v>
      </c>
      <c r="F200" s="247" t="s">
        <v>712</v>
      </c>
      <c r="G200" s="233" t="str">
        <f t="shared" si="106"/>
        <v>1</v>
      </c>
      <c r="H200" s="233" t="str">
        <f t="shared" si="107"/>
        <v>0</v>
      </c>
      <c r="I200" s="233" t="str">
        <f t="shared" si="108"/>
        <v>0</v>
      </c>
      <c r="J200" s="233" t="str">
        <f t="shared" si="109"/>
        <v>0</v>
      </c>
      <c r="K200" s="233" t="str">
        <f t="shared" si="110"/>
        <v>1000</v>
      </c>
      <c r="L200" s="247" t="str">
        <f t="shared" si="111"/>
        <v>08802652District Design and Led 17-20</v>
      </c>
      <c r="M200" s="225">
        <v>8046</v>
      </c>
      <c r="N200" s="255"/>
      <c r="O200" s="255"/>
      <c r="P200" s="255"/>
      <c r="Q200" s="225">
        <f t="shared" si="112"/>
        <v>8046</v>
      </c>
      <c r="R200" s="225">
        <v>7631</v>
      </c>
      <c r="S200" s="225">
        <v>0</v>
      </c>
      <c r="T200" s="255"/>
      <c r="U200" s="255"/>
      <c r="V200" s="255"/>
      <c r="W200" s="255"/>
      <c r="X200" s="255"/>
      <c r="Y200" s="255"/>
      <c r="Z200" s="225">
        <v>-2167</v>
      </c>
      <c r="AA200" s="255"/>
      <c r="AB200" s="255"/>
      <c r="AC200" s="255"/>
      <c r="AD200" s="255"/>
      <c r="AE200" s="255"/>
      <c r="AF200" s="225">
        <f t="shared" si="113"/>
        <v>13510</v>
      </c>
      <c r="AG200" s="255"/>
      <c r="AH200" s="255">
        <v>0</v>
      </c>
      <c r="AI200" s="255"/>
      <c r="AJ200" s="255"/>
      <c r="AK200" s="255"/>
      <c r="AL200" s="255"/>
      <c r="AM200" s="255"/>
      <c r="AN200" s="225">
        <v>-12390.16</v>
      </c>
      <c r="AO200" s="255">
        <v>0</v>
      </c>
      <c r="AP200" s="255"/>
      <c r="AQ200" s="255"/>
      <c r="AR200" s="255"/>
      <c r="AS200" s="255"/>
      <c r="AT200" s="256">
        <v>0</v>
      </c>
      <c r="AU200" s="256">
        <v>0</v>
      </c>
      <c r="AV200" s="256">
        <v>0</v>
      </c>
      <c r="AW200" s="227">
        <f t="shared" si="114"/>
        <v>1119.8400000000001</v>
      </c>
      <c r="AX200" s="257">
        <v>0</v>
      </c>
      <c r="AY200" s="255">
        <v>0</v>
      </c>
      <c r="AZ200" s="258"/>
      <c r="BA200" s="259">
        <v>0</v>
      </c>
      <c r="BB200" s="225">
        <v>0</v>
      </c>
      <c r="BC200" s="255">
        <v>0</v>
      </c>
      <c r="BD200" s="225">
        <v>0</v>
      </c>
      <c r="BE200" s="255"/>
      <c r="BF200" s="255"/>
      <c r="BG200" s="255">
        <v>0</v>
      </c>
      <c r="BH200" s="255">
        <v>0</v>
      </c>
      <c r="BI200" s="255">
        <v>0</v>
      </c>
      <c r="BJ200" s="256"/>
      <c r="BK200" s="256"/>
      <c r="BL200" s="256"/>
      <c r="BM200" s="248">
        <f t="shared" si="104"/>
        <v>1119.8400000000001</v>
      </c>
      <c r="BN200" s="257"/>
      <c r="BO200" s="255"/>
      <c r="BP200" s="256"/>
      <c r="BQ200" s="249"/>
      <c r="BR200" s="225"/>
      <c r="BS200" s="225"/>
      <c r="BT200" s="225"/>
      <c r="BU200" s="225"/>
      <c r="BV200" s="225"/>
      <c r="BW200" s="225"/>
      <c r="BX200" s="225"/>
      <c r="BY200" s="225"/>
      <c r="BZ200" s="225"/>
      <c r="CA200" s="225"/>
      <c r="CB200" s="225"/>
      <c r="CC200" s="227">
        <f t="shared" si="93"/>
        <v>1119.8400000000001</v>
      </c>
      <c r="CD200" s="244">
        <v>1119.8400000000001</v>
      </c>
      <c r="CE200" s="244">
        <f t="shared" si="105"/>
        <v>0</v>
      </c>
      <c r="CF200" s="244"/>
    </row>
    <row r="201" spans="1:84" x14ac:dyDescent="0.2">
      <c r="A201" s="245" t="s">
        <v>23</v>
      </c>
      <c r="B201" s="246" t="s">
        <v>64</v>
      </c>
      <c r="C201" s="246" t="s">
        <v>507</v>
      </c>
      <c r="D201" s="246" t="s">
        <v>137</v>
      </c>
      <c r="E201" s="247" t="s">
        <v>211</v>
      </c>
      <c r="F201" s="247" t="s">
        <v>712</v>
      </c>
      <c r="G201" s="233" t="str">
        <f t="shared" si="106"/>
        <v>1</v>
      </c>
      <c r="H201" s="233" t="str">
        <f t="shared" si="107"/>
        <v>0</v>
      </c>
      <c r="I201" s="233" t="str">
        <f t="shared" si="108"/>
        <v>0</v>
      </c>
      <c r="J201" s="233" t="str">
        <f t="shared" si="109"/>
        <v>0</v>
      </c>
      <c r="K201" s="233" t="str">
        <f t="shared" si="110"/>
        <v>1000</v>
      </c>
      <c r="L201" s="247" t="str">
        <f t="shared" si="111"/>
        <v>08802726District Design and Led 17-20</v>
      </c>
      <c r="M201" s="225">
        <v>8046</v>
      </c>
      <c r="N201" s="255"/>
      <c r="O201" s="255"/>
      <c r="P201" s="255"/>
      <c r="Q201" s="225">
        <f t="shared" si="112"/>
        <v>8046</v>
      </c>
      <c r="R201" s="225">
        <v>130979</v>
      </c>
      <c r="S201" s="225">
        <v>0</v>
      </c>
      <c r="T201" s="255"/>
      <c r="U201" s="255"/>
      <c r="V201" s="255"/>
      <c r="W201" s="255"/>
      <c r="X201" s="255"/>
      <c r="Y201" s="255"/>
      <c r="Z201" s="225">
        <v>-28213</v>
      </c>
      <c r="AA201" s="255"/>
      <c r="AB201" s="255"/>
      <c r="AC201" s="225">
        <v>-50021</v>
      </c>
      <c r="AD201" s="255"/>
      <c r="AE201" s="255"/>
      <c r="AF201" s="225">
        <f t="shared" si="113"/>
        <v>60791</v>
      </c>
      <c r="AG201" s="255"/>
      <c r="AH201" s="255">
        <v>0</v>
      </c>
      <c r="AI201" s="255"/>
      <c r="AJ201" s="255"/>
      <c r="AK201" s="255"/>
      <c r="AL201" s="255"/>
      <c r="AM201" s="255"/>
      <c r="AN201" s="255">
        <v>0</v>
      </c>
      <c r="AO201" s="255">
        <v>0</v>
      </c>
      <c r="AP201" s="255"/>
      <c r="AQ201" s="255"/>
      <c r="AR201" s="255"/>
      <c r="AS201" s="255"/>
      <c r="AT201" s="256">
        <v>0</v>
      </c>
      <c r="AU201" s="256">
        <v>0</v>
      </c>
      <c r="AV201" s="256">
        <v>0</v>
      </c>
      <c r="AW201" s="227">
        <f t="shared" si="114"/>
        <v>60791</v>
      </c>
      <c r="AX201" s="257">
        <v>0</v>
      </c>
      <c r="AY201" s="255">
        <v>0</v>
      </c>
      <c r="AZ201" s="258"/>
      <c r="BA201" s="259">
        <v>0</v>
      </c>
      <c r="BB201" s="225">
        <v>0</v>
      </c>
      <c r="BC201" s="255">
        <v>0</v>
      </c>
      <c r="BD201" s="255">
        <v>0</v>
      </c>
      <c r="BE201" s="255"/>
      <c r="BF201" s="255"/>
      <c r="BG201" s="255">
        <v>0</v>
      </c>
      <c r="BH201" s="255">
        <v>0</v>
      </c>
      <c r="BI201" s="255">
        <v>0</v>
      </c>
      <c r="BJ201" s="256"/>
      <c r="BK201" s="256"/>
      <c r="BL201" s="256"/>
      <c r="BM201" s="248">
        <f t="shared" si="104"/>
        <v>60791</v>
      </c>
      <c r="BN201" s="257"/>
      <c r="BO201" s="255"/>
      <c r="BP201" s="256"/>
      <c r="BQ201" s="249"/>
      <c r="BR201" s="225"/>
      <c r="BS201" s="225"/>
      <c r="BT201" s="225"/>
      <c r="BU201" s="147">
        <f>-18164+18164-60791</f>
        <v>-60791</v>
      </c>
      <c r="BV201" s="225"/>
      <c r="BW201" s="225"/>
      <c r="BX201" s="225"/>
      <c r="BY201" s="225"/>
      <c r="BZ201" s="225"/>
      <c r="CA201" s="225"/>
      <c r="CB201" s="225"/>
      <c r="CC201" s="227">
        <f t="shared" si="93"/>
        <v>0</v>
      </c>
      <c r="CD201" s="244">
        <v>60791</v>
      </c>
      <c r="CE201" s="244">
        <f t="shared" si="105"/>
        <v>60791</v>
      </c>
      <c r="CF201" s="244"/>
    </row>
    <row r="202" spans="1:84" x14ac:dyDescent="0.2">
      <c r="A202" s="245" t="s">
        <v>23</v>
      </c>
      <c r="B202" s="246" t="s">
        <v>64</v>
      </c>
      <c r="C202" s="246" t="s">
        <v>507</v>
      </c>
      <c r="D202" s="246" t="s">
        <v>137</v>
      </c>
      <c r="E202" s="247" t="s">
        <v>213</v>
      </c>
      <c r="F202" s="247" t="s">
        <v>712</v>
      </c>
      <c r="G202" s="233" t="str">
        <f t="shared" si="106"/>
        <v>0</v>
      </c>
      <c r="H202" s="233" t="str">
        <f t="shared" si="107"/>
        <v>1</v>
      </c>
      <c r="I202" s="233" t="str">
        <f t="shared" si="108"/>
        <v>0</v>
      </c>
      <c r="J202" s="233" t="str">
        <f t="shared" si="109"/>
        <v>0</v>
      </c>
      <c r="K202" s="233" t="str">
        <f t="shared" si="110"/>
        <v>0100</v>
      </c>
      <c r="L202" s="247" t="str">
        <f t="shared" si="111"/>
        <v>08802726District Design and Led 18-21</v>
      </c>
      <c r="M202" s="255"/>
      <c r="N202" s="255"/>
      <c r="O202" s="255"/>
      <c r="P202" s="255"/>
      <c r="Q202" s="225">
        <f t="shared" si="112"/>
        <v>0</v>
      </c>
      <c r="R202" s="225"/>
      <c r="S202" s="225">
        <v>7837</v>
      </c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25">
        <f t="shared" si="113"/>
        <v>7837</v>
      </c>
      <c r="AG202" s="255"/>
      <c r="AH202" s="255">
        <v>0</v>
      </c>
      <c r="AI202" s="255"/>
      <c r="AJ202" s="255"/>
      <c r="AK202" s="255"/>
      <c r="AL202" s="255"/>
      <c r="AM202" s="255"/>
      <c r="AN202" s="255">
        <v>0</v>
      </c>
      <c r="AO202" s="255">
        <v>0</v>
      </c>
      <c r="AP202" s="255"/>
      <c r="AQ202" s="255"/>
      <c r="AR202" s="255"/>
      <c r="AS202" s="255"/>
      <c r="AT202" s="256">
        <v>0</v>
      </c>
      <c r="AU202" s="256">
        <v>0</v>
      </c>
      <c r="AV202" s="256">
        <v>0</v>
      </c>
      <c r="AW202" s="227">
        <f t="shared" si="114"/>
        <v>7837</v>
      </c>
      <c r="AX202" s="257">
        <v>0</v>
      </c>
      <c r="AY202" s="255">
        <v>81780</v>
      </c>
      <c r="AZ202" s="258"/>
      <c r="BA202" s="259">
        <v>0</v>
      </c>
      <c r="BB202" s="225">
        <v>0</v>
      </c>
      <c r="BC202" s="255">
        <v>0</v>
      </c>
      <c r="BD202" s="255">
        <v>0</v>
      </c>
      <c r="BE202" s="255"/>
      <c r="BF202" s="255"/>
      <c r="BG202" s="255">
        <v>0</v>
      </c>
      <c r="BH202" s="255">
        <v>0</v>
      </c>
      <c r="BI202" s="255">
        <v>0</v>
      </c>
      <c r="BJ202" s="256"/>
      <c r="BK202" s="256"/>
      <c r="BL202" s="256"/>
      <c r="BM202" s="248">
        <f t="shared" si="104"/>
        <v>89617</v>
      </c>
      <c r="BN202" s="257"/>
      <c r="BO202" s="255"/>
      <c r="BP202" s="256"/>
      <c r="BQ202" s="249"/>
      <c r="BR202" s="225"/>
      <c r="BS202" s="225"/>
      <c r="BT202" s="225"/>
      <c r="BU202" s="147">
        <v>-14001.88</v>
      </c>
      <c r="BV202" s="225"/>
      <c r="BW202" s="225"/>
      <c r="BX202" s="225"/>
      <c r="BY202" s="225"/>
      <c r="BZ202" s="225"/>
      <c r="CA202" s="225"/>
      <c r="CB202" s="225"/>
      <c r="CC202" s="227">
        <f t="shared" si="93"/>
        <v>75615.12</v>
      </c>
      <c r="CD202" s="244">
        <v>89617</v>
      </c>
      <c r="CE202" s="244">
        <f t="shared" si="105"/>
        <v>14001.880000000005</v>
      </c>
      <c r="CF202" s="244"/>
    </row>
    <row r="203" spans="1:84" x14ac:dyDescent="0.2">
      <c r="A203" s="245" t="s">
        <v>23</v>
      </c>
      <c r="B203" s="246" t="s">
        <v>67</v>
      </c>
      <c r="C203" s="246" t="s">
        <v>507</v>
      </c>
      <c r="D203" s="246" t="s">
        <v>140</v>
      </c>
      <c r="E203" s="247" t="s">
        <v>211</v>
      </c>
      <c r="F203" s="247" t="s">
        <v>712</v>
      </c>
      <c r="G203" s="233" t="str">
        <f t="shared" si="106"/>
        <v>1</v>
      </c>
      <c r="H203" s="233" t="str">
        <f t="shared" si="107"/>
        <v>0</v>
      </c>
      <c r="I203" s="233" t="str">
        <f t="shared" si="108"/>
        <v>0</v>
      </c>
      <c r="J203" s="233" t="str">
        <f t="shared" si="109"/>
        <v>0</v>
      </c>
      <c r="K203" s="233" t="str">
        <f t="shared" si="110"/>
        <v>1000</v>
      </c>
      <c r="L203" s="247" t="str">
        <f t="shared" si="111"/>
        <v>08802757District Design and Led 17-20</v>
      </c>
      <c r="M203" s="225">
        <v>8046</v>
      </c>
      <c r="N203" s="255"/>
      <c r="O203" s="255"/>
      <c r="P203" s="255"/>
      <c r="Q203" s="225">
        <f t="shared" si="112"/>
        <v>8046</v>
      </c>
      <c r="R203" s="225">
        <v>7631</v>
      </c>
      <c r="S203" s="225">
        <v>0</v>
      </c>
      <c r="T203" s="255"/>
      <c r="U203" s="255"/>
      <c r="V203" s="255"/>
      <c r="W203" s="255"/>
      <c r="X203" s="255"/>
      <c r="Y203" s="255"/>
      <c r="Z203" s="225">
        <v>-2167</v>
      </c>
      <c r="AA203" s="255"/>
      <c r="AB203" s="255"/>
      <c r="AC203" s="255"/>
      <c r="AD203" s="255"/>
      <c r="AE203" s="255"/>
      <c r="AF203" s="225">
        <f t="shared" si="113"/>
        <v>13510</v>
      </c>
      <c r="AG203" s="255"/>
      <c r="AH203" s="255">
        <v>0</v>
      </c>
      <c r="AI203" s="255"/>
      <c r="AJ203" s="255"/>
      <c r="AK203" s="255"/>
      <c r="AL203" s="255"/>
      <c r="AM203" s="255"/>
      <c r="AN203" s="255">
        <v>0</v>
      </c>
      <c r="AO203" s="255">
        <v>0</v>
      </c>
      <c r="AP203" s="255"/>
      <c r="AQ203" s="255"/>
      <c r="AR203" s="255"/>
      <c r="AS203" s="255"/>
      <c r="AT203" s="256">
        <v>0</v>
      </c>
      <c r="AU203" s="256">
        <v>0</v>
      </c>
      <c r="AV203" s="256">
        <v>0</v>
      </c>
      <c r="AW203" s="227">
        <f t="shared" si="114"/>
        <v>13510</v>
      </c>
      <c r="AX203" s="257">
        <v>0</v>
      </c>
      <c r="AY203" s="255">
        <v>0</v>
      </c>
      <c r="AZ203" s="258"/>
      <c r="BA203" s="259">
        <v>0</v>
      </c>
      <c r="BB203" s="225">
        <v>0</v>
      </c>
      <c r="BC203" s="255">
        <v>0</v>
      </c>
      <c r="BD203" s="255">
        <v>0</v>
      </c>
      <c r="BE203" s="255"/>
      <c r="BF203" s="255"/>
      <c r="BG203" s="255">
        <v>0</v>
      </c>
      <c r="BH203" s="255">
        <v>0</v>
      </c>
      <c r="BI203" s="255">
        <v>0</v>
      </c>
      <c r="BJ203" s="256"/>
      <c r="BK203" s="256"/>
      <c r="BL203" s="256"/>
      <c r="BM203" s="248">
        <f t="shared" si="104"/>
        <v>13510</v>
      </c>
      <c r="BN203" s="257"/>
      <c r="BO203" s="255"/>
      <c r="BP203" s="256"/>
      <c r="BQ203" s="249"/>
      <c r="BR203" s="225"/>
      <c r="BS203" s="225"/>
      <c r="BT203" s="225"/>
      <c r="BU203" s="225"/>
      <c r="BV203" s="225"/>
      <c r="BW203" s="225"/>
      <c r="BX203" s="225"/>
      <c r="BY203" s="225"/>
      <c r="BZ203" s="225"/>
      <c r="CA203" s="225"/>
      <c r="CB203" s="225"/>
      <c r="CC203" s="227">
        <f t="shared" si="93"/>
        <v>13510</v>
      </c>
      <c r="CD203" s="244">
        <v>13510</v>
      </c>
      <c r="CE203" s="244">
        <f t="shared" si="105"/>
        <v>0</v>
      </c>
      <c r="CF203" s="244"/>
    </row>
    <row r="204" spans="1:84" x14ac:dyDescent="0.2">
      <c r="A204" s="245" t="s">
        <v>23</v>
      </c>
      <c r="B204" s="246" t="s">
        <v>412</v>
      </c>
      <c r="C204" s="246" t="s">
        <v>507</v>
      </c>
      <c r="D204" s="246" t="s">
        <v>541</v>
      </c>
      <c r="E204" s="247" t="s">
        <v>213</v>
      </c>
      <c r="F204" s="247" t="s">
        <v>712</v>
      </c>
      <c r="G204" s="233" t="str">
        <f t="shared" si="106"/>
        <v>0</v>
      </c>
      <c r="H204" s="233" t="str">
        <f t="shared" si="107"/>
        <v>1</v>
      </c>
      <c r="I204" s="233" t="str">
        <f t="shared" si="108"/>
        <v>0</v>
      </c>
      <c r="J204" s="233" t="str">
        <f t="shared" si="109"/>
        <v>0</v>
      </c>
      <c r="K204" s="233" t="str">
        <f t="shared" si="110"/>
        <v>0100</v>
      </c>
      <c r="L204" s="247" t="str">
        <f t="shared" si="111"/>
        <v>08803340District Design and Led 18-21</v>
      </c>
      <c r="M204" s="255"/>
      <c r="N204" s="255"/>
      <c r="O204" s="255"/>
      <c r="P204" s="255"/>
      <c r="Q204" s="225">
        <f t="shared" si="112"/>
        <v>0</v>
      </c>
      <c r="R204" s="225"/>
      <c r="S204" s="225">
        <v>7837</v>
      </c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25">
        <f t="shared" si="113"/>
        <v>7837</v>
      </c>
      <c r="AG204" s="255"/>
      <c r="AH204" s="255">
        <v>0</v>
      </c>
      <c r="AI204" s="255"/>
      <c r="AJ204" s="255"/>
      <c r="AK204" s="255"/>
      <c r="AL204" s="255"/>
      <c r="AM204" s="255"/>
      <c r="AN204" s="255">
        <v>0</v>
      </c>
      <c r="AO204" s="255">
        <v>0</v>
      </c>
      <c r="AP204" s="255"/>
      <c r="AQ204" s="255"/>
      <c r="AR204" s="255"/>
      <c r="AS204" s="255"/>
      <c r="AT204" s="256">
        <v>0</v>
      </c>
      <c r="AU204" s="256">
        <v>0</v>
      </c>
      <c r="AV204" s="256">
        <v>0</v>
      </c>
      <c r="AW204" s="227">
        <f t="shared" si="114"/>
        <v>7837</v>
      </c>
      <c r="AX204" s="257">
        <v>0</v>
      </c>
      <c r="AY204" s="255">
        <v>0</v>
      </c>
      <c r="AZ204" s="258"/>
      <c r="BA204" s="259">
        <v>0</v>
      </c>
      <c r="BB204" s="225">
        <v>0</v>
      </c>
      <c r="BC204" s="255">
        <v>0</v>
      </c>
      <c r="BD204" s="255">
        <v>0</v>
      </c>
      <c r="BE204" s="255"/>
      <c r="BF204" s="255"/>
      <c r="BG204" s="255">
        <v>0</v>
      </c>
      <c r="BH204" s="255">
        <v>0</v>
      </c>
      <c r="BI204" s="255">
        <v>0</v>
      </c>
      <c r="BJ204" s="256"/>
      <c r="BK204" s="256"/>
      <c r="BL204" s="256"/>
      <c r="BM204" s="248">
        <f t="shared" si="104"/>
        <v>7837</v>
      </c>
      <c r="BN204" s="257"/>
      <c r="BO204" s="255"/>
      <c r="BP204" s="256"/>
      <c r="BQ204" s="249"/>
      <c r="BR204" s="225"/>
      <c r="BS204" s="225"/>
      <c r="BT204" s="225"/>
      <c r="BU204" s="225"/>
      <c r="BV204" s="225"/>
      <c r="BW204" s="225"/>
      <c r="BX204" s="225"/>
      <c r="BY204" s="225"/>
      <c r="BZ204" s="225"/>
      <c r="CA204" s="225"/>
      <c r="CB204" s="225"/>
      <c r="CC204" s="227">
        <f t="shared" si="93"/>
        <v>7837</v>
      </c>
      <c r="CD204" s="244">
        <v>7837</v>
      </c>
      <c r="CE204" s="244">
        <f t="shared" si="105"/>
        <v>0</v>
      </c>
      <c r="CF204" s="244"/>
    </row>
    <row r="205" spans="1:84" x14ac:dyDescent="0.2">
      <c r="A205" s="245" t="s">
        <v>23</v>
      </c>
      <c r="B205" s="246" t="s">
        <v>65</v>
      </c>
      <c r="C205" s="246" t="s">
        <v>507</v>
      </c>
      <c r="D205" s="246" t="s">
        <v>617</v>
      </c>
      <c r="E205" s="247" t="s">
        <v>211</v>
      </c>
      <c r="F205" s="247" t="s">
        <v>712</v>
      </c>
      <c r="G205" s="233" t="str">
        <f t="shared" si="106"/>
        <v>1</v>
      </c>
      <c r="H205" s="233" t="str">
        <f t="shared" si="107"/>
        <v>0</v>
      </c>
      <c r="I205" s="233" t="str">
        <f t="shared" si="108"/>
        <v>0</v>
      </c>
      <c r="J205" s="233" t="str">
        <f t="shared" si="109"/>
        <v>0</v>
      </c>
      <c r="K205" s="233" t="str">
        <f t="shared" si="110"/>
        <v>1000</v>
      </c>
      <c r="L205" s="247" t="str">
        <f t="shared" si="111"/>
        <v>08803655District Design and Led 17-20</v>
      </c>
      <c r="M205" s="225">
        <v>13946</v>
      </c>
      <c r="N205" s="255"/>
      <c r="O205" s="255"/>
      <c r="P205" s="255"/>
      <c r="Q205" s="225">
        <f t="shared" si="112"/>
        <v>13946</v>
      </c>
      <c r="R205" s="225">
        <v>9946</v>
      </c>
      <c r="S205" s="225">
        <v>0</v>
      </c>
      <c r="T205" s="255"/>
      <c r="U205" s="255"/>
      <c r="V205" s="255"/>
      <c r="W205" s="255"/>
      <c r="X205" s="255"/>
      <c r="Y205" s="255"/>
      <c r="Z205" s="225">
        <v>-3467</v>
      </c>
      <c r="AA205" s="255"/>
      <c r="AB205" s="255"/>
      <c r="AC205" s="255"/>
      <c r="AD205" s="255"/>
      <c r="AE205" s="255"/>
      <c r="AF205" s="225">
        <f t="shared" si="113"/>
        <v>20425</v>
      </c>
      <c r="AG205" s="255"/>
      <c r="AH205" s="255">
        <v>0</v>
      </c>
      <c r="AI205" s="255"/>
      <c r="AJ205" s="255"/>
      <c r="AK205" s="255"/>
      <c r="AL205" s="255"/>
      <c r="AM205" s="255"/>
      <c r="AN205" s="255">
        <v>0</v>
      </c>
      <c r="AO205" s="255">
        <v>0</v>
      </c>
      <c r="AP205" s="255"/>
      <c r="AQ205" s="255"/>
      <c r="AR205" s="255"/>
      <c r="AS205" s="255"/>
      <c r="AT205" s="256">
        <v>0</v>
      </c>
      <c r="AU205" s="256">
        <v>0</v>
      </c>
      <c r="AV205" s="256">
        <v>0</v>
      </c>
      <c r="AW205" s="227">
        <f t="shared" si="114"/>
        <v>20425</v>
      </c>
      <c r="AX205" s="257">
        <v>0</v>
      </c>
      <c r="AY205" s="255">
        <v>0</v>
      </c>
      <c r="AZ205" s="258"/>
      <c r="BA205" s="259">
        <v>0</v>
      </c>
      <c r="BB205" s="225">
        <v>0</v>
      </c>
      <c r="BC205" s="255">
        <v>0</v>
      </c>
      <c r="BD205" s="255">
        <v>0</v>
      </c>
      <c r="BE205" s="255"/>
      <c r="BF205" s="255"/>
      <c r="BG205" s="255">
        <v>0</v>
      </c>
      <c r="BH205" s="255">
        <v>0</v>
      </c>
      <c r="BI205" s="255">
        <v>0</v>
      </c>
      <c r="BJ205" s="256"/>
      <c r="BK205" s="256"/>
      <c r="BL205" s="256"/>
      <c r="BM205" s="248">
        <f t="shared" si="104"/>
        <v>20425</v>
      </c>
      <c r="BN205" s="257"/>
      <c r="BO205" s="255"/>
      <c r="BP205" s="256"/>
      <c r="BQ205" s="249"/>
      <c r="BR205" s="225"/>
      <c r="BS205" s="225"/>
      <c r="BT205" s="225"/>
      <c r="BU205" s="225"/>
      <c r="BV205" s="225"/>
      <c r="BW205" s="225"/>
      <c r="BX205" s="225"/>
      <c r="BY205" s="225"/>
      <c r="BZ205" s="225"/>
      <c r="CA205" s="225"/>
      <c r="CB205" s="225"/>
      <c r="CC205" s="227">
        <f t="shared" si="93"/>
        <v>20425</v>
      </c>
      <c r="CD205" s="244">
        <v>20425</v>
      </c>
      <c r="CE205" s="244">
        <f t="shared" si="105"/>
        <v>0</v>
      </c>
      <c r="CF205" s="244"/>
    </row>
    <row r="206" spans="1:84" x14ac:dyDescent="0.2">
      <c r="A206" s="245" t="s">
        <v>23</v>
      </c>
      <c r="B206" s="246" t="s">
        <v>413</v>
      </c>
      <c r="C206" s="246" t="s">
        <v>507</v>
      </c>
      <c r="D206" s="246" t="s">
        <v>537</v>
      </c>
      <c r="E206" s="247" t="s">
        <v>213</v>
      </c>
      <c r="F206" s="247" t="s">
        <v>712</v>
      </c>
      <c r="G206" s="233" t="str">
        <f t="shared" si="106"/>
        <v>0</v>
      </c>
      <c r="H206" s="233" t="str">
        <f t="shared" si="107"/>
        <v>1</v>
      </c>
      <c r="I206" s="233" t="str">
        <f t="shared" si="108"/>
        <v>0</v>
      </c>
      <c r="J206" s="233" t="str">
        <f t="shared" si="109"/>
        <v>0</v>
      </c>
      <c r="K206" s="233" t="str">
        <f t="shared" si="110"/>
        <v>0100</v>
      </c>
      <c r="L206" s="247" t="str">
        <f t="shared" si="111"/>
        <v>08804444District Design and Led 18-21</v>
      </c>
      <c r="M206" s="255"/>
      <c r="N206" s="255"/>
      <c r="O206" s="255"/>
      <c r="P206" s="255"/>
      <c r="Q206" s="225">
        <f t="shared" si="112"/>
        <v>0</v>
      </c>
      <c r="R206" s="225"/>
      <c r="S206" s="225">
        <v>28278</v>
      </c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25">
        <f t="shared" si="113"/>
        <v>28278</v>
      </c>
      <c r="AG206" s="255"/>
      <c r="AH206" s="255">
        <v>0</v>
      </c>
      <c r="AI206" s="255"/>
      <c r="AJ206" s="255"/>
      <c r="AK206" s="255"/>
      <c r="AL206" s="255"/>
      <c r="AM206" s="255"/>
      <c r="AN206" s="255">
        <v>0</v>
      </c>
      <c r="AO206" s="255">
        <v>0</v>
      </c>
      <c r="AP206" s="255"/>
      <c r="AQ206" s="255"/>
      <c r="AR206" s="255"/>
      <c r="AS206" s="255"/>
      <c r="AT206" s="256">
        <v>0</v>
      </c>
      <c r="AU206" s="256">
        <v>0</v>
      </c>
      <c r="AV206" s="256">
        <v>0</v>
      </c>
      <c r="AW206" s="227">
        <f t="shared" si="114"/>
        <v>28278</v>
      </c>
      <c r="AX206" s="257">
        <v>0</v>
      </c>
      <c r="AY206" s="255">
        <v>0</v>
      </c>
      <c r="AZ206" s="258"/>
      <c r="BA206" s="259">
        <v>0</v>
      </c>
      <c r="BB206" s="225">
        <v>0</v>
      </c>
      <c r="BC206" s="255">
        <v>0</v>
      </c>
      <c r="BD206" s="255">
        <v>0</v>
      </c>
      <c r="BE206" s="255"/>
      <c r="BF206" s="255"/>
      <c r="BG206" s="255">
        <v>0</v>
      </c>
      <c r="BH206" s="255">
        <v>0</v>
      </c>
      <c r="BI206" s="255">
        <v>0</v>
      </c>
      <c r="BJ206" s="256"/>
      <c r="BK206" s="256"/>
      <c r="BL206" s="256"/>
      <c r="BM206" s="248">
        <f t="shared" si="104"/>
        <v>28278</v>
      </c>
      <c r="BN206" s="257"/>
      <c r="BO206" s="255"/>
      <c r="BP206" s="256"/>
      <c r="BQ206" s="249"/>
      <c r="BR206" s="225"/>
      <c r="BS206" s="225"/>
      <c r="BT206" s="225"/>
      <c r="BU206" s="225"/>
      <c r="BV206" s="225"/>
      <c r="BW206" s="225"/>
      <c r="BX206" s="225"/>
      <c r="BY206" s="225"/>
      <c r="BZ206" s="225"/>
      <c r="CA206" s="225"/>
      <c r="CB206" s="225"/>
      <c r="CC206" s="227">
        <f t="shared" si="93"/>
        <v>28278</v>
      </c>
      <c r="CD206" s="244">
        <v>28278</v>
      </c>
      <c r="CE206" s="244">
        <f t="shared" si="105"/>
        <v>0</v>
      </c>
      <c r="CF206" s="244"/>
    </row>
    <row r="207" spans="1:84" x14ac:dyDescent="0.2">
      <c r="A207" s="245" t="s">
        <v>23</v>
      </c>
      <c r="B207" s="246" t="s">
        <v>414</v>
      </c>
      <c r="C207" s="246" t="s">
        <v>507</v>
      </c>
      <c r="D207" s="246" t="s">
        <v>533</v>
      </c>
      <c r="E207" s="247" t="s">
        <v>213</v>
      </c>
      <c r="F207" s="247" t="s">
        <v>712</v>
      </c>
      <c r="G207" s="233" t="str">
        <f t="shared" si="106"/>
        <v>0</v>
      </c>
      <c r="H207" s="233" t="str">
        <f t="shared" si="107"/>
        <v>1</v>
      </c>
      <c r="I207" s="233" t="str">
        <f t="shared" si="108"/>
        <v>1</v>
      </c>
      <c r="J207" s="233" t="str">
        <f t="shared" si="109"/>
        <v>0</v>
      </c>
      <c r="K207" s="233" t="str">
        <f t="shared" si="110"/>
        <v>0110</v>
      </c>
      <c r="L207" s="247" t="str">
        <f t="shared" si="111"/>
        <v>08804494District Design and Led 18-21</v>
      </c>
      <c r="M207" s="255"/>
      <c r="N207" s="255"/>
      <c r="O207" s="255"/>
      <c r="P207" s="255"/>
      <c r="Q207" s="225">
        <f t="shared" si="112"/>
        <v>0</v>
      </c>
      <c r="R207" s="225"/>
      <c r="S207" s="225">
        <v>36115</v>
      </c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25">
        <f t="shared" si="113"/>
        <v>36115</v>
      </c>
      <c r="AG207" s="255"/>
      <c r="AH207" s="255">
        <v>0</v>
      </c>
      <c r="AI207" s="255">
        <v>810.48</v>
      </c>
      <c r="AJ207" s="255"/>
      <c r="AK207" s="255"/>
      <c r="AL207" s="255"/>
      <c r="AM207" s="225">
        <v>-548.12</v>
      </c>
      <c r="AN207" s="255">
        <v>0</v>
      </c>
      <c r="AO207" s="255">
        <v>0</v>
      </c>
      <c r="AP207" s="255"/>
      <c r="AQ207" s="255"/>
      <c r="AR207" s="255"/>
      <c r="AS207" s="255"/>
      <c r="AT207" s="256">
        <v>0</v>
      </c>
      <c r="AU207" s="256">
        <v>0</v>
      </c>
      <c r="AV207" s="256">
        <v>0</v>
      </c>
      <c r="AW207" s="227">
        <f t="shared" si="114"/>
        <v>36377.360000000001</v>
      </c>
      <c r="AX207" s="257">
        <v>0</v>
      </c>
      <c r="AY207" s="255">
        <v>99206.772800000006</v>
      </c>
      <c r="AZ207" s="258"/>
      <c r="BA207" s="259">
        <v>0</v>
      </c>
      <c r="BB207" s="225">
        <v>0</v>
      </c>
      <c r="BC207" s="225">
        <v>0</v>
      </c>
      <c r="BD207" s="255">
        <v>0</v>
      </c>
      <c r="BE207" s="255"/>
      <c r="BF207" s="255"/>
      <c r="BG207" s="255">
        <v>0</v>
      </c>
      <c r="BH207" s="255">
        <v>0</v>
      </c>
      <c r="BI207" s="255">
        <v>0</v>
      </c>
      <c r="BJ207" s="256"/>
      <c r="BK207" s="256"/>
      <c r="BL207" s="256"/>
      <c r="BM207" s="248">
        <f t="shared" si="104"/>
        <v>135584.13280000002</v>
      </c>
      <c r="BN207" s="257"/>
      <c r="BO207" s="255">
        <v>16825</v>
      </c>
      <c r="BP207" s="256"/>
      <c r="BQ207" s="249"/>
      <c r="BR207" s="225"/>
      <c r="BS207" s="225"/>
      <c r="BT207" s="225"/>
      <c r="BU207" s="147">
        <f>43.36-97579.49</f>
        <v>-97536.13</v>
      </c>
      <c r="BV207" s="225"/>
      <c r="BW207" s="225"/>
      <c r="BX207" s="225"/>
      <c r="BY207" s="225"/>
      <c r="BZ207" s="225"/>
      <c r="CA207" s="225"/>
      <c r="CB207" s="225"/>
      <c r="CC207" s="227">
        <f t="shared" si="93"/>
        <v>54873.002800000017</v>
      </c>
      <c r="CD207" s="244">
        <v>135584.13280000002</v>
      </c>
      <c r="CE207" s="244">
        <f t="shared" si="105"/>
        <v>80711.13</v>
      </c>
      <c r="CF207" s="244"/>
    </row>
    <row r="208" spans="1:84" x14ac:dyDescent="0.2">
      <c r="A208" s="245" t="s">
        <v>23</v>
      </c>
      <c r="B208" s="246" t="s">
        <v>66</v>
      </c>
      <c r="C208" s="246" t="s">
        <v>507</v>
      </c>
      <c r="D208" s="246" t="s">
        <v>139</v>
      </c>
      <c r="E208" s="247" t="s">
        <v>211</v>
      </c>
      <c r="F208" s="247" t="s">
        <v>712</v>
      </c>
      <c r="G208" s="233" t="str">
        <f t="shared" si="106"/>
        <v>1</v>
      </c>
      <c r="H208" s="233" t="str">
        <f t="shared" si="107"/>
        <v>0</v>
      </c>
      <c r="I208" s="233" t="str">
        <f t="shared" si="108"/>
        <v>0</v>
      </c>
      <c r="J208" s="233" t="str">
        <f t="shared" si="109"/>
        <v>0</v>
      </c>
      <c r="K208" s="233" t="str">
        <f t="shared" si="110"/>
        <v>1000</v>
      </c>
      <c r="L208" s="247" t="str">
        <f t="shared" si="111"/>
        <v>08804782District Design and Led 17-20</v>
      </c>
      <c r="M208" s="225">
        <v>8046</v>
      </c>
      <c r="N208" s="255"/>
      <c r="O208" s="255"/>
      <c r="P208" s="255"/>
      <c r="Q208" s="225">
        <f t="shared" si="112"/>
        <v>8046</v>
      </c>
      <c r="R208" s="225">
        <v>7631</v>
      </c>
      <c r="S208" s="225">
        <v>0</v>
      </c>
      <c r="T208" s="255"/>
      <c r="U208" s="255"/>
      <c r="V208" s="255"/>
      <c r="W208" s="255"/>
      <c r="X208" s="255"/>
      <c r="Y208" s="255"/>
      <c r="Z208" s="225">
        <v>-2167</v>
      </c>
      <c r="AA208" s="255"/>
      <c r="AB208" s="255"/>
      <c r="AC208" s="255"/>
      <c r="AD208" s="255"/>
      <c r="AE208" s="255"/>
      <c r="AF208" s="225">
        <f t="shared" si="113"/>
        <v>13510</v>
      </c>
      <c r="AG208" s="255"/>
      <c r="AH208" s="255">
        <v>0</v>
      </c>
      <c r="AI208" s="255"/>
      <c r="AJ208" s="255"/>
      <c r="AK208" s="255"/>
      <c r="AL208" s="255"/>
      <c r="AM208" s="255"/>
      <c r="AN208" s="255">
        <v>0</v>
      </c>
      <c r="AO208" s="255">
        <v>0</v>
      </c>
      <c r="AP208" s="255"/>
      <c r="AQ208" s="255"/>
      <c r="AR208" s="255"/>
      <c r="AS208" s="255"/>
      <c r="AT208" s="256">
        <v>0</v>
      </c>
      <c r="AU208" s="256">
        <v>0</v>
      </c>
      <c r="AV208" s="256">
        <v>0</v>
      </c>
      <c r="AW208" s="227">
        <f t="shared" si="114"/>
        <v>13510</v>
      </c>
      <c r="AX208" s="257">
        <v>0</v>
      </c>
      <c r="AY208" s="255">
        <v>0</v>
      </c>
      <c r="AZ208" s="258"/>
      <c r="BA208" s="259">
        <v>0</v>
      </c>
      <c r="BB208" s="225">
        <v>0</v>
      </c>
      <c r="BC208" s="255">
        <v>0</v>
      </c>
      <c r="BD208" s="255">
        <v>0</v>
      </c>
      <c r="BE208" s="255"/>
      <c r="BF208" s="255"/>
      <c r="BG208" s="255">
        <v>0</v>
      </c>
      <c r="BH208" s="255">
        <v>0</v>
      </c>
      <c r="BI208" s="255">
        <v>0</v>
      </c>
      <c r="BJ208" s="256"/>
      <c r="BK208" s="256"/>
      <c r="BL208" s="256"/>
      <c r="BM208" s="248">
        <f t="shared" si="104"/>
        <v>13510</v>
      </c>
      <c r="BN208" s="257"/>
      <c r="BO208" s="255"/>
      <c r="BP208" s="256"/>
      <c r="BQ208" s="249"/>
      <c r="BR208" s="225"/>
      <c r="BS208" s="225"/>
      <c r="BT208" s="225"/>
      <c r="BU208" s="225"/>
      <c r="BV208" s="225"/>
      <c r="BW208" s="225"/>
      <c r="BX208" s="225"/>
      <c r="BY208" s="225"/>
      <c r="BZ208" s="225"/>
      <c r="CA208" s="225"/>
      <c r="CB208" s="225"/>
      <c r="CC208" s="227">
        <f t="shared" si="93"/>
        <v>13510</v>
      </c>
      <c r="CD208" s="244">
        <v>13510</v>
      </c>
      <c r="CE208" s="244">
        <f t="shared" si="105"/>
        <v>0</v>
      </c>
      <c r="CF208" s="244"/>
    </row>
    <row r="209" spans="1:84" x14ac:dyDescent="0.2">
      <c r="A209" s="245" t="s">
        <v>23</v>
      </c>
      <c r="B209" s="246" t="s">
        <v>66</v>
      </c>
      <c r="C209" s="246" t="s">
        <v>507</v>
      </c>
      <c r="D209" s="246" t="s">
        <v>139</v>
      </c>
      <c r="E209" s="247" t="s">
        <v>213</v>
      </c>
      <c r="F209" s="247" t="s">
        <v>712</v>
      </c>
      <c r="G209" s="233" t="str">
        <f t="shared" si="106"/>
        <v>0</v>
      </c>
      <c r="H209" s="233" t="str">
        <f t="shared" si="107"/>
        <v>1</v>
      </c>
      <c r="I209" s="233" t="str">
        <f t="shared" si="108"/>
        <v>0</v>
      </c>
      <c r="J209" s="233" t="str">
        <f t="shared" si="109"/>
        <v>0</v>
      </c>
      <c r="K209" s="233" t="str">
        <f t="shared" si="110"/>
        <v>0100</v>
      </c>
      <c r="L209" s="247" t="str">
        <f t="shared" si="111"/>
        <v>08804782District Design and Led 18-21</v>
      </c>
      <c r="M209" s="255"/>
      <c r="N209" s="255"/>
      <c r="O209" s="255"/>
      <c r="P209" s="255"/>
      <c r="Q209" s="225">
        <f t="shared" si="112"/>
        <v>0</v>
      </c>
      <c r="R209" s="225"/>
      <c r="S209" s="225">
        <v>7837</v>
      </c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25">
        <f t="shared" si="113"/>
        <v>7837</v>
      </c>
      <c r="AG209" s="255"/>
      <c r="AH209" s="255">
        <v>0</v>
      </c>
      <c r="AI209" s="255"/>
      <c r="AJ209" s="255"/>
      <c r="AK209" s="255"/>
      <c r="AL209" s="255"/>
      <c r="AM209" s="255"/>
      <c r="AN209" s="255">
        <v>0</v>
      </c>
      <c r="AO209" s="255">
        <v>0</v>
      </c>
      <c r="AP209" s="255"/>
      <c r="AQ209" s="255"/>
      <c r="AR209" s="255"/>
      <c r="AS209" s="255"/>
      <c r="AT209" s="256">
        <v>0</v>
      </c>
      <c r="AU209" s="256">
        <v>0</v>
      </c>
      <c r="AV209" s="256">
        <v>0</v>
      </c>
      <c r="AW209" s="227">
        <f t="shared" si="114"/>
        <v>7837</v>
      </c>
      <c r="AX209" s="257">
        <v>0</v>
      </c>
      <c r="AY209" s="255">
        <v>0</v>
      </c>
      <c r="AZ209" s="258"/>
      <c r="BA209" s="259">
        <v>0</v>
      </c>
      <c r="BB209" s="225">
        <v>0</v>
      </c>
      <c r="BC209" s="255">
        <v>0</v>
      </c>
      <c r="BD209" s="255">
        <v>0</v>
      </c>
      <c r="BE209" s="255"/>
      <c r="BF209" s="255"/>
      <c r="BG209" s="255">
        <v>0</v>
      </c>
      <c r="BH209" s="255">
        <v>0</v>
      </c>
      <c r="BI209" s="255">
        <v>0</v>
      </c>
      <c r="BJ209" s="256"/>
      <c r="BK209" s="256"/>
      <c r="BL209" s="256"/>
      <c r="BM209" s="248">
        <f t="shared" ref="BM209:BM231" si="115">SUM(AW209:BL209)</f>
        <v>7837</v>
      </c>
      <c r="BN209" s="257"/>
      <c r="BO209" s="255"/>
      <c r="BP209" s="256"/>
      <c r="BQ209" s="249"/>
      <c r="BR209" s="225"/>
      <c r="BS209" s="225"/>
      <c r="BT209" s="225"/>
      <c r="BU209" s="225"/>
      <c r="BV209" s="225"/>
      <c r="BW209" s="225"/>
      <c r="BX209" s="225"/>
      <c r="BY209" s="225"/>
      <c r="BZ209" s="225"/>
      <c r="CA209" s="225"/>
      <c r="CB209" s="225"/>
      <c r="CC209" s="227">
        <f t="shared" ref="CC209:CC272" si="116">SUM(BM209:CB209)</f>
        <v>7837</v>
      </c>
      <c r="CD209" s="244">
        <v>7837</v>
      </c>
      <c r="CE209" s="244">
        <f t="shared" si="105"/>
        <v>0</v>
      </c>
      <c r="CF209" s="244"/>
    </row>
    <row r="210" spans="1:84" x14ac:dyDescent="0.2">
      <c r="A210" s="245" t="s">
        <v>23</v>
      </c>
      <c r="B210" s="246" t="s">
        <v>415</v>
      </c>
      <c r="C210" s="246" t="s">
        <v>507</v>
      </c>
      <c r="D210" s="246" t="s">
        <v>517</v>
      </c>
      <c r="E210" s="247" t="s">
        <v>213</v>
      </c>
      <c r="F210" s="247" t="s">
        <v>712</v>
      </c>
      <c r="G210" s="233" t="str">
        <f t="shared" si="106"/>
        <v>0</v>
      </c>
      <c r="H210" s="233" t="str">
        <f t="shared" si="107"/>
        <v>1</v>
      </c>
      <c r="I210" s="233" t="str">
        <f t="shared" si="108"/>
        <v>0</v>
      </c>
      <c r="J210" s="233" t="str">
        <f t="shared" si="109"/>
        <v>0</v>
      </c>
      <c r="K210" s="233" t="str">
        <f t="shared" si="110"/>
        <v>0100</v>
      </c>
      <c r="L210" s="247" t="str">
        <f t="shared" si="111"/>
        <v>08804795District Design and Led 18-21</v>
      </c>
      <c r="M210" s="255"/>
      <c r="N210" s="255"/>
      <c r="O210" s="255"/>
      <c r="P210" s="255"/>
      <c r="Q210" s="225">
        <f t="shared" si="112"/>
        <v>0</v>
      </c>
      <c r="R210" s="225"/>
      <c r="S210" s="225">
        <v>14191</v>
      </c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25">
        <f t="shared" si="113"/>
        <v>14191</v>
      </c>
      <c r="AG210" s="255"/>
      <c r="AH210" s="255">
        <v>0</v>
      </c>
      <c r="AI210" s="255"/>
      <c r="AJ210" s="255"/>
      <c r="AK210" s="255"/>
      <c r="AL210" s="255"/>
      <c r="AM210" s="255"/>
      <c r="AN210" s="255">
        <v>0</v>
      </c>
      <c r="AO210" s="255">
        <v>0</v>
      </c>
      <c r="AP210" s="255"/>
      <c r="AQ210" s="255"/>
      <c r="AR210" s="255"/>
      <c r="AS210" s="255"/>
      <c r="AT210" s="256">
        <v>0</v>
      </c>
      <c r="AU210" s="256">
        <v>0</v>
      </c>
      <c r="AV210" s="256">
        <v>0</v>
      </c>
      <c r="AW210" s="227">
        <f t="shared" si="114"/>
        <v>14191</v>
      </c>
      <c r="AX210" s="257">
        <v>0</v>
      </c>
      <c r="AY210" s="255">
        <v>0</v>
      </c>
      <c r="AZ210" s="258"/>
      <c r="BA210" s="259">
        <v>0</v>
      </c>
      <c r="BB210" s="225">
        <v>0</v>
      </c>
      <c r="BC210" s="255">
        <v>0</v>
      </c>
      <c r="BD210" s="255">
        <v>0</v>
      </c>
      <c r="BE210" s="255"/>
      <c r="BF210" s="255"/>
      <c r="BG210" s="255">
        <v>0</v>
      </c>
      <c r="BH210" s="255">
        <v>0</v>
      </c>
      <c r="BI210" s="255">
        <v>0</v>
      </c>
      <c r="BJ210" s="256"/>
      <c r="BK210" s="256"/>
      <c r="BL210" s="256"/>
      <c r="BM210" s="248">
        <f t="shared" si="115"/>
        <v>14191</v>
      </c>
      <c r="BN210" s="257"/>
      <c r="BO210" s="255"/>
      <c r="BP210" s="256"/>
      <c r="BQ210" s="249"/>
      <c r="BR210" s="225"/>
      <c r="BS210" s="225"/>
      <c r="BT210" s="225"/>
      <c r="BU210" s="225"/>
      <c r="BV210" s="225"/>
      <c r="BW210" s="225"/>
      <c r="BX210" s="225"/>
      <c r="BY210" s="225"/>
      <c r="BZ210" s="225"/>
      <c r="CA210" s="225"/>
      <c r="CB210" s="225"/>
      <c r="CC210" s="227">
        <f t="shared" si="116"/>
        <v>14191</v>
      </c>
      <c r="CD210" s="244">
        <v>14191</v>
      </c>
      <c r="CE210" s="244">
        <f t="shared" si="105"/>
        <v>0</v>
      </c>
      <c r="CF210" s="244"/>
    </row>
    <row r="211" spans="1:84" x14ac:dyDescent="0.2">
      <c r="A211" s="245" t="s">
        <v>23</v>
      </c>
      <c r="B211" s="246" t="s">
        <v>390</v>
      </c>
      <c r="C211" s="246" t="s">
        <v>507</v>
      </c>
      <c r="D211" s="246" t="s">
        <v>540</v>
      </c>
      <c r="E211" s="247" t="s">
        <v>213</v>
      </c>
      <c r="F211" s="247" t="s">
        <v>712</v>
      </c>
      <c r="G211" s="233" t="str">
        <f t="shared" si="106"/>
        <v>0</v>
      </c>
      <c r="H211" s="233" t="str">
        <f t="shared" si="107"/>
        <v>1</v>
      </c>
      <c r="I211" s="233" t="str">
        <f t="shared" si="108"/>
        <v>0</v>
      </c>
      <c r="J211" s="233" t="str">
        <f t="shared" si="109"/>
        <v>0</v>
      </c>
      <c r="K211" s="233" t="str">
        <f t="shared" si="110"/>
        <v>0100</v>
      </c>
      <c r="L211" s="247" t="str">
        <f t="shared" si="111"/>
        <v>08805044District Design and Led 18-21</v>
      </c>
      <c r="M211" s="255"/>
      <c r="N211" s="255"/>
      <c r="O211" s="255"/>
      <c r="P211" s="255"/>
      <c r="Q211" s="225">
        <f t="shared" si="112"/>
        <v>0</v>
      </c>
      <c r="R211" s="225"/>
      <c r="S211" s="225">
        <v>7837</v>
      </c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25">
        <f t="shared" si="113"/>
        <v>7837</v>
      </c>
      <c r="AG211" s="255"/>
      <c r="AH211" s="255">
        <v>0</v>
      </c>
      <c r="AI211" s="255"/>
      <c r="AJ211" s="255"/>
      <c r="AK211" s="255"/>
      <c r="AL211" s="255"/>
      <c r="AM211" s="255"/>
      <c r="AN211" s="255">
        <v>0</v>
      </c>
      <c r="AO211" s="255">
        <v>0</v>
      </c>
      <c r="AP211" s="255"/>
      <c r="AQ211" s="255"/>
      <c r="AR211" s="255"/>
      <c r="AS211" s="255"/>
      <c r="AT211" s="256">
        <v>0</v>
      </c>
      <c r="AU211" s="256">
        <v>0</v>
      </c>
      <c r="AV211" s="256">
        <v>0</v>
      </c>
      <c r="AW211" s="227">
        <f t="shared" si="114"/>
        <v>7837</v>
      </c>
      <c r="AX211" s="257">
        <v>0</v>
      </c>
      <c r="AY211" s="255">
        <v>81780</v>
      </c>
      <c r="AZ211" s="258"/>
      <c r="BA211" s="259">
        <v>0</v>
      </c>
      <c r="BB211" s="225">
        <v>0</v>
      </c>
      <c r="BC211" s="255">
        <v>0</v>
      </c>
      <c r="BD211" s="255">
        <v>0</v>
      </c>
      <c r="BE211" s="255"/>
      <c r="BF211" s="255"/>
      <c r="BG211" s="255">
        <v>0</v>
      </c>
      <c r="BH211" s="255">
        <v>0</v>
      </c>
      <c r="BI211" s="255">
        <v>0</v>
      </c>
      <c r="BJ211" s="256"/>
      <c r="BK211" s="256"/>
      <c r="BL211" s="256"/>
      <c r="BM211" s="248">
        <f t="shared" si="115"/>
        <v>89617</v>
      </c>
      <c r="BN211" s="257"/>
      <c r="BO211" s="255"/>
      <c r="BP211" s="256"/>
      <c r="BQ211" s="249"/>
      <c r="BR211" s="225"/>
      <c r="BS211" s="225"/>
      <c r="BT211" s="225"/>
      <c r="BU211" s="147">
        <f>-233.1+0.01-76234.22</f>
        <v>-76467.31</v>
      </c>
      <c r="BV211" s="225"/>
      <c r="BW211" s="225"/>
      <c r="BX211" s="225"/>
      <c r="BY211" s="225"/>
      <c r="BZ211" s="225"/>
      <c r="CA211" s="225"/>
      <c r="CB211" s="225"/>
      <c r="CC211" s="227">
        <f t="shared" si="116"/>
        <v>13149.690000000002</v>
      </c>
      <c r="CD211" s="244">
        <v>89617</v>
      </c>
      <c r="CE211" s="244">
        <f t="shared" si="105"/>
        <v>76467.31</v>
      </c>
      <c r="CF211" s="244"/>
    </row>
    <row r="212" spans="1:84" x14ac:dyDescent="0.2">
      <c r="A212" s="245" t="s">
        <v>23</v>
      </c>
      <c r="B212" s="246" t="s">
        <v>416</v>
      </c>
      <c r="C212" s="246" t="s">
        <v>507</v>
      </c>
      <c r="D212" s="246" t="s">
        <v>539</v>
      </c>
      <c r="E212" s="247" t="s">
        <v>213</v>
      </c>
      <c r="F212" s="247" t="s">
        <v>712</v>
      </c>
      <c r="G212" s="233" t="str">
        <f t="shared" si="106"/>
        <v>0</v>
      </c>
      <c r="H212" s="233" t="str">
        <f t="shared" si="107"/>
        <v>1</v>
      </c>
      <c r="I212" s="233" t="str">
        <f t="shared" si="108"/>
        <v>0</v>
      </c>
      <c r="J212" s="233" t="str">
        <f t="shared" si="109"/>
        <v>0</v>
      </c>
      <c r="K212" s="233" t="str">
        <f t="shared" si="110"/>
        <v>0100</v>
      </c>
      <c r="L212" s="247" t="str">
        <f t="shared" si="111"/>
        <v>08805255District Design and Led 18-21</v>
      </c>
      <c r="M212" s="255"/>
      <c r="N212" s="255"/>
      <c r="O212" s="255"/>
      <c r="P212" s="255"/>
      <c r="Q212" s="225">
        <f t="shared" si="112"/>
        <v>0</v>
      </c>
      <c r="R212" s="225"/>
      <c r="S212" s="225">
        <v>14191</v>
      </c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25">
        <f t="shared" si="113"/>
        <v>14191</v>
      </c>
      <c r="AG212" s="255"/>
      <c r="AH212" s="255">
        <v>0</v>
      </c>
      <c r="AI212" s="255"/>
      <c r="AJ212" s="255"/>
      <c r="AK212" s="255"/>
      <c r="AL212" s="255"/>
      <c r="AM212" s="255"/>
      <c r="AN212" s="255">
        <v>0</v>
      </c>
      <c r="AO212" s="255">
        <v>0</v>
      </c>
      <c r="AP212" s="255"/>
      <c r="AQ212" s="255"/>
      <c r="AR212" s="255"/>
      <c r="AS212" s="255"/>
      <c r="AT212" s="256">
        <v>0</v>
      </c>
      <c r="AU212" s="256">
        <v>0</v>
      </c>
      <c r="AV212" s="256">
        <v>0</v>
      </c>
      <c r="AW212" s="227">
        <f t="shared" si="114"/>
        <v>14191</v>
      </c>
      <c r="AX212" s="257">
        <v>0</v>
      </c>
      <c r="AY212" s="255">
        <v>0</v>
      </c>
      <c r="AZ212" s="258"/>
      <c r="BA212" s="259">
        <v>0</v>
      </c>
      <c r="BB212" s="225">
        <v>0</v>
      </c>
      <c r="BC212" s="255">
        <v>0</v>
      </c>
      <c r="BD212" s="255">
        <v>0</v>
      </c>
      <c r="BE212" s="255"/>
      <c r="BF212" s="255"/>
      <c r="BG212" s="255">
        <v>0</v>
      </c>
      <c r="BH212" s="255">
        <v>0</v>
      </c>
      <c r="BI212" s="255">
        <v>0</v>
      </c>
      <c r="BJ212" s="256"/>
      <c r="BK212" s="256"/>
      <c r="BL212" s="256"/>
      <c r="BM212" s="248">
        <f t="shared" si="115"/>
        <v>14191</v>
      </c>
      <c r="BN212" s="257"/>
      <c r="BO212" s="255"/>
      <c r="BP212" s="256"/>
      <c r="BQ212" s="249"/>
      <c r="BR212" s="225"/>
      <c r="BS212" s="225"/>
      <c r="BT212" s="225"/>
      <c r="BU212" s="225"/>
      <c r="BV212" s="225"/>
      <c r="BW212" s="225"/>
      <c r="BX212" s="225"/>
      <c r="BY212" s="225"/>
      <c r="BZ212" s="225"/>
      <c r="CA212" s="225"/>
      <c r="CB212" s="225"/>
      <c r="CC212" s="227">
        <f t="shared" si="116"/>
        <v>14191</v>
      </c>
      <c r="CD212" s="244">
        <v>14191</v>
      </c>
      <c r="CE212" s="244">
        <f t="shared" si="105"/>
        <v>0</v>
      </c>
      <c r="CF212" s="244"/>
    </row>
    <row r="213" spans="1:84" x14ac:dyDescent="0.2">
      <c r="A213" s="245" t="s">
        <v>23</v>
      </c>
      <c r="B213" s="246" t="s">
        <v>417</v>
      </c>
      <c r="C213" s="246" t="s">
        <v>507</v>
      </c>
      <c r="D213" s="246" t="s">
        <v>534</v>
      </c>
      <c r="E213" s="247" t="s">
        <v>213</v>
      </c>
      <c r="F213" s="247" t="s">
        <v>712</v>
      </c>
      <c r="G213" s="233" t="str">
        <f t="shared" si="106"/>
        <v>0</v>
      </c>
      <c r="H213" s="233" t="str">
        <f t="shared" si="107"/>
        <v>1</v>
      </c>
      <c r="I213" s="233" t="str">
        <f t="shared" si="108"/>
        <v>0</v>
      </c>
      <c r="J213" s="233" t="str">
        <f t="shared" si="109"/>
        <v>0</v>
      </c>
      <c r="K213" s="233" t="str">
        <f t="shared" si="110"/>
        <v>0100</v>
      </c>
      <c r="L213" s="247" t="str">
        <f t="shared" si="111"/>
        <v>08805605District Design and Led 18-21</v>
      </c>
      <c r="M213" s="255"/>
      <c r="N213" s="255"/>
      <c r="O213" s="255"/>
      <c r="P213" s="255"/>
      <c r="Q213" s="225">
        <f t="shared" si="112"/>
        <v>0</v>
      </c>
      <c r="R213" s="225"/>
      <c r="S213" s="225">
        <v>14191</v>
      </c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25">
        <f t="shared" si="113"/>
        <v>14191</v>
      </c>
      <c r="AG213" s="255"/>
      <c r="AH213" s="255">
        <v>0</v>
      </c>
      <c r="AI213" s="255"/>
      <c r="AJ213" s="255"/>
      <c r="AK213" s="255"/>
      <c r="AL213" s="255"/>
      <c r="AM213" s="255"/>
      <c r="AN213" s="255">
        <v>0</v>
      </c>
      <c r="AO213" s="255">
        <v>0</v>
      </c>
      <c r="AP213" s="255"/>
      <c r="AQ213" s="255"/>
      <c r="AR213" s="255"/>
      <c r="AS213" s="255"/>
      <c r="AT213" s="256">
        <v>0</v>
      </c>
      <c r="AU213" s="256">
        <v>0</v>
      </c>
      <c r="AV213" s="256">
        <v>0</v>
      </c>
      <c r="AW213" s="227">
        <f t="shared" si="114"/>
        <v>14191</v>
      </c>
      <c r="AX213" s="257">
        <v>0</v>
      </c>
      <c r="AY213" s="255">
        <v>0</v>
      </c>
      <c r="AZ213" s="258"/>
      <c r="BA213" s="259">
        <v>0</v>
      </c>
      <c r="BB213" s="225">
        <v>0</v>
      </c>
      <c r="BC213" s="255">
        <v>0</v>
      </c>
      <c r="BD213" s="255">
        <v>0</v>
      </c>
      <c r="BE213" s="255"/>
      <c r="BF213" s="255"/>
      <c r="BG213" s="255">
        <v>0</v>
      </c>
      <c r="BH213" s="255">
        <v>0</v>
      </c>
      <c r="BI213" s="255">
        <v>0</v>
      </c>
      <c r="BJ213" s="256"/>
      <c r="BK213" s="256"/>
      <c r="BL213" s="256"/>
      <c r="BM213" s="248">
        <f t="shared" si="115"/>
        <v>14191</v>
      </c>
      <c r="BN213" s="257"/>
      <c r="BO213" s="255"/>
      <c r="BP213" s="256"/>
      <c r="BQ213" s="249"/>
      <c r="BR213" s="225"/>
      <c r="BS213" s="225"/>
      <c r="BT213" s="225"/>
      <c r="BU213" s="225"/>
      <c r="BV213" s="225"/>
      <c r="BW213" s="225"/>
      <c r="BX213" s="225"/>
      <c r="BY213" s="225"/>
      <c r="BZ213" s="225"/>
      <c r="CA213" s="225"/>
      <c r="CB213" s="225"/>
      <c r="CC213" s="227">
        <f t="shared" si="116"/>
        <v>14191</v>
      </c>
      <c r="CD213" s="244">
        <v>14191</v>
      </c>
      <c r="CE213" s="244">
        <f t="shared" si="105"/>
        <v>0</v>
      </c>
      <c r="CF213" s="244"/>
    </row>
    <row r="214" spans="1:84" x14ac:dyDescent="0.2">
      <c r="A214" s="245" t="s">
        <v>23</v>
      </c>
      <c r="B214" s="246" t="s">
        <v>59</v>
      </c>
      <c r="C214" s="246" t="s">
        <v>507</v>
      </c>
      <c r="D214" s="246" t="s">
        <v>135</v>
      </c>
      <c r="E214" s="247" t="s">
        <v>211</v>
      </c>
      <c r="F214" s="247" t="s">
        <v>712</v>
      </c>
      <c r="G214" s="233" t="str">
        <f t="shared" si="106"/>
        <v>1</v>
      </c>
      <c r="H214" s="233" t="str">
        <f t="shared" si="107"/>
        <v>0</v>
      </c>
      <c r="I214" s="233" t="str">
        <f t="shared" si="108"/>
        <v>0</v>
      </c>
      <c r="J214" s="233" t="str">
        <f t="shared" si="109"/>
        <v>0</v>
      </c>
      <c r="K214" s="233" t="str">
        <f t="shared" si="110"/>
        <v>1000</v>
      </c>
      <c r="L214" s="247" t="str">
        <f t="shared" si="111"/>
        <v>08805844District Design and Led 17-20</v>
      </c>
      <c r="M214" s="225">
        <v>8046</v>
      </c>
      <c r="N214" s="255"/>
      <c r="O214" s="255"/>
      <c r="P214" s="255"/>
      <c r="Q214" s="225">
        <f t="shared" si="112"/>
        <v>8046</v>
      </c>
      <c r="R214" s="225">
        <v>7631</v>
      </c>
      <c r="S214" s="225">
        <v>0</v>
      </c>
      <c r="T214" s="255"/>
      <c r="U214" s="255"/>
      <c r="V214" s="255"/>
      <c r="W214" s="255"/>
      <c r="X214" s="255"/>
      <c r="Y214" s="255"/>
      <c r="Z214" s="225">
        <v>-2167</v>
      </c>
      <c r="AA214" s="255"/>
      <c r="AB214" s="255"/>
      <c r="AC214" s="255"/>
      <c r="AD214" s="255"/>
      <c r="AE214" s="255"/>
      <c r="AF214" s="225">
        <f t="shared" si="113"/>
        <v>13510</v>
      </c>
      <c r="AG214" s="255"/>
      <c r="AH214" s="255">
        <v>0</v>
      </c>
      <c r="AI214" s="255"/>
      <c r="AJ214" s="255"/>
      <c r="AK214" s="255"/>
      <c r="AL214" s="255"/>
      <c r="AM214" s="255"/>
      <c r="AN214" s="255">
        <v>0</v>
      </c>
      <c r="AO214" s="255">
        <v>0</v>
      </c>
      <c r="AP214" s="255"/>
      <c r="AQ214" s="255"/>
      <c r="AR214" s="255"/>
      <c r="AS214" s="255"/>
      <c r="AT214" s="256">
        <v>0</v>
      </c>
      <c r="AU214" s="256">
        <v>0</v>
      </c>
      <c r="AV214" s="256">
        <v>0</v>
      </c>
      <c r="AW214" s="227">
        <f t="shared" si="114"/>
        <v>13510</v>
      </c>
      <c r="AX214" s="257">
        <v>0</v>
      </c>
      <c r="AY214" s="255">
        <v>0</v>
      </c>
      <c r="AZ214" s="258"/>
      <c r="BA214" s="259">
        <v>0</v>
      </c>
      <c r="BB214" s="225">
        <v>0</v>
      </c>
      <c r="BC214" s="255">
        <v>0</v>
      </c>
      <c r="BD214" s="255">
        <v>0</v>
      </c>
      <c r="BE214" s="255"/>
      <c r="BF214" s="255"/>
      <c r="BG214" s="255">
        <v>0</v>
      </c>
      <c r="BH214" s="255">
        <v>0</v>
      </c>
      <c r="BI214" s="255">
        <v>0</v>
      </c>
      <c r="BJ214" s="256"/>
      <c r="BK214" s="256"/>
      <c r="BL214" s="256"/>
      <c r="BM214" s="248">
        <f t="shared" si="115"/>
        <v>13510</v>
      </c>
      <c r="BN214" s="257"/>
      <c r="BO214" s="255"/>
      <c r="BP214" s="256"/>
      <c r="BQ214" s="249"/>
      <c r="BR214" s="225"/>
      <c r="BS214" s="225"/>
      <c r="BT214" s="225"/>
      <c r="BU214" s="147">
        <v>-13510</v>
      </c>
      <c r="BV214" s="225"/>
      <c r="BW214" s="225"/>
      <c r="BX214" s="225"/>
      <c r="BY214" s="225"/>
      <c r="BZ214" s="225"/>
      <c r="CA214" s="225"/>
      <c r="CB214" s="225"/>
      <c r="CC214" s="227">
        <f t="shared" si="116"/>
        <v>0</v>
      </c>
      <c r="CD214" s="244">
        <v>13510</v>
      </c>
      <c r="CE214" s="244">
        <f t="shared" si="105"/>
        <v>13510</v>
      </c>
      <c r="CF214" s="244"/>
    </row>
    <row r="215" spans="1:84" x14ac:dyDescent="0.2">
      <c r="A215" s="245" t="s">
        <v>23</v>
      </c>
      <c r="B215" s="246" t="s">
        <v>59</v>
      </c>
      <c r="C215" s="246" t="s">
        <v>507</v>
      </c>
      <c r="D215" s="246" t="s">
        <v>135</v>
      </c>
      <c r="E215" s="247" t="s">
        <v>213</v>
      </c>
      <c r="F215" s="247" t="s">
        <v>712</v>
      </c>
      <c r="G215" s="233" t="str">
        <f t="shared" si="106"/>
        <v>0</v>
      </c>
      <c r="H215" s="233" t="str">
        <f t="shared" si="107"/>
        <v>1</v>
      </c>
      <c r="I215" s="233" t="str">
        <f t="shared" si="108"/>
        <v>0</v>
      </c>
      <c r="J215" s="233" t="str">
        <f t="shared" si="109"/>
        <v>0</v>
      </c>
      <c r="K215" s="233" t="str">
        <f t="shared" si="110"/>
        <v>0100</v>
      </c>
      <c r="L215" s="247" t="str">
        <f t="shared" si="111"/>
        <v>08805844District Design and Led 18-21</v>
      </c>
      <c r="M215" s="255"/>
      <c r="N215" s="255"/>
      <c r="O215" s="255"/>
      <c r="P215" s="255"/>
      <c r="Q215" s="225">
        <f t="shared" si="112"/>
        <v>0</v>
      </c>
      <c r="R215" s="225"/>
      <c r="S215" s="225">
        <v>7837</v>
      </c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25">
        <f t="shared" si="113"/>
        <v>7837</v>
      </c>
      <c r="AG215" s="255"/>
      <c r="AH215" s="255">
        <v>0</v>
      </c>
      <c r="AI215" s="255"/>
      <c r="AJ215" s="255"/>
      <c r="AK215" s="255"/>
      <c r="AL215" s="255"/>
      <c r="AM215" s="255"/>
      <c r="AN215" s="255">
        <v>0</v>
      </c>
      <c r="AO215" s="255">
        <v>0</v>
      </c>
      <c r="AP215" s="255"/>
      <c r="AQ215" s="255"/>
      <c r="AR215" s="255"/>
      <c r="AS215" s="255"/>
      <c r="AT215" s="256">
        <v>0</v>
      </c>
      <c r="AU215" s="256">
        <v>0</v>
      </c>
      <c r="AV215" s="256">
        <v>0</v>
      </c>
      <c r="AW215" s="227">
        <f t="shared" si="114"/>
        <v>7837</v>
      </c>
      <c r="AX215" s="257">
        <v>0</v>
      </c>
      <c r="AY215" s="255">
        <v>81780</v>
      </c>
      <c r="AZ215" s="258"/>
      <c r="BA215" s="259">
        <v>0</v>
      </c>
      <c r="BB215" s="225">
        <v>0</v>
      </c>
      <c r="BC215" s="255">
        <v>0</v>
      </c>
      <c r="BD215" s="255">
        <v>0</v>
      </c>
      <c r="BE215" s="255"/>
      <c r="BF215" s="255"/>
      <c r="BG215" s="255">
        <v>0</v>
      </c>
      <c r="BH215" s="255">
        <v>0</v>
      </c>
      <c r="BI215" s="255">
        <v>0</v>
      </c>
      <c r="BJ215" s="256"/>
      <c r="BK215" s="256"/>
      <c r="BL215" s="256"/>
      <c r="BM215" s="248">
        <f t="shared" si="115"/>
        <v>89617</v>
      </c>
      <c r="BN215" s="257"/>
      <c r="BO215" s="255"/>
      <c r="BP215" s="256"/>
      <c r="BQ215" s="249"/>
      <c r="BR215" s="225"/>
      <c r="BS215" s="225"/>
      <c r="BT215" s="225"/>
      <c r="BU215" s="147">
        <v>-55685.1</v>
      </c>
      <c r="BV215" s="225"/>
      <c r="BW215" s="225"/>
      <c r="BX215" s="225"/>
      <c r="BY215" s="225"/>
      <c r="BZ215" s="225"/>
      <c r="CA215" s="225"/>
      <c r="CB215" s="225"/>
      <c r="CC215" s="227">
        <f t="shared" si="116"/>
        <v>33931.9</v>
      </c>
      <c r="CD215" s="244">
        <v>89617</v>
      </c>
      <c r="CE215" s="244">
        <f t="shared" si="105"/>
        <v>55685.1</v>
      </c>
      <c r="CF215" s="244"/>
    </row>
    <row r="216" spans="1:84" x14ac:dyDescent="0.2">
      <c r="A216" s="245" t="s">
        <v>23</v>
      </c>
      <c r="B216" s="246" t="s">
        <v>69</v>
      </c>
      <c r="C216" s="246" t="s">
        <v>507</v>
      </c>
      <c r="D216" s="246" t="s">
        <v>142</v>
      </c>
      <c r="E216" s="247" t="s">
        <v>211</v>
      </c>
      <c r="F216" s="247" t="s">
        <v>712</v>
      </c>
      <c r="G216" s="233" t="str">
        <f t="shared" si="106"/>
        <v>1</v>
      </c>
      <c r="H216" s="233" t="str">
        <f t="shared" si="107"/>
        <v>0</v>
      </c>
      <c r="I216" s="233" t="str">
        <f t="shared" si="108"/>
        <v>0</v>
      </c>
      <c r="J216" s="233" t="str">
        <f t="shared" si="109"/>
        <v>0</v>
      </c>
      <c r="K216" s="233" t="str">
        <f t="shared" si="110"/>
        <v>1000</v>
      </c>
      <c r="L216" s="247" t="str">
        <f t="shared" si="111"/>
        <v>08806002District Design and Led 17-20</v>
      </c>
      <c r="M216" s="225">
        <v>18112</v>
      </c>
      <c r="N216" s="255"/>
      <c r="O216" s="255"/>
      <c r="P216" s="255"/>
      <c r="Q216" s="225">
        <f t="shared" si="112"/>
        <v>18112</v>
      </c>
      <c r="R216" s="225">
        <v>14908</v>
      </c>
      <c r="S216" s="225">
        <v>0</v>
      </c>
      <c r="T216" s="255"/>
      <c r="U216" s="255"/>
      <c r="V216" s="255"/>
      <c r="W216" s="255"/>
      <c r="X216" s="255"/>
      <c r="Y216" s="255"/>
      <c r="Z216" s="225">
        <v>-5555</v>
      </c>
      <c r="AA216" s="255"/>
      <c r="AB216" s="255"/>
      <c r="AC216" s="255"/>
      <c r="AD216" s="255"/>
      <c r="AE216" s="255"/>
      <c r="AF216" s="225">
        <f t="shared" si="113"/>
        <v>27465</v>
      </c>
      <c r="AG216" s="255"/>
      <c r="AH216" s="255">
        <v>0</v>
      </c>
      <c r="AI216" s="255"/>
      <c r="AJ216" s="255"/>
      <c r="AK216" s="255"/>
      <c r="AL216" s="255"/>
      <c r="AM216" s="255"/>
      <c r="AN216" s="225">
        <v>-16558.93</v>
      </c>
      <c r="AO216" s="255">
        <v>0</v>
      </c>
      <c r="AP216" s="255"/>
      <c r="AQ216" s="255"/>
      <c r="AR216" s="255"/>
      <c r="AS216" s="255"/>
      <c r="AT216" s="256">
        <v>0</v>
      </c>
      <c r="AU216" s="256">
        <v>0</v>
      </c>
      <c r="AV216" s="256">
        <v>0</v>
      </c>
      <c r="AW216" s="227">
        <f t="shared" si="114"/>
        <v>10906.07</v>
      </c>
      <c r="AX216" s="257">
        <v>0</v>
      </c>
      <c r="AY216" s="255">
        <v>0</v>
      </c>
      <c r="AZ216" s="258"/>
      <c r="BA216" s="259">
        <v>0</v>
      </c>
      <c r="BB216" s="225">
        <v>0</v>
      </c>
      <c r="BC216" s="255">
        <v>0</v>
      </c>
      <c r="BD216" s="225">
        <v>0</v>
      </c>
      <c r="BE216" s="255"/>
      <c r="BF216" s="255"/>
      <c r="BG216" s="255">
        <v>0</v>
      </c>
      <c r="BH216" s="255">
        <v>0</v>
      </c>
      <c r="BI216" s="255">
        <v>0</v>
      </c>
      <c r="BJ216" s="256"/>
      <c r="BK216" s="256"/>
      <c r="BL216" s="256"/>
      <c r="BM216" s="248">
        <f t="shared" si="115"/>
        <v>10906.07</v>
      </c>
      <c r="BN216" s="257"/>
      <c r="BO216" s="255"/>
      <c r="BP216" s="256"/>
      <c r="BQ216" s="249"/>
      <c r="BR216" s="225"/>
      <c r="BS216" s="225"/>
      <c r="BT216" s="225"/>
      <c r="BU216" s="225"/>
      <c r="BV216" s="225"/>
      <c r="BW216" s="225"/>
      <c r="BX216" s="225"/>
      <c r="BY216" s="225"/>
      <c r="BZ216" s="225"/>
      <c r="CA216" s="225"/>
      <c r="CB216" s="225"/>
      <c r="CC216" s="227">
        <f t="shared" si="116"/>
        <v>10906.07</v>
      </c>
      <c r="CD216" s="244">
        <v>10906.07</v>
      </c>
      <c r="CE216" s="244">
        <f t="shared" si="105"/>
        <v>0</v>
      </c>
      <c r="CF216" s="244"/>
    </row>
    <row r="217" spans="1:84" x14ac:dyDescent="0.2">
      <c r="A217" s="245" t="s">
        <v>23</v>
      </c>
      <c r="B217" s="246" t="s">
        <v>418</v>
      </c>
      <c r="C217" s="246" t="s">
        <v>507</v>
      </c>
      <c r="D217" s="246" t="s">
        <v>543</v>
      </c>
      <c r="E217" s="247" t="s">
        <v>213</v>
      </c>
      <c r="F217" s="247" t="s">
        <v>712</v>
      </c>
      <c r="G217" s="233" t="str">
        <f t="shared" si="106"/>
        <v>0</v>
      </c>
      <c r="H217" s="233" t="str">
        <f t="shared" si="107"/>
        <v>1</v>
      </c>
      <c r="I217" s="233" t="str">
        <f t="shared" si="108"/>
        <v>0</v>
      </c>
      <c r="J217" s="233" t="str">
        <f t="shared" si="109"/>
        <v>0</v>
      </c>
      <c r="K217" s="233" t="str">
        <f t="shared" si="110"/>
        <v>0100</v>
      </c>
      <c r="L217" s="247" t="str">
        <f t="shared" si="111"/>
        <v>08806308District Design and Led 18-21</v>
      </c>
      <c r="M217" s="255"/>
      <c r="N217" s="255"/>
      <c r="O217" s="255"/>
      <c r="P217" s="255"/>
      <c r="Q217" s="225">
        <f t="shared" si="112"/>
        <v>0</v>
      </c>
      <c r="R217" s="225"/>
      <c r="S217" s="225">
        <v>7837</v>
      </c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25">
        <f t="shared" si="113"/>
        <v>7837</v>
      </c>
      <c r="AG217" s="255"/>
      <c r="AH217" s="255">
        <v>0</v>
      </c>
      <c r="AI217" s="255"/>
      <c r="AJ217" s="255"/>
      <c r="AK217" s="255"/>
      <c r="AL217" s="255"/>
      <c r="AM217" s="255"/>
      <c r="AN217" s="255">
        <v>0</v>
      </c>
      <c r="AO217" s="255">
        <v>0</v>
      </c>
      <c r="AP217" s="255"/>
      <c r="AQ217" s="255"/>
      <c r="AR217" s="255"/>
      <c r="AS217" s="255"/>
      <c r="AT217" s="256">
        <v>0</v>
      </c>
      <c r="AU217" s="256">
        <v>0</v>
      </c>
      <c r="AV217" s="256">
        <v>0</v>
      </c>
      <c r="AW217" s="227">
        <f t="shared" si="114"/>
        <v>7837</v>
      </c>
      <c r="AX217" s="257">
        <v>0</v>
      </c>
      <c r="AY217" s="255">
        <v>81780</v>
      </c>
      <c r="AZ217" s="258"/>
      <c r="BA217" s="259">
        <v>0</v>
      </c>
      <c r="BB217" s="225">
        <v>0</v>
      </c>
      <c r="BC217" s="255">
        <v>0</v>
      </c>
      <c r="BD217" s="255">
        <v>0</v>
      </c>
      <c r="BE217" s="255"/>
      <c r="BF217" s="255"/>
      <c r="BG217" s="255">
        <v>0</v>
      </c>
      <c r="BH217" s="255">
        <v>0</v>
      </c>
      <c r="BI217" s="255">
        <v>0</v>
      </c>
      <c r="BJ217" s="256"/>
      <c r="BK217" s="256"/>
      <c r="BL217" s="256"/>
      <c r="BM217" s="248">
        <f t="shared" si="115"/>
        <v>89617</v>
      </c>
      <c r="BN217" s="257"/>
      <c r="BO217" s="255"/>
      <c r="BP217" s="256"/>
      <c r="BQ217" s="249"/>
      <c r="BR217" s="225"/>
      <c r="BS217" s="225"/>
      <c r="BT217" s="225"/>
      <c r="BU217" s="147">
        <v>-81397.850000000006</v>
      </c>
      <c r="BV217" s="225"/>
      <c r="BW217" s="225"/>
      <c r="BX217" s="225"/>
      <c r="BY217" s="225"/>
      <c r="BZ217" s="225"/>
      <c r="CA217" s="225"/>
      <c r="CB217" s="225"/>
      <c r="CC217" s="227">
        <f t="shared" si="116"/>
        <v>8219.1499999999942</v>
      </c>
      <c r="CD217" s="244">
        <v>89617</v>
      </c>
      <c r="CE217" s="244">
        <f t="shared" si="105"/>
        <v>81397.850000000006</v>
      </c>
      <c r="CF217" s="244"/>
    </row>
    <row r="218" spans="1:84" x14ac:dyDescent="0.2">
      <c r="A218" s="245" t="s">
        <v>23</v>
      </c>
      <c r="B218" s="246" t="s">
        <v>419</v>
      </c>
      <c r="C218" s="246" t="s">
        <v>507</v>
      </c>
      <c r="D218" s="246" t="s">
        <v>536</v>
      </c>
      <c r="E218" s="247" t="s">
        <v>213</v>
      </c>
      <c r="F218" s="247" t="s">
        <v>712</v>
      </c>
      <c r="G218" s="233" t="str">
        <f t="shared" si="106"/>
        <v>0</v>
      </c>
      <c r="H218" s="233" t="str">
        <f t="shared" si="107"/>
        <v>1</v>
      </c>
      <c r="I218" s="233" t="str">
        <f t="shared" si="108"/>
        <v>0</v>
      </c>
      <c r="J218" s="233" t="str">
        <f t="shared" si="109"/>
        <v>0</v>
      </c>
      <c r="K218" s="233" t="str">
        <f t="shared" si="110"/>
        <v>0100</v>
      </c>
      <c r="L218" s="247" t="str">
        <f t="shared" si="111"/>
        <v>08806970District Design and Led 18-21</v>
      </c>
      <c r="M218" s="255"/>
      <c r="N218" s="255"/>
      <c r="O218" s="255"/>
      <c r="P218" s="255"/>
      <c r="Q218" s="225">
        <f t="shared" si="112"/>
        <v>0</v>
      </c>
      <c r="R218" s="225"/>
      <c r="S218" s="225">
        <v>42469</v>
      </c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25">
        <f t="shared" si="113"/>
        <v>42469</v>
      </c>
      <c r="AG218" s="255"/>
      <c r="AH218" s="255">
        <v>0</v>
      </c>
      <c r="AI218" s="255"/>
      <c r="AJ218" s="255"/>
      <c r="AK218" s="255"/>
      <c r="AL218" s="255"/>
      <c r="AM218" s="255"/>
      <c r="AN218" s="255">
        <v>0</v>
      </c>
      <c r="AO218" s="255">
        <v>0</v>
      </c>
      <c r="AP218" s="255"/>
      <c r="AQ218" s="255"/>
      <c r="AR218" s="255"/>
      <c r="AS218" s="255"/>
      <c r="AT218" s="256">
        <v>0</v>
      </c>
      <c r="AU218" s="256">
        <v>0</v>
      </c>
      <c r="AV218" s="256">
        <v>0</v>
      </c>
      <c r="AW218" s="227">
        <f t="shared" si="114"/>
        <v>42469</v>
      </c>
      <c r="AX218" s="257">
        <v>0</v>
      </c>
      <c r="AY218" s="255">
        <v>0</v>
      </c>
      <c r="AZ218" s="258"/>
      <c r="BA218" s="259">
        <v>0</v>
      </c>
      <c r="BB218" s="225">
        <v>0</v>
      </c>
      <c r="BC218" s="255">
        <v>0</v>
      </c>
      <c r="BD218" s="255">
        <v>0</v>
      </c>
      <c r="BE218" s="255"/>
      <c r="BF218" s="255"/>
      <c r="BG218" s="255">
        <v>0</v>
      </c>
      <c r="BH218" s="255">
        <v>0</v>
      </c>
      <c r="BI218" s="255">
        <v>0</v>
      </c>
      <c r="BJ218" s="256"/>
      <c r="BK218" s="256"/>
      <c r="BL218" s="256"/>
      <c r="BM218" s="248">
        <f t="shared" si="115"/>
        <v>42469</v>
      </c>
      <c r="BN218" s="257"/>
      <c r="BO218" s="255"/>
      <c r="BP218" s="256"/>
      <c r="BQ218" s="249"/>
      <c r="BR218" s="225"/>
      <c r="BS218" s="225"/>
      <c r="BT218" s="225"/>
      <c r="BU218" s="225"/>
      <c r="BV218" s="225"/>
      <c r="BW218" s="225"/>
      <c r="BX218" s="225"/>
      <c r="BY218" s="225"/>
      <c r="BZ218" s="225"/>
      <c r="CA218" s="225"/>
      <c r="CB218" s="225"/>
      <c r="CC218" s="227">
        <f t="shared" si="116"/>
        <v>42469</v>
      </c>
      <c r="CD218" s="244">
        <v>42469</v>
      </c>
      <c r="CE218" s="244">
        <f t="shared" si="105"/>
        <v>0</v>
      </c>
      <c r="CF218" s="244"/>
    </row>
    <row r="219" spans="1:84" x14ac:dyDescent="0.2">
      <c r="A219" s="245" t="s">
        <v>23</v>
      </c>
      <c r="B219" s="246" t="s">
        <v>420</v>
      </c>
      <c r="C219" s="246" t="s">
        <v>507</v>
      </c>
      <c r="D219" s="246" t="s">
        <v>544</v>
      </c>
      <c r="E219" s="247" t="s">
        <v>213</v>
      </c>
      <c r="F219" s="247" t="s">
        <v>712</v>
      </c>
      <c r="G219" s="233" t="str">
        <f t="shared" si="106"/>
        <v>0</v>
      </c>
      <c r="H219" s="233" t="str">
        <f t="shared" si="107"/>
        <v>1</v>
      </c>
      <c r="I219" s="233" t="str">
        <f t="shared" si="108"/>
        <v>0</v>
      </c>
      <c r="J219" s="233" t="str">
        <f t="shared" si="109"/>
        <v>0</v>
      </c>
      <c r="K219" s="233" t="str">
        <f t="shared" si="110"/>
        <v>0100</v>
      </c>
      <c r="L219" s="247" t="str">
        <f t="shared" si="111"/>
        <v>08807163District Design and Led 18-21</v>
      </c>
      <c r="M219" s="255"/>
      <c r="N219" s="255"/>
      <c r="O219" s="255"/>
      <c r="P219" s="255"/>
      <c r="Q219" s="225">
        <f t="shared" si="112"/>
        <v>0</v>
      </c>
      <c r="R219" s="225"/>
      <c r="S219" s="225">
        <v>22028</v>
      </c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25">
        <f t="shared" si="113"/>
        <v>22028</v>
      </c>
      <c r="AG219" s="255"/>
      <c r="AH219" s="255">
        <v>0</v>
      </c>
      <c r="AI219" s="255"/>
      <c r="AJ219" s="255"/>
      <c r="AK219" s="255"/>
      <c r="AL219" s="255"/>
      <c r="AM219" s="255"/>
      <c r="AN219" s="255">
        <v>0</v>
      </c>
      <c r="AO219" s="255">
        <v>0</v>
      </c>
      <c r="AP219" s="255"/>
      <c r="AQ219" s="255"/>
      <c r="AR219" s="255"/>
      <c r="AS219" s="255"/>
      <c r="AT219" s="256">
        <v>0</v>
      </c>
      <c r="AU219" s="256">
        <v>0</v>
      </c>
      <c r="AV219" s="256">
        <v>0</v>
      </c>
      <c r="AW219" s="227">
        <f t="shared" si="114"/>
        <v>22028</v>
      </c>
      <c r="AX219" s="257">
        <v>0</v>
      </c>
      <c r="AY219" s="255">
        <v>0</v>
      </c>
      <c r="AZ219" s="258"/>
      <c r="BA219" s="259">
        <v>0</v>
      </c>
      <c r="BB219" s="225">
        <v>0</v>
      </c>
      <c r="BC219" s="255">
        <v>0</v>
      </c>
      <c r="BD219" s="255">
        <v>0</v>
      </c>
      <c r="BE219" s="255"/>
      <c r="BF219" s="255"/>
      <c r="BG219" s="255">
        <v>0</v>
      </c>
      <c r="BH219" s="255">
        <v>0</v>
      </c>
      <c r="BI219" s="255">
        <v>0</v>
      </c>
      <c r="BJ219" s="256"/>
      <c r="BK219" s="256"/>
      <c r="BL219" s="256"/>
      <c r="BM219" s="248">
        <f t="shared" si="115"/>
        <v>22028</v>
      </c>
      <c r="BN219" s="257"/>
      <c r="BO219" s="255"/>
      <c r="BP219" s="256"/>
      <c r="BQ219" s="249"/>
      <c r="BR219" s="225"/>
      <c r="BS219" s="225"/>
      <c r="BT219" s="225"/>
      <c r="BU219" s="225"/>
      <c r="BV219" s="225"/>
      <c r="BW219" s="225"/>
      <c r="BX219" s="225"/>
      <c r="BY219" s="225"/>
      <c r="BZ219" s="225"/>
      <c r="CA219" s="225"/>
      <c r="CB219" s="225"/>
      <c r="CC219" s="227">
        <f t="shared" si="116"/>
        <v>22028</v>
      </c>
      <c r="CD219" s="244">
        <v>22028</v>
      </c>
      <c r="CE219" s="244">
        <f t="shared" si="105"/>
        <v>0</v>
      </c>
      <c r="CF219" s="244"/>
    </row>
    <row r="220" spans="1:84" x14ac:dyDescent="0.2">
      <c r="A220" s="245" t="s">
        <v>23</v>
      </c>
      <c r="B220" s="246" t="s">
        <v>68</v>
      </c>
      <c r="C220" s="246" t="s">
        <v>507</v>
      </c>
      <c r="D220" s="246" t="s">
        <v>141</v>
      </c>
      <c r="E220" s="247" t="s">
        <v>211</v>
      </c>
      <c r="F220" s="247" t="s">
        <v>712</v>
      </c>
      <c r="G220" s="233" t="str">
        <f t="shared" si="106"/>
        <v>1</v>
      </c>
      <c r="H220" s="233" t="str">
        <f t="shared" si="107"/>
        <v>0</v>
      </c>
      <c r="I220" s="233" t="str">
        <f t="shared" si="108"/>
        <v>0</v>
      </c>
      <c r="J220" s="233" t="str">
        <f t="shared" si="109"/>
        <v>0</v>
      </c>
      <c r="K220" s="233" t="str">
        <f t="shared" si="110"/>
        <v>1000</v>
      </c>
      <c r="L220" s="247" t="str">
        <f t="shared" si="111"/>
        <v>08807188District Design and Led 17-20</v>
      </c>
      <c r="M220" s="225">
        <v>18112</v>
      </c>
      <c r="N220" s="255"/>
      <c r="O220" s="255"/>
      <c r="P220" s="255"/>
      <c r="Q220" s="225">
        <f t="shared" si="112"/>
        <v>18112</v>
      </c>
      <c r="R220" s="225">
        <v>14908</v>
      </c>
      <c r="S220" s="225">
        <v>0</v>
      </c>
      <c r="T220" s="255"/>
      <c r="U220" s="255"/>
      <c r="V220" s="255"/>
      <c r="W220" s="255"/>
      <c r="X220" s="255"/>
      <c r="Y220" s="255"/>
      <c r="Z220" s="225">
        <v>-5555</v>
      </c>
      <c r="AA220" s="255"/>
      <c r="AB220" s="255"/>
      <c r="AC220" s="255"/>
      <c r="AD220" s="255"/>
      <c r="AE220" s="255"/>
      <c r="AF220" s="225">
        <f t="shared" si="113"/>
        <v>27465</v>
      </c>
      <c r="AG220" s="255"/>
      <c r="AH220" s="255">
        <v>0</v>
      </c>
      <c r="AI220" s="255"/>
      <c r="AJ220" s="255"/>
      <c r="AK220" s="255"/>
      <c r="AL220" s="255"/>
      <c r="AM220" s="255"/>
      <c r="AN220" s="225">
        <v>-10581.04</v>
      </c>
      <c r="AO220" s="255">
        <v>0</v>
      </c>
      <c r="AP220" s="255"/>
      <c r="AQ220" s="255"/>
      <c r="AR220" s="255"/>
      <c r="AS220" s="255"/>
      <c r="AT220" s="256">
        <v>0</v>
      </c>
      <c r="AU220" s="256">
        <v>0</v>
      </c>
      <c r="AV220" s="256">
        <v>0</v>
      </c>
      <c r="AW220" s="227">
        <f t="shared" si="114"/>
        <v>16883.96</v>
      </c>
      <c r="AX220" s="257">
        <v>0</v>
      </c>
      <c r="AY220" s="255">
        <v>0</v>
      </c>
      <c r="AZ220" s="258"/>
      <c r="BA220" s="259">
        <v>0</v>
      </c>
      <c r="BB220" s="225">
        <v>0</v>
      </c>
      <c r="BC220" s="255">
        <v>0</v>
      </c>
      <c r="BD220" s="244">
        <v>0</v>
      </c>
      <c r="BE220" s="255"/>
      <c r="BF220" s="255"/>
      <c r="BG220" s="255">
        <v>0</v>
      </c>
      <c r="BH220" s="255">
        <v>0</v>
      </c>
      <c r="BI220" s="255">
        <v>0</v>
      </c>
      <c r="BJ220" s="256"/>
      <c r="BK220" s="256"/>
      <c r="BL220" s="256"/>
      <c r="BM220" s="248">
        <f t="shared" si="115"/>
        <v>16883.96</v>
      </c>
      <c r="BN220" s="257"/>
      <c r="BO220" s="255"/>
      <c r="BP220" s="256"/>
      <c r="BQ220" s="249"/>
      <c r="BR220" s="225"/>
      <c r="BS220" s="225"/>
      <c r="BT220" s="225"/>
      <c r="BU220" s="225"/>
      <c r="BV220" s="225" t="s">
        <v>701</v>
      </c>
      <c r="BW220" s="225"/>
      <c r="BX220" s="225"/>
      <c r="BY220" s="225"/>
      <c r="BZ220" s="225"/>
      <c r="CA220" s="225"/>
      <c r="CB220" s="225"/>
      <c r="CC220" s="227">
        <f t="shared" si="116"/>
        <v>16883.96</v>
      </c>
      <c r="CD220" s="244">
        <v>16883.96</v>
      </c>
      <c r="CE220" s="244">
        <f t="shared" si="105"/>
        <v>0</v>
      </c>
      <c r="CF220" s="244"/>
    </row>
    <row r="221" spans="1:84" x14ac:dyDescent="0.2">
      <c r="A221" s="245" t="s">
        <v>23</v>
      </c>
      <c r="B221" s="246" t="s">
        <v>68</v>
      </c>
      <c r="C221" s="246" t="s">
        <v>507</v>
      </c>
      <c r="D221" s="246" t="s">
        <v>542</v>
      </c>
      <c r="E221" s="247" t="s">
        <v>213</v>
      </c>
      <c r="F221" s="247" t="s">
        <v>712</v>
      </c>
      <c r="G221" s="233" t="str">
        <f t="shared" si="106"/>
        <v>0</v>
      </c>
      <c r="H221" s="233" t="str">
        <f t="shared" si="107"/>
        <v>1</v>
      </c>
      <c r="I221" s="233" t="str">
        <f t="shared" si="108"/>
        <v>0</v>
      </c>
      <c r="J221" s="233" t="str">
        <f t="shared" si="109"/>
        <v>0</v>
      </c>
      <c r="K221" s="233" t="str">
        <f t="shared" si="110"/>
        <v>0100</v>
      </c>
      <c r="L221" s="247" t="str">
        <f t="shared" si="111"/>
        <v>08807188District Design and Led 18-21</v>
      </c>
      <c r="M221" s="255"/>
      <c r="N221" s="255"/>
      <c r="O221" s="255"/>
      <c r="P221" s="255"/>
      <c r="Q221" s="225">
        <f t="shared" si="112"/>
        <v>0</v>
      </c>
      <c r="R221" s="225"/>
      <c r="S221" s="225">
        <v>28278</v>
      </c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25">
        <f t="shared" si="113"/>
        <v>28278</v>
      </c>
      <c r="AG221" s="255"/>
      <c r="AH221" s="255">
        <v>0</v>
      </c>
      <c r="AI221" s="255"/>
      <c r="AJ221" s="255"/>
      <c r="AK221" s="255"/>
      <c r="AL221" s="255"/>
      <c r="AM221" s="255"/>
      <c r="AN221" s="255">
        <v>0</v>
      </c>
      <c r="AO221" s="255">
        <v>0</v>
      </c>
      <c r="AP221" s="255"/>
      <c r="AQ221" s="255"/>
      <c r="AR221" s="255"/>
      <c r="AS221" s="255"/>
      <c r="AT221" s="256">
        <v>0</v>
      </c>
      <c r="AU221" s="256">
        <v>0</v>
      </c>
      <c r="AV221" s="256">
        <v>0</v>
      </c>
      <c r="AW221" s="227">
        <f t="shared" si="114"/>
        <v>28278</v>
      </c>
      <c r="AX221" s="257">
        <v>0</v>
      </c>
      <c r="AY221" s="255">
        <v>0</v>
      </c>
      <c r="AZ221" s="258"/>
      <c r="BA221" s="259">
        <v>0</v>
      </c>
      <c r="BB221" s="225">
        <v>0</v>
      </c>
      <c r="BC221" s="255">
        <v>0</v>
      </c>
      <c r="BD221" s="255">
        <v>0</v>
      </c>
      <c r="BE221" s="255"/>
      <c r="BF221" s="255"/>
      <c r="BG221" s="255">
        <v>0</v>
      </c>
      <c r="BH221" s="255">
        <v>0</v>
      </c>
      <c r="BI221" s="255">
        <v>0</v>
      </c>
      <c r="BJ221" s="256"/>
      <c r="BK221" s="256"/>
      <c r="BL221" s="256"/>
      <c r="BM221" s="248">
        <f t="shared" si="115"/>
        <v>28278</v>
      </c>
      <c r="BN221" s="257"/>
      <c r="BO221" s="255"/>
      <c r="BP221" s="256"/>
      <c r="BQ221" s="249"/>
      <c r="BR221" s="225"/>
      <c r="BS221" s="225"/>
      <c r="BT221" s="225"/>
      <c r="BU221" s="225"/>
      <c r="BV221" s="225"/>
      <c r="BW221" s="225"/>
      <c r="BX221" s="225"/>
      <c r="BY221" s="225"/>
      <c r="BZ221" s="225"/>
      <c r="CA221" s="225"/>
      <c r="CB221" s="225"/>
      <c r="CC221" s="227">
        <f t="shared" si="116"/>
        <v>28278</v>
      </c>
      <c r="CD221" s="244">
        <v>28278</v>
      </c>
      <c r="CE221" s="244">
        <f t="shared" si="105"/>
        <v>0</v>
      </c>
      <c r="CF221" s="244"/>
    </row>
    <row r="222" spans="1:84" x14ac:dyDescent="0.2">
      <c r="A222" s="245" t="s">
        <v>23</v>
      </c>
      <c r="B222" s="246" t="s">
        <v>421</v>
      </c>
      <c r="C222" s="246" t="s">
        <v>507</v>
      </c>
      <c r="D222" s="246" t="s">
        <v>546</v>
      </c>
      <c r="E222" s="247" t="s">
        <v>213</v>
      </c>
      <c r="F222" s="247" t="s">
        <v>712</v>
      </c>
      <c r="G222" s="233" t="str">
        <f t="shared" si="106"/>
        <v>0</v>
      </c>
      <c r="H222" s="233" t="str">
        <f t="shared" si="107"/>
        <v>1</v>
      </c>
      <c r="I222" s="233" t="str">
        <f t="shared" si="108"/>
        <v>0</v>
      </c>
      <c r="J222" s="233" t="str">
        <f t="shared" si="109"/>
        <v>0</v>
      </c>
      <c r="K222" s="233" t="str">
        <f t="shared" si="110"/>
        <v>0100</v>
      </c>
      <c r="L222" s="247" t="str">
        <f t="shared" si="111"/>
        <v>08807361District Design and Led 18-21</v>
      </c>
      <c r="M222" s="255"/>
      <c r="N222" s="255"/>
      <c r="O222" s="255"/>
      <c r="P222" s="255"/>
      <c r="Q222" s="225">
        <f t="shared" si="112"/>
        <v>0</v>
      </c>
      <c r="R222" s="225"/>
      <c r="S222" s="225">
        <v>7837</v>
      </c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25">
        <f t="shared" si="113"/>
        <v>7837</v>
      </c>
      <c r="AG222" s="255"/>
      <c r="AH222" s="255">
        <v>0</v>
      </c>
      <c r="AI222" s="255"/>
      <c r="AJ222" s="255"/>
      <c r="AK222" s="255"/>
      <c r="AL222" s="255"/>
      <c r="AM222" s="255"/>
      <c r="AN222" s="255">
        <v>0</v>
      </c>
      <c r="AO222" s="255">
        <v>0</v>
      </c>
      <c r="AP222" s="255"/>
      <c r="AQ222" s="255"/>
      <c r="AR222" s="255"/>
      <c r="AS222" s="255"/>
      <c r="AT222" s="256">
        <v>0</v>
      </c>
      <c r="AU222" s="256">
        <v>0</v>
      </c>
      <c r="AV222" s="256">
        <v>0</v>
      </c>
      <c r="AW222" s="227">
        <f t="shared" si="114"/>
        <v>7837</v>
      </c>
      <c r="AX222" s="257">
        <v>0</v>
      </c>
      <c r="AY222" s="255">
        <v>0</v>
      </c>
      <c r="AZ222" s="258"/>
      <c r="BA222" s="259">
        <v>0</v>
      </c>
      <c r="BB222" s="225">
        <v>0</v>
      </c>
      <c r="BC222" s="255">
        <v>0</v>
      </c>
      <c r="BD222" s="255">
        <v>0</v>
      </c>
      <c r="BE222" s="255"/>
      <c r="BF222" s="255"/>
      <c r="BG222" s="255">
        <v>0</v>
      </c>
      <c r="BH222" s="255">
        <v>0</v>
      </c>
      <c r="BI222" s="255">
        <v>0</v>
      </c>
      <c r="BJ222" s="256"/>
      <c r="BK222" s="256"/>
      <c r="BL222" s="256"/>
      <c r="BM222" s="248">
        <f t="shared" si="115"/>
        <v>7837</v>
      </c>
      <c r="BN222" s="257"/>
      <c r="BO222" s="255"/>
      <c r="BP222" s="256"/>
      <c r="BQ222" s="249"/>
      <c r="BR222" s="225"/>
      <c r="BS222" s="225"/>
      <c r="BT222" s="225"/>
      <c r="BU222" s="225"/>
      <c r="BV222" s="225"/>
      <c r="BW222" s="225"/>
      <c r="BX222" s="225"/>
      <c r="BY222" s="225"/>
      <c r="BZ222" s="225"/>
      <c r="CA222" s="225"/>
      <c r="CB222" s="225"/>
      <c r="CC222" s="227">
        <f t="shared" si="116"/>
        <v>7837</v>
      </c>
      <c r="CD222" s="244">
        <v>7837</v>
      </c>
      <c r="CE222" s="244">
        <f t="shared" si="105"/>
        <v>0</v>
      </c>
      <c r="CF222" s="244"/>
    </row>
    <row r="223" spans="1:84" x14ac:dyDescent="0.2">
      <c r="A223" s="245" t="s">
        <v>23</v>
      </c>
      <c r="B223" s="246" t="s">
        <v>422</v>
      </c>
      <c r="C223" s="246" t="s">
        <v>507</v>
      </c>
      <c r="D223" s="246" t="s">
        <v>511</v>
      </c>
      <c r="E223" s="247" t="s">
        <v>213</v>
      </c>
      <c r="F223" s="247" t="s">
        <v>712</v>
      </c>
      <c r="G223" s="233" t="str">
        <f t="shared" si="106"/>
        <v>0</v>
      </c>
      <c r="H223" s="233" t="str">
        <f t="shared" si="107"/>
        <v>1</v>
      </c>
      <c r="I223" s="233" t="str">
        <f t="shared" si="108"/>
        <v>0</v>
      </c>
      <c r="J223" s="233" t="str">
        <f t="shared" si="109"/>
        <v>0</v>
      </c>
      <c r="K223" s="233" t="str">
        <f t="shared" si="110"/>
        <v>0100</v>
      </c>
      <c r="L223" s="247" t="str">
        <f t="shared" si="111"/>
        <v>08807694District Design and Led 18-21</v>
      </c>
      <c r="M223" s="255"/>
      <c r="N223" s="255"/>
      <c r="O223" s="255"/>
      <c r="P223" s="255"/>
      <c r="Q223" s="225">
        <f t="shared" si="112"/>
        <v>0</v>
      </c>
      <c r="R223" s="225"/>
      <c r="S223" s="225">
        <v>14191</v>
      </c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25">
        <f t="shared" si="113"/>
        <v>14191</v>
      </c>
      <c r="AG223" s="255"/>
      <c r="AH223" s="255">
        <v>0</v>
      </c>
      <c r="AI223" s="255"/>
      <c r="AJ223" s="255"/>
      <c r="AK223" s="255"/>
      <c r="AL223" s="255"/>
      <c r="AM223" s="255"/>
      <c r="AN223" s="255">
        <v>0</v>
      </c>
      <c r="AO223" s="255">
        <v>0</v>
      </c>
      <c r="AP223" s="255"/>
      <c r="AQ223" s="255"/>
      <c r="AR223" s="255"/>
      <c r="AS223" s="255"/>
      <c r="AT223" s="256">
        <v>0</v>
      </c>
      <c r="AU223" s="256">
        <v>0</v>
      </c>
      <c r="AV223" s="256">
        <v>0</v>
      </c>
      <c r="AW223" s="227">
        <f t="shared" si="114"/>
        <v>14191</v>
      </c>
      <c r="AX223" s="257">
        <v>0</v>
      </c>
      <c r="AY223" s="255">
        <v>0</v>
      </c>
      <c r="AZ223" s="258"/>
      <c r="BA223" s="259">
        <v>0</v>
      </c>
      <c r="BB223" s="225">
        <v>0</v>
      </c>
      <c r="BC223" s="255">
        <v>0</v>
      </c>
      <c r="BD223" s="255">
        <v>0</v>
      </c>
      <c r="BE223" s="255"/>
      <c r="BF223" s="255"/>
      <c r="BG223" s="255">
        <v>0</v>
      </c>
      <c r="BH223" s="255">
        <v>0</v>
      </c>
      <c r="BI223" s="255">
        <v>0</v>
      </c>
      <c r="BJ223" s="256"/>
      <c r="BK223" s="256"/>
      <c r="BL223" s="256"/>
      <c r="BM223" s="248">
        <f t="shared" si="115"/>
        <v>14191</v>
      </c>
      <c r="BN223" s="257"/>
      <c r="BO223" s="255"/>
      <c r="BP223" s="256"/>
      <c r="BQ223" s="249"/>
      <c r="BR223" s="225"/>
      <c r="BS223" s="225"/>
      <c r="BT223" s="225"/>
      <c r="BU223" s="225"/>
      <c r="BV223" s="225"/>
      <c r="BW223" s="225"/>
      <c r="BX223" s="225"/>
      <c r="BY223" s="225"/>
      <c r="BZ223" s="225"/>
      <c r="CA223" s="225"/>
      <c r="CB223" s="225"/>
      <c r="CC223" s="227">
        <f t="shared" si="116"/>
        <v>14191</v>
      </c>
      <c r="CD223" s="244">
        <v>14191</v>
      </c>
      <c r="CE223" s="244">
        <f t="shared" si="105"/>
        <v>0</v>
      </c>
      <c r="CF223" s="244"/>
    </row>
    <row r="224" spans="1:84" x14ac:dyDescent="0.2">
      <c r="A224" s="245" t="s">
        <v>23</v>
      </c>
      <c r="B224" s="246" t="s">
        <v>70</v>
      </c>
      <c r="C224" s="246" t="s">
        <v>507</v>
      </c>
      <c r="D224" s="246" t="s">
        <v>143</v>
      </c>
      <c r="E224" s="247" t="s">
        <v>211</v>
      </c>
      <c r="F224" s="247" t="s">
        <v>712</v>
      </c>
      <c r="G224" s="233" t="str">
        <f t="shared" si="106"/>
        <v>1</v>
      </c>
      <c r="H224" s="233" t="str">
        <f t="shared" si="107"/>
        <v>0</v>
      </c>
      <c r="I224" s="233" t="str">
        <f t="shared" si="108"/>
        <v>0</v>
      </c>
      <c r="J224" s="233" t="str">
        <f t="shared" si="109"/>
        <v>0</v>
      </c>
      <c r="K224" s="233" t="str">
        <f t="shared" si="110"/>
        <v>1000</v>
      </c>
      <c r="L224" s="247" t="str">
        <f t="shared" si="111"/>
        <v>08807698District Design and Led 17-20</v>
      </c>
      <c r="M224" s="225">
        <v>18112</v>
      </c>
      <c r="N224" s="255"/>
      <c r="O224" s="255"/>
      <c r="P224" s="255"/>
      <c r="Q224" s="225">
        <f t="shared" si="112"/>
        <v>18112</v>
      </c>
      <c r="R224" s="225">
        <v>14908</v>
      </c>
      <c r="S224" s="225">
        <v>0</v>
      </c>
      <c r="T224" s="255"/>
      <c r="U224" s="255"/>
      <c r="V224" s="255"/>
      <c r="W224" s="255"/>
      <c r="X224" s="255"/>
      <c r="Y224" s="255"/>
      <c r="Z224" s="225">
        <v>-5555</v>
      </c>
      <c r="AA224" s="255"/>
      <c r="AB224" s="255"/>
      <c r="AC224" s="255"/>
      <c r="AD224" s="255"/>
      <c r="AE224" s="255"/>
      <c r="AF224" s="225">
        <f t="shared" si="113"/>
        <v>27465</v>
      </c>
      <c r="AG224" s="255"/>
      <c r="AH224" s="255">
        <v>0</v>
      </c>
      <c r="AI224" s="255"/>
      <c r="AJ224" s="255"/>
      <c r="AK224" s="255"/>
      <c r="AL224" s="255"/>
      <c r="AM224" s="255"/>
      <c r="AN224" s="225">
        <v>-13578.01</v>
      </c>
      <c r="AO224" s="255">
        <v>0</v>
      </c>
      <c r="AP224" s="255"/>
      <c r="AQ224" s="255"/>
      <c r="AR224" s="255"/>
      <c r="AS224" s="255"/>
      <c r="AT224" s="256">
        <v>0</v>
      </c>
      <c r="AU224" s="256">
        <v>0</v>
      </c>
      <c r="AV224" s="256">
        <v>0</v>
      </c>
      <c r="AW224" s="227">
        <f t="shared" si="114"/>
        <v>13886.99</v>
      </c>
      <c r="AX224" s="257">
        <v>0</v>
      </c>
      <c r="AY224" s="255">
        <v>0</v>
      </c>
      <c r="AZ224" s="258"/>
      <c r="BA224" s="259">
        <v>0</v>
      </c>
      <c r="BB224" s="225">
        <v>0</v>
      </c>
      <c r="BC224" s="255">
        <v>0</v>
      </c>
      <c r="BD224" s="225">
        <v>0</v>
      </c>
      <c r="BE224" s="255"/>
      <c r="BF224" s="255"/>
      <c r="BG224" s="255">
        <v>0</v>
      </c>
      <c r="BH224" s="255">
        <v>0</v>
      </c>
      <c r="BI224" s="255">
        <v>0</v>
      </c>
      <c r="BJ224" s="256"/>
      <c r="BK224" s="256"/>
      <c r="BL224" s="256"/>
      <c r="BM224" s="248">
        <f t="shared" si="115"/>
        <v>13886.99</v>
      </c>
      <c r="BN224" s="257"/>
      <c r="BO224" s="255"/>
      <c r="BP224" s="256"/>
      <c r="BQ224" s="249"/>
      <c r="BR224" s="225"/>
      <c r="BS224" s="225"/>
      <c r="BT224" s="225"/>
      <c r="BU224" s="225"/>
      <c r="BV224" s="225"/>
      <c r="BW224" s="225"/>
      <c r="BX224" s="225"/>
      <c r="BY224" s="225"/>
      <c r="BZ224" s="225"/>
      <c r="CA224" s="225"/>
      <c r="CB224" s="225"/>
      <c r="CC224" s="227">
        <f t="shared" si="116"/>
        <v>13886.99</v>
      </c>
      <c r="CD224" s="244">
        <v>13886.99</v>
      </c>
      <c r="CE224" s="244">
        <f t="shared" si="105"/>
        <v>0</v>
      </c>
      <c r="CF224" s="244"/>
    </row>
    <row r="225" spans="1:84" x14ac:dyDescent="0.2">
      <c r="A225" s="245" t="s">
        <v>23</v>
      </c>
      <c r="B225" s="246" t="s">
        <v>71</v>
      </c>
      <c r="C225" s="246" t="s">
        <v>507</v>
      </c>
      <c r="D225" s="246" t="s">
        <v>547</v>
      </c>
      <c r="E225" s="247" t="s">
        <v>213</v>
      </c>
      <c r="F225" s="247" t="s">
        <v>712</v>
      </c>
      <c r="G225" s="233" t="str">
        <f t="shared" si="106"/>
        <v>0</v>
      </c>
      <c r="H225" s="233" t="str">
        <f t="shared" si="107"/>
        <v>1</v>
      </c>
      <c r="I225" s="233" t="str">
        <f t="shared" si="108"/>
        <v>0</v>
      </c>
      <c r="J225" s="233" t="str">
        <f t="shared" si="109"/>
        <v>0</v>
      </c>
      <c r="K225" s="233" t="str">
        <f t="shared" si="110"/>
        <v>0100</v>
      </c>
      <c r="L225" s="247" t="str">
        <f t="shared" si="111"/>
        <v>08808006District Design and Led 18-21</v>
      </c>
      <c r="M225" s="255"/>
      <c r="N225" s="255"/>
      <c r="O225" s="255"/>
      <c r="P225" s="255"/>
      <c r="Q225" s="225">
        <f t="shared" si="112"/>
        <v>0</v>
      </c>
      <c r="R225" s="225"/>
      <c r="S225" s="225">
        <v>7837</v>
      </c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25">
        <f t="shared" si="113"/>
        <v>7837</v>
      </c>
      <c r="AG225" s="255"/>
      <c r="AH225" s="255">
        <v>0</v>
      </c>
      <c r="AI225" s="255"/>
      <c r="AJ225" s="255"/>
      <c r="AK225" s="255"/>
      <c r="AL225" s="255"/>
      <c r="AM225" s="255"/>
      <c r="AN225" s="255">
        <v>0</v>
      </c>
      <c r="AO225" s="255">
        <v>0</v>
      </c>
      <c r="AP225" s="255"/>
      <c r="AQ225" s="255"/>
      <c r="AR225" s="255"/>
      <c r="AS225" s="255"/>
      <c r="AT225" s="256">
        <v>0</v>
      </c>
      <c r="AU225" s="256">
        <v>0</v>
      </c>
      <c r="AV225" s="256">
        <v>0</v>
      </c>
      <c r="AW225" s="227">
        <f t="shared" si="114"/>
        <v>7837</v>
      </c>
      <c r="AX225" s="257">
        <v>0</v>
      </c>
      <c r="AY225" s="255">
        <v>0</v>
      </c>
      <c r="AZ225" s="258"/>
      <c r="BA225" s="259">
        <v>0</v>
      </c>
      <c r="BB225" s="225">
        <v>0</v>
      </c>
      <c r="BC225" s="255">
        <v>0</v>
      </c>
      <c r="BD225" s="255">
        <v>0</v>
      </c>
      <c r="BE225" s="255"/>
      <c r="BF225" s="255"/>
      <c r="BG225" s="255">
        <v>0</v>
      </c>
      <c r="BH225" s="255">
        <v>0</v>
      </c>
      <c r="BI225" s="255">
        <v>0</v>
      </c>
      <c r="BJ225" s="256"/>
      <c r="BK225" s="256"/>
      <c r="BL225" s="256"/>
      <c r="BM225" s="248">
        <f t="shared" si="115"/>
        <v>7837</v>
      </c>
      <c r="BN225" s="257"/>
      <c r="BO225" s="255"/>
      <c r="BP225" s="256"/>
      <c r="BQ225" s="249"/>
      <c r="BR225" s="225"/>
      <c r="BS225" s="225"/>
      <c r="BT225" s="225"/>
      <c r="BU225" s="225"/>
      <c r="BV225" s="225"/>
      <c r="BW225" s="225"/>
      <c r="BX225" s="225"/>
      <c r="BY225" s="225"/>
      <c r="BZ225" s="225"/>
      <c r="CA225" s="225"/>
      <c r="CB225" s="225"/>
      <c r="CC225" s="227">
        <f t="shared" si="116"/>
        <v>7837</v>
      </c>
      <c r="CD225" s="244">
        <v>7837</v>
      </c>
      <c r="CE225" s="244">
        <f t="shared" si="105"/>
        <v>0</v>
      </c>
      <c r="CF225" s="244"/>
    </row>
    <row r="226" spans="1:84" x14ac:dyDescent="0.2">
      <c r="A226" s="245" t="s">
        <v>23</v>
      </c>
      <c r="B226" s="246" t="s">
        <v>398</v>
      </c>
      <c r="C226" s="246" t="s">
        <v>507</v>
      </c>
      <c r="D226" s="246" t="s">
        <v>521</v>
      </c>
      <c r="E226" s="247" t="s">
        <v>214</v>
      </c>
      <c r="F226" s="247"/>
      <c r="G226" s="233"/>
      <c r="H226" s="233"/>
      <c r="I226" s="233"/>
      <c r="J226" s="233"/>
      <c r="K226" s="233"/>
      <c r="L226" s="247"/>
      <c r="M226" s="255"/>
      <c r="N226" s="255"/>
      <c r="O226" s="255"/>
      <c r="P226" s="255"/>
      <c r="Q226" s="225"/>
      <c r="R226" s="225"/>
      <c r="S226" s="22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25"/>
      <c r="AG226" s="255"/>
      <c r="AH226" s="255"/>
      <c r="AI226" s="255"/>
      <c r="AJ226" s="255"/>
      <c r="AK226" s="255"/>
      <c r="AL226" s="255"/>
      <c r="AM226" s="255"/>
      <c r="AN226" s="255"/>
      <c r="AO226" s="255"/>
      <c r="AP226" s="255"/>
      <c r="AQ226" s="255"/>
      <c r="AR226" s="255"/>
      <c r="AS226" s="255"/>
      <c r="AT226" s="256"/>
      <c r="AU226" s="256"/>
      <c r="AV226" s="256"/>
      <c r="AW226" s="227">
        <f t="shared" si="114"/>
        <v>0</v>
      </c>
      <c r="AX226" s="257"/>
      <c r="AY226" s="255">
        <v>81780</v>
      </c>
      <c r="AZ226" s="258"/>
      <c r="BA226" s="259"/>
      <c r="BB226" s="225"/>
      <c r="BC226" s="255"/>
      <c r="BD226" s="255"/>
      <c r="BE226" s="255"/>
      <c r="BF226" s="255"/>
      <c r="BG226" s="255"/>
      <c r="BH226" s="255"/>
      <c r="BI226" s="255"/>
      <c r="BJ226" s="256"/>
      <c r="BK226" s="256"/>
      <c r="BL226" s="256"/>
      <c r="BM226" s="248">
        <f t="shared" si="115"/>
        <v>81780</v>
      </c>
      <c r="BN226" s="257"/>
      <c r="BO226" s="255"/>
      <c r="BP226" s="256"/>
      <c r="BQ226" s="249"/>
      <c r="BR226" s="225"/>
      <c r="BS226" s="225"/>
      <c r="BT226" s="225"/>
      <c r="BU226" s="147">
        <f>-233.1-35194.11</f>
        <v>-35427.21</v>
      </c>
      <c r="BV226" s="225"/>
      <c r="BW226" s="225"/>
      <c r="BX226" s="225"/>
      <c r="BY226" s="225"/>
      <c r="BZ226" s="225"/>
      <c r="CA226" s="225"/>
      <c r="CB226" s="225"/>
      <c r="CC226" s="227">
        <f t="shared" si="116"/>
        <v>46352.79</v>
      </c>
      <c r="CD226" s="244">
        <v>81780</v>
      </c>
      <c r="CE226" s="244">
        <f t="shared" si="105"/>
        <v>35427.21</v>
      </c>
      <c r="CF226" s="244"/>
    </row>
    <row r="227" spans="1:84" x14ac:dyDescent="0.2">
      <c r="A227" s="245" t="s">
        <v>23</v>
      </c>
      <c r="B227" s="246" t="s">
        <v>423</v>
      </c>
      <c r="C227" s="246" t="s">
        <v>507</v>
      </c>
      <c r="D227" s="246" t="s">
        <v>548</v>
      </c>
      <c r="E227" s="247" t="s">
        <v>213</v>
      </c>
      <c r="F227" s="247" t="s">
        <v>712</v>
      </c>
      <c r="G227" s="233" t="str">
        <f>IF(M227&gt;0, "1", "0")</f>
        <v>0</v>
      </c>
      <c r="H227" s="233" t="str">
        <f>IF(S227&gt;0, "1", "0")</f>
        <v>1</v>
      </c>
      <c r="I227" s="233" t="str">
        <f>IF(AI227&gt;0, "1", "0")</f>
        <v>0</v>
      </c>
      <c r="J227" s="233" t="str">
        <f>IF(AZ227&gt;0, "1", "0")</f>
        <v>0</v>
      </c>
      <c r="K227" s="233" t="str">
        <f>CONCATENATE(G227,H227,I227,J227)</f>
        <v>0100</v>
      </c>
      <c r="L227" s="247" t="str">
        <f>A227&amp;B227&amp;E227</f>
        <v>08808422District Design and Led 18-21</v>
      </c>
      <c r="M227" s="255"/>
      <c r="N227" s="255"/>
      <c r="O227" s="255"/>
      <c r="P227" s="255"/>
      <c r="Q227" s="225">
        <f>SUM(M227:P227)</f>
        <v>0</v>
      </c>
      <c r="R227" s="225"/>
      <c r="S227" s="225">
        <v>7837</v>
      </c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25">
        <f>SUM(Q227:AE227)</f>
        <v>7837</v>
      </c>
      <c r="AG227" s="255"/>
      <c r="AH227" s="255">
        <v>0</v>
      </c>
      <c r="AI227" s="255"/>
      <c r="AJ227" s="255"/>
      <c r="AK227" s="255"/>
      <c r="AL227" s="255"/>
      <c r="AM227" s="255"/>
      <c r="AN227" s="255">
        <v>0</v>
      </c>
      <c r="AO227" s="255">
        <v>0</v>
      </c>
      <c r="AP227" s="255"/>
      <c r="AQ227" s="255"/>
      <c r="AR227" s="255"/>
      <c r="AS227" s="255"/>
      <c r="AT227" s="256">
        <v>0</v>
      </c>
      <c r="AU227" s="256">
        <v>0</v>
      </c>
      <c r="AV227" s="256">
        <v>0</v>
      </c>
      <c r="AW227" s="227">
        <f t="shared" si="114"/>
        <v>7837</v>
      </c>
      <c r="AX227" s="257">
        <v>0</v>
      </c>
      <c r="AY227" s="255">
        <v>0</v>
      </c>
      <c r="AZ227" s="258"/>
      <c r="BA227" s="259">
        <v>0</v>
      </c>
      <c r="BB227" s="225">
        <v>0</v>
      </c>
      <c r="BC227" s="255">
        <v>0</v>
      </c>
      <c r="BD227" s="255">
        <v>0</v>
      </c>
      <c r="BE227" s="255"/>
      <c r="BF227" s="255"/>
      <c r="BG227" s="255">
        <v>0</v>
      </c>
      <c r="BH227" s="255">
        <v>0</v>
      </c>
      <c r="BI227" s="255">
        <v>0</v>
      </c>
      <c r="BJ227" s="256"/>
      <c r="BK227" s="256"/>
      <c r="BL227" s="256"/>
      <c r="BM227" s="248">
        <f t="shared" si="115"/>
        <v>7837</v>
      </c>
      <c r="BN227" s="257"/>
      <c r="BO227" s="255"/>
      <c r="BP227" s="256"/>
      <c r="BQ227" s="249"/>
      <c r="BR227" s="225"/>
      <c r="BS227" s="225"/>
      <c r="BT227" s="225"/>
      <c r="BU227" s="225"/>
      <c r="BV227" s="225"/>
      <c r="BW227" s="225"/>
      <c r="BX227" s="225"/>
      <c r="BY227" s="225"/>
      <c r="BZ227" s="225"/>
      <c r="CA227" s="225"/>
      <c r="CB227" s="225"/>
      <c r="CC227" s="227">
        <f t="shared" si="116"/>
        <v>7837</v>
      </c>
      <c r="CD227" s="244">
        <v>7837</v>
      </c>
      <c r="CE227" s="244">
        <f t="shared" ref="CE227:CE231" si="117">CD227-CC227</f>
        <v>0</v>
      </c>
      <c r="CF227" s="244"/>
    </row>
    <row r="228" spans="1:84" x14ac:dyDescent="0.2">
      <c r="A228" s="245" t="s">
        <v>23</v>
      </c>
      <c r="B228" s="246" t="s">
        <v>72</v>
      </c>
      <c r="C228" s="246" t="s">
        <v>507</v>
      </c>
      <c r="D228" s="246" t="s">
        <v>145</v>
      </c>
      <c r="E228" s="247" t="s">
        <v>211</v>
      </c>
      <c r="F228" s="247" t="s">
        <v>712</v>
      </c>
      <c r="G228" s="233" t="str">
        <f>IF(M228&gt;0, "1", "0")</f>
        <v>1</v>
      </c>
      <c r="H228" s="233" t="str">
        <f>IF(S228&gt;0, "1", "0")</f>
        <v>0</v>
      </c>
      <c r="I228" s="233" t="str">
        <f>IF(AI228&gt;0, "1", "0")</f>
        <v>0</v>
      </c>
      <c r="J228" s="233" t="str">
        <f>IF(AZ228&gt;0, "1", "0")</f>
        <v>0</v>
      </c>
      <c r="K228" s="233" t="str">
        <f>CONCATENATE(G228,H228,I228,J228)</f>
        <v>1000</v>
      </c>
      <c r="L228" s="247" t="str">
        <f>A228&amp;B228&amp;E228</f>
        <v>08808888District Design and Led 17-20</v>
      </c>
      <c r="M228" s="225">
        <v>8046</v>
      </c>
      <c r="N228" s="255"/>
      <c r="O228" s="255"/>
      <c r="P228" s="255"/>
      <c r="Q228" s="225">
        <f>SUM(M228:P228)</f>
        <v>8046</v>
      </c>
      <c r="R228" s="225">
        <v>7631</v>
      </c>
      <c r="S228" s="225">
        <v>0</v>
      </c>
      <c r="T228" s="255"/>
      <c r="U228" s="255"/>
      <c r="V228" s="255"/>
      <c r="W228" s="255"/>
      <c r="X228" s="255"/>
      <c r="Y228" s="255"/>
      <c r="Z228" s="225">
        <v>-2167</v>
      </c>
      <c r="AA228" s="255"/>
      <c r="AB228" s="255"/>
      <c r="AC228" s="255"/>
      <c r="AD228" s="255"/>
      <c r="AE228" s="255"/>
      <c r="AF228" s="225">
        <f>SUM(Q228:AE228)</f>
        <v>13510</v>
      </c>
      <c r="AG228" s="255"/>
      <c r="AH228" s="255">
        <v>0</v>
      </c>
      <c r="AI228" s="255"/>
      <c r="AJ228" s="255"/>
      <c r="AK228" s="255"/>
      <c r="AL228" s="255"/>
      <c r="AM228" s="255"/>
      <c r="AN228" s="255">
        <v>0</v>
      </c>
      <c r="AO228" s="255">
        <v>0</v>
      </c>
      <c r="AP228" s="255"/>
      <c r="AQ228" s="255"/>
      <c r="AR228" s="255"/>
      <c r="AS228" s="255"/>
      <c r="AT228" s="256">
        <v>0</v>
      </c>
      <c r="AU228" s="256">
        <v>0</v>
      </c>
      <c r="AV228" s="256">
        <v>0</v>
      </c>
      <c r="AW228" s="227">
        <f t="shared" si="114"/>
        <v>13510</v>
      </c>
      <c r="AX228" s="257">
        <v>0</v>
      </c>
      <c r="AY228" s="255">
        <v>0</v>
      </c>
      <c r="AZ228" s="258"/>
      <c r="BA228" s="259">
        <v>0</v>
      </c>
      <c r="BB228" s="225">
        <v>0</v>
      </c>
      <c r="BC228" s="255">
        <v>0</v>
      </c>
      <c r="BD228" s="255">
        <v>0</v>
      </c>
      <c r="BE228" s="255"/>
      <c r="BF228" s="255"/>
      <c r="BG228" s="255">
        <v>0</v>
      </c>
      <c r="BH228" s="255">
        <v>0</v>
      </c>
      <c r="BI228" s="255">
        <v>0</v>
      </c>
      <c r="BJ228" s="256"/>
      <c r="BK228" s="256"/>
      <c r="BL228" s="256"/>
      <c r="BM228" s="248">
        <f t="shared" si="115"/>
        <v>13510</v>
      </c>
      <c r="BN228" s="257"/>
      <c r="BO228" s="255"/>
      <c r="BP228" s="256"/>
      <c r="BQ228" s="249"/>
      <c r="BR228" s="225"/>
      <c r="BS228" s="225"/>
      <c r="BT228" s="225"/>
      <c r="BU228" s="225"/>
      <c r="BV228" s="225"/>
      <c r="BW228" s="225"/>
      <c r="BX228" s="225"/>
      <c r="BY228" s="225"/>
      <c r="BZ228" s="225"/>
      <c r="CA228" s="225"/>
      <c r="CB228" s="225"/>
      <c r="CC228" s="227">
        <f t="shared" si="116"/>
        <v>13510</v>
      </c>
      <c r="CD228" s="244">
        <v>13510</v>
      </c>
      <c r="CE228" s="244">
        <f t="shared" si="117"/>
        <v>0</v>
      </c>
      <c r="CF228" s="244"/>
    </row>
    <row r="229" spans="1:84" x14ac:dyDescent="0.2">
      <c r="A229" s="245" t="s">
        <v>23</v>
      </c>
      <c r="B229" s="246" t="s">
        <v>72</v>
      </c>
      <c r="C229" s="246" t="s">
        <v>507</v>
      </c>
      <c r="D229" s="246" t="s">
        <v>145</v>
      </c>
      <c r="E229" s="247" t="s">
        <v>213</v>
      </c>
      <c r="F229" s="247" t="s">
        <v>712</v>
      </c>
      <c r="G229" s="233" t="str">
        <f>IF(M229&gt;0, "1", "0")</f>
        <v>0</v>
      </c>
      <c r="H229" s="233" t="str">
        <f>IF(S229&gt;0, "1", "0")</f>
        <v>1</v>
      </c>
      <c r="I229" s="233" t="str">
        <f>IF(AI229&gt;0, "1", "0")</f>
        <v>0</v>
      </c>
      <c r="J229" s="233" t="str">
        <f>IF(AZ229&gt;0, "1", "0")</f>
        <v>0</v>
      </c>
      <c r="K229" s="233" t="str">
        <f>CONCATENATE(G229,H229,I229,J229)</f>
        <v>0100</v>
      </c>
      <c r="L229" s="247" t="str">
        <f>A229&amp;B229&amp;E229</f>
        <v>08808888District Design and Led 18-21</v>
      </c>
      <c r="M229" s="255"/>
      <c r="N229" s="255"/>
      <c r="O229" s="255"/>
      <c r="P229" s="255"/>
      <c r="Q229" s="225">
        <f>SUM(M229:P229)</f>
        <v>0</v>
      </c>
      <c r="R229" s="225"/>
      <c r="S229" s="225">
        <v>7837</v>
      </c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25">
        <f>SUM(Q229:AE229)</f>
        <v>7837</v>
      </c>
      <c r="AG229" s="255"/>
      <c r="AH229" s="255">
        <v>0</v>
      </c>
      <c r="AI229" s="255"/>
      <c r="AJ229" s="255"/>
      <c r="AK229" s="255"/>
      <c r="AL229" s="255"/>
      <c r="AM229" s="255"/>
      <c r="AN229" s="255">
        <v>0</v>
      </c>
      <c r="AO229" s="255">
        <v>0</v>
      </c>
      <c r="AP229" s="255"/>
      <c r="AQ229" s="255"/>
      <c r="AR229" s="255"/>
      <c r="AS229" s="255"/>
      <c r="AT229" s="256">
        <v>0</v>
      </c>
      <c r="AU229" s="256">
        <v>0</v>
      </c>
      <c r="AV229" s="256">
        <v>0</v>
      </c>
      <c r="AW229" s="227">
        <f t="shared" si="114"/>
        <v>7837</v>
      </c>
      <c r="AX229" s="257">
        <v>0</v>
      </c>
      <c r="AY229" s="255">
        <v>0</v>
      </c>
      <c r="AZ229" s="258"/>
      <c r="BA229" s="259">
        <v>0</v>
      </c>
      <c r="BB229" s="225">
        <v>0</v>
      </c>
      <c r="BC229" s="255">
        <v>0</v>
      </c>
      <c r="BD229" s="255">
        <v>0</v>
      </c>
      <c r="BE229" s="255"/>
      <c r="BF229" s="255"/>
      <c r="BG229" s="255">
        <v>0</v>
      </c>
      <c r="BH229" s="255">
        <v>0</v>
      </c>
      <c r="BI229" s="255">
        <v>0</v>
      </c>
      <c r="BJ229" s="256"/>
      <c r="BK229" s="256"/>
      <c r="BL229" s="256"/>
      <c r="BM229" s="248">
        <f t="shared" si="115"/>
        <v>7837</v>
      </c>
      <c r="BN229" s="257"/>
      <c r="BO229" s="255"/>
      <c r="BP229" s="256"/>
      <c r="BQ229" s="249"/>
      <c r="BR229" s="225"/>
      <c r="BS229" s="225"/>
      <c r="BT229" s="225"/>
      <c r="BU229" s="225"/>
      <c r="BV229" s="225"/>
      <c r="BW229" s="225"/>
      <c r="BX229" s="225"/>
      <c r="BY229" s="225"/>
      <c r="BZ229" s="225"/>
      <c r="CA229" s="225"/>
      <c r="CB229" s="225"/>
      <c r="CC229" s="227">
        <f t="shared" si="116"/>
        <v>7837</v>
      </c>
      <c r="CD229" s="244">
        <v>7837</v>
      </c>
      <c r="CE229" s="244">
        <f t="shared" si="117"/>
        <v>0</v>
      </c>
      <c r="CF229" s="244"/>
    </row>
    <row r="230" spans="1:84" x14ac:dyDescent="0.2">
      <c r="A230" s="245" t="s">
        <v>23</v>
      </c>
      <c r="B230" s="246" t="s">
        <v>424</v>
      </c>
      <c r="C230" s="246" t="s">
        <v>507</v>
      </c>
      <c r="D230" s="246" t="s">
        <v>550</v>
      </c>
      <c r="E230" s="247" t="s">
        <v>213</v>
      </c>
      <c r="F230" s="247" t="s">
        <v>712</v>
      </c>
      <c r="G230" s="233" t="str">
        <f>IF(M230&gt;0, "1", "0")</f>
        <v>0</v>
      </c>
      <c r="H230" s="233" t="str">
        <f>IF(S230&gt;0, "1", "0")</f>
        <v>1</v>
      </c>
      <c r="I230" s="233" t="str">
        <f>IF(AI230&gt;0, "1", "0")</f>
        <v>0</v>
      </c>
      <c r="J230" s="233" t="str">
        <f>IF(AZ230&gt;0, "1", "0")</f>
        <v>0</v>
      </c>
      <c r="K230" s="233" t="str">
        <f>CONCATENATE(G230,H230,I230,J230)</f>
        <v>0100</v>
      </c>
      <c r="L230" s="247" t="str">
        <f>A230&amp;B230&amp;E230</f>
        <v>08808995District Design and Led 18-21</v>
      </c>
      <c r="M230" s="255"/>
      <c r="N230" s="255"/>
      <c r="O230" s="255"/>
      <c r="P230" s="255"/>
      <c r="Q230" s="225">
        <f>SUM(M230:P230)</f>
        <v>0</v>
      </c>
      <c r="R230" s="225"/>
      <c r="S230" s="225">
        <v>7837</v>
      </c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25">
        <f>SUM(Q230:AE230)</f>
        <v>7837</v>
      </c>
      <c r="AG230" s="255"/>
      <c r="AH230" s="255">
        <v>0</v>
      </c>
      <c r="AI230" s="255"/>
      <c r="AJ230" s="255"/>
      <c r="AK230" s="255"/>
      <c r="AL230" s="255"/>
      <c r="AM230" s="255"/>
      <c r="AN230" s="255">
        <v>0</v>
      </c>
      <c r="AO230" s="255">
        <v>0</v>
      </c>
      <c r="AP230" s="255"/>
      <c r="AQ230" s="255"/>
      <c r="AR230" s="255"/>
      <c r="AS230" s="255"/>
      <c r="AT230" s="256">
        <v>0</v>
      </c>
      <c r="AU230" s="256">
        <v>0</v>
      </c>
      <c r="AV230" s="256">
        <v>0</v>
      </c>
      <c r="AW230" s="227">
        <f t="shared" si="114"/>
        <v>7837</v>
      </c>
      <c r="AX230" s="257">
        <v>0</v>
      </c>
      <c r="AY230" s="255">
        <v>0</v>
      </c>
      <c r="AZ230" s="258"/>
      <c r="BA230" s="259">
        <v>0</v>
      </c>
      <c r="BB230" s="225">
        <v>0</v>
      </c>
      <c r="BC230" s="255">
        <v>0</v>
      </c>
      <c r="BD230" s="255">
        <v>0</v>
      </c>
      <c r="BE230" s="255"/>
      <c r="BF230" s="255"/>
      <c r="BG230" s="255">
        <v>0</v>
      </c>
      <c r="BH230" s="255">
        <v>0</v>
      </c>
      <c r="BI230" s="255">
        <v>0</v>
      </c>
      <c r="BJ230" s="256"/>
      <c r="BK230" s="256"/>
      <c r="BL230" s="256"/>
      <c r="BM230" s="248">
        <f t="shared" si="115"/>
        <v>7837</v>
      </c>
      <c r="BN230" s="257"/>
      <c r="BO230" s="255"/>
      <c r="BP230" s="256"/>
      <c r="BQ230" s="249"/>
      <c r="BR230" s="225"/>
      <c r="BS230" s="225"/>
      <c r="BT230" s="225"/>
      <c r="BU230" s="225"/>
      <c r="BV230" s="225"/>
      <c r="BW230" s="225"/>
      <c r="BX230" s="225"/>
      <c r="BY230" s="225"/>
      <c r="BZ230" s="225"/>
      <c r="CA230" s="225"/>
      <c r="CB230" s="225"/>
      <c r="CC230" s="227">
        <f t="shared" si="116"/>
        <v>7837</v>
      </c>
      <c r="CD230" s="244">
        <v>7837</v>
      </c>
      <c r="CE230" s="244">
        <f t="shared" si="117"/>
        <v>0</v>
      </c>
      <c r="CF230" s="244"/>
    </row>
    <row r="231" spans="1:84" x14ac:dyDescent="0.2">
      <c r="A231" s="245" t="s">
        <v>23</v>
      </c>
      <c r="B231" s="246" t="s">
        <v>425</v>
      </c>
      <c r="C231" s="246" t="s">
        <v>507</v>
      </c>
      <c r="D231" s="246" t="s">
        <v>549</v>
      </c>
      <c r="E231" s="247" t="s">
        <v>213</v>
      </c>
      <c r="F231" s="247" t="s">
        <v>712</v>
      </c>
      <c r="G231" s="233" t="str">
        <f>IF(M231&gt;0, "1", "0")</f>
        <v>0</v>
      </c>
      <c r="H231" s="233" t="str">
        <f>IF(S231&gt;0, "1", "0")</f>
        <v>1</v>
      </c>
      <c r="I231" s="233" t="str">
        <f>IF(AI231&gt;0, "1", "0")</f>
        <v>0</v>
      </c>
      <c r="J231" s="233" t="str">
        <f>IF(AZ231&gt;0, "1", "0")</f>
        <v>0</v>
      </c>
      <c r="K231" s="233" t="str">
        <f>CONCATENATE(G231,H231,I231,J231)</f>
        <v>0100</v>
      </c>
      <c r="L231" s="247" t="str">
        <f>A231&amp;B231&amp;E231</f>
        <v>08809050District Design and Led 18-21</v>
      </c>
      <c r="M231" s="255"/>
      <c r="N231" s="255"/>
      <c r="O231" s="255"/>
      <c r="P231" s="255"/>
      <c r="Q231" s="225">
        <f>SUM(M231:P231)</f>
        <v>0</v>
      </c>
      <c r="R231" s="225"/>
      <c r="S231" s="225">
        <v>28278</v>
      </c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25">
        <f>SUM(Q231:AE231)</f>
        <v>28278</v>
      </c>
      <c r="AG231" s="255"/>
      <c r="AH231" s="255">
        <v>0</v>
      </c>
      <c r="AI231" s="255"/>
      <c r="AJ231" s="255"/>
      <c r="AK231" s="255"/>
      <c r="AL231" s="255"/>
      <c r="AM231" s="255"/>
      <c r="AN231" s="255">
        <v>0</v>
      </c>
      <c r="AO231" s="255">
        <v>0</v>
      </c>
      <c r="AP231" s="255"/>
      <c r="AQ231" s="255"/>
      <c r="AR231" s="255"/>
      <c r="AS231" s="255"/>
      <c r="AT231" s="256">
        <v>0</v>
      </c>
      <c r="AU231" s="256">
        <v>0</v>
      </c>
      <c r="AV231" s="256">
        <v>0</v>
      </c>
      <c r="AW231" s="227">
        <f t="shared" si="114"/>
        <v>28278</v>
      </c>
      <c r="AX231" s="257">
        <v>0</v>
      </c>
      <c r="AY231" s="255">
        <v>0</v>
      </c>
      <c r="AZ231" s="258"/>
      <c r="BA231" s="259">
        <v>0</v>
      </c>
      <c r="BB231" s="225">
        <v>0</v>
      </c>
      <c r="BC231" s="255">
        <v>0</v>
      </c>
      <c r="BD231" s="255">
        <v>0</v>
      </c>
      <c r="BE231" s="255"/>
      <c r="BF231" s="255"/>
      <c r="BG231" s="255">
        <v>0</v>
      </c>
      <c r="BH231" s="255">
        <v>0</v>
      </c>
      <c r="BI231" s="255">
        <v>0</v>
      </c>
      <c r="BJ231" s="256"/>
      <c r="BK231" s="256"/>
      <c r="BL231" s="256"/>
      <c r="BM231" s="248">
        <f t="shared" si="115"/>
        <v>28278</v>
      </c>
      <c r="BN231" s="257"/>
      <c r="BO231" s="255"/>
      <c r="BP231" s="256"/>
      <c r="BQ231" s="249"/>
      <c r="BR231" s="225"/>
      <c r="BS231" s="225"/>
      <c r="BT231" s="225"/>
      <c r="BU231" s="225">
        <v>-1795.84</v>
      </c>
      <c r="BV231" s="225"/>
      <c r="BW231" s="225"/>
      <c r="BX231" s="225"/>
      <c r="BY231" s="225"/>
      <c r="BZ231" s="225"/>
      <c r="CA231" s="225"/>
      <c r="CB231" s="225"/>
      <c r="CC231" s="227">
        <f t="shared" si="116"/>
        <v>26482.16</v>
      </c>
      <c r="CD231" s="244">
        <v>28278</v>
      </c>
      <c r="CE231" s="244">
        <f t="shared" si="117"/>
        <v>1795.8400000000001</v>
      </c>
      <c r="CF231" s="244"/>
    </row>
    <row r="232" spans="1:84" x14ac:dyDescent="0.2">
      <c r="A232" s="245" t="s">
        <v>23</v>
      </c>
      <c r="B232" s="246" t="s">
        <v>59</v>
      </c>
      <c r="C232" s="246" t="s">
        <v>507</v>
      </c>
      <c r="D232" s="246" t="s">
        <v>135</v>
      </c>
      <c r="E232" s="247" t="s">
        <v>456</v>
      </c>
      <c r="F232" s="247"/>
      <c r="G232" s="233"/>
      <c r="H232" s="233"/>
      <c r="I232" s="233"/>
      <c r="J232" s="233"/>
      <c r="K232" s="233"/>
      <c r="L232" s="247"/>
      <c r="M232" s="255"/>
      <c r="N232" s="255"/>
      <c r="O232" s="255"/>
      <c r="P232" s="255"/>
      <c r="Q232" s="225"/>
      <c r="R232" s="225"/>
      <c r="S232" s="22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25"/>
      <c r="AG232" s="255"/>
      <c r="AH232" s="255">
        <v>50000</v>
      </c>
      <c r="AI232" s="255"/>
      <c r="AJ232" s="255"/>
      <c r="AK232" s="255"/>
      <c r="AL232" s="255"/>
      <c r="AM232" s="255"/>
      <c r="AN232" s="255"/>
      <c r="AO232" s="255"/>
      <c r="AP232" s="255"/>
      <c r="AQ232" s="255"/>
      <c r="AR232" s="255"/>
      <c r="AS232" s="255"/>
      <c r="AT232" s="256"/>
      <c r="AU232" s="256">
        <v>0</v>
      </c>
      <c r="AV232" s="256">
        <v>0</v>
      </c>
      <c r="AW232" s="227">
        <v>0</v>
      </c>
      <c r="AX232" s="257">
        <v>50000</v>
      </c>
      <c r="AY232" s="255"/>
      <c r="AZ232" s="258"/>
      <c r="BA232" s="259"/>
      <c r="BB232" s="225"/>
      <c r="BC232" s="255"/>
      <c r="BD232" s="255"/>
      <c r="BE232" s="255"/>
      <c r="BF232" s="255"/>
      <c r="BG232" s="255"/>
      <c r="BH232" s="255"/>
      <c r="BI232" s="255"/>
      <c r="BJ232" s="256"/>
      <c r="BK232" s="256"/>
      <c r="BL232" s="256"/>
      <c r="BM232" s="248"/>
      <c r="BN232" s="257"/>
      <c r="BO232" s="255"/>
      <c r="BP232" s="256">
        <v>50000</v>
      </c>
      <c r="BQ232" s="249"/>
      <c r="BR232" s="225"/>
      <c r="BS232" s="225"/>
      <c r="BT232" s="225"/>
      <c r="BU232" s="225"/>
      <c r="BV232" s="225"/>
      <c r="BW232" s="225"/>
      <c r="BX232" s="225"/>
      <c r="BY232" s="225"/>
      <c r="BZ232" s="225"/>
      <c r="CA232" s="225"/>
      <c r="CB232" s="225"/>
      <c r="CC232" s="227">
        <f t="shared" si="116"/>
        <v>50000</v>
      </c>
      <c r="CD232" s="244"/>
      <c r="CE232" s="244"/>
      <c r="CF232" s="244"/>
    </row>
    <row r="233" spans="1:84" x14ac:dyDescent="0.2">
      <c r="A233" s="245" t="s">
        <v>23</v>
      </c>
      <c r="B233" s="246" t="s">
        <v>418</v>
      </c>
      <c r="C233" s="246" t="s">
        <v>507</v>
      </c>
      <c r="D233" s="246" t="s">
        <v>543</v>
      </c>
      <c r="E233" s="247" t="s">
        <v>456</v>
      </c>
      <c r="F233" s="247"/>
      <c r="G233" s="233"/>
      <c r="H233" s="233"/>
      <c r="I233" s="233"/>
      <c r="J233" s="233"/>
      <c r="K233" s="233"/>
      <c r="L233" s="247"/>
      <c r="M233" s="255"/>
      <c r="N233" s="255"/>
      <c r="O233" s="255"/>
      <c r="P233" s="255"/>
      <c r="Q233" s="225"/>
      <c r="R233" s="225"/>
      <c r="S233" s="22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25"/>
      <c r="AG233" s="255"/>
      <c r="AH233" s="255">
        <v>50000</v>
      </c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6"/>
      <c r="AU233" s="256">
        <v>0</v>
      </c>
      <c r="AV233" s="256">
        <v>0</v>
      </c>
      <c r="AW233" s="227">
        <v>0</v>
      </c>
      <c r="AX233" s="257">
        <v>50000</v>
      </c>
      <c r="AY233" s="255"/>
      <c r="AZ233" s="258"/>
      <c r="BA233" s="259"/>
      <c r="BB233" s="225"/>
      <c r="BC233" s="255"/>
      <c r="BD233" s="255"/>
      <c r="BE233" s="255"/>
      <c r="BF233" s="255"/>
      <c r="BG233" s="255"/>
      <c r="BH233" s="255"/>
      <c r="BI233" s="255"/>
      <c r="BJ233" s="256"/>
      <c r="BK233" s="256"/>
      <c r="BL233" s="256"/>
      <c r="BM233" s="248"/>
      <c r="BN233" s="257"/>
      <c r="BO233" s="255"/>
      <c r="BP233" s="256">
        <v>50000</v>
      </c>
      <c r="BQ233" s="249"/>
      <c r="BR233" s="225"/>
      <c r="BS233" s="225"/>
      <c r="BT233" s="225"/>
      <c r="BU233" s="225"/>
      <c r="BV233" s="225"/>
      <c r="BW233" s="225"/>
      <c r="BX233" s="225"/>
      <c r="BY233" s="225"/>
      <c r="BZ233" s="225"/>
      <c r="CA233" s="225"/>
      <c r="CB233" s="225"/>
      <c r="CC233" s="227">
        <f t="shared" si="116"/>
        <v>50000</v>
      </c>
      <c r="CD233" s="244"/>
      <c r="CE233" s="244"/>
      <c r="CF233" s="244"/>
    </row>
    <row r="234" spans="1:84" x14ac:dyDescent="0.2">
      <c r="A234" s="245" t="s">
        <v>23</v>
      </c>
      <c r="B234" s="246" t="s">
        <v>398</v>
      </c>
      <c r="C234" s="246" t="s">
        <v>507</v>
      </c>
      <c r="D234" s="246" t="s">
        <v>521</v>
      </c>
      <c r="E234" s="247" t="s">
        <v>456</v>
      </c>
      <c r="F234" s="247"/>
      <c r="G234" s="233"/>
      <c r="H234" s="233"/>
      <c r="I234" s="233"/>
      <c r="J234" s="233"/>
      <c r="K234" s="233"/>
      <c r="L234" s="247"/>
      <c r="M234" s="255"/>
      <c r="N234" s="255"/>
      <c r="O234" s="255"/>
      <c r="P234" s="255"/>
      <c r="Q234" s="225"/>
      <c r="R234" s="225"/>
      <c r="S234" s="22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25"/>
      <c r="AG234" s="255"/>
      <c r="AH234" s="255">
        <v>50000</v>
      </c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6"/>
      <c r="AU234" s="256">
        <v>0</v>
      </c>
      <c r="AV234" s="256">
        <v>0</v>
      </c>
      <c r="AW234" s="227">
        <v>0</v>
      </c>
      <c r="AX234" s="257">
        <v>50000</v>
      </c>
      <c r="AY234" s="255"/>
      <c r="AZ234" s="258"/>
      <c r="BA234" s="259"/>
      <c r="BB234" s="225"/>
      <c r="BC234" s="255"/>
      <c r="BD234" s="255"/>
      <c r="BE234" s="255"/>
      <c r="BF234" s="255"/>
      <c r="BG234" s="255"/>
      <c r="BH234" s="255"/>
      <c r="BI234" s="255"/>
      <c r="BJ234" s="256"/>
      <c r="BK234" s="256"/>
      <c r="BL234" s="256"/>
      <c r="BM234" s="248"/>
      <c r="BN234" s="257"/>
      <c r="BO234" s="255"/>
      <c r="BP234" s="256">
        <v>50000</v>
      </c>
      <c r="BQ234" s="249"/>
      <c r="BR234" s="225"/>
      <c r="BS234" s="225"/>
      <c r="BT234" s="225"/>
      <c r="BU234" s="225"/>
      <c r="BV234" s="225"/>
      <c r="BW234" s="225"/>
      <c r="BX234" s="225"/>
      <c r="BY234" s="225"/>
      <c r="BZ234" s="225"/>
      <c r="CA234" s="225"/>
      <c r="CB234" s="225"/>
      <c r="CC234" s="227">
        <f t="shared" si="116"/>
        <v>50000</v>
      </c>
      <c r="CD234" s="244"/>
      <c r="CE234" s="244"/>
      <c r="CF234" s="244"/>
    </row>
    <row r="235" spans="1:84" x14ac:dyDescent="0.2">
      <c r="A235" s="245" t="s">
        <v>23</v>
      </c>
      <c r="B235" s="246" t="s">
        <v>55</v>
      </c>
      <c r="C235" s="246" t="s">
        <v>507</v>
      </c>
      <c r="D235" s="246" t="s">
        <v>131</v>
      </c>
      <c r="E235" s="247" t="s">
        <v>211</v>
      </c>
      <c r="F235" s="247" t="s">
        <v>712</v>
      </c>
      <c r="G235" s="233" t="str">
        <f>IF(M235&gt;0, "1", "0")</f>
        <v>1</v>
      </c>
      <c r="H235" s="233" t="str">
        <f>IF(S235&gt;0, "1", "0")</f>
        <v>0</v>
      </c>
      <c r="I235" s="233" t="str">
        <f>IF(AI235&gt;0, "1", "0")</f>
        <v>0</v>
      </c>
      <c r="J235" s="233" t="str">
        <f>IF(AZ235&gt;0, "1", "0")</f>
        <v>0</v>
      </c>
      <c r="K235" s="233" t="str">
        <f>CONCATENATE(G235,H235,I235,J235)</f>
        <v>1000</v>
      </c>
      <c r="L235" s="247" t="str">
        <f>A235&amp;B235&amp;E235</f>
        <v>08809496District Design and Led 17-20</v>
      </c>
      <c r="M235" s="225">
        <v>8046</v>
      </c>
      <c r="N235" s="255"/>
      <c r="O235" s="255"/>
      <c r="P235" s="255"/>
      <c r="Q235" s="225">
        <f>SUM(M235:P235)</f>
        <v>8046</v>
      </c>
      <c r="R235" s="225">
        <v>7631</v>
      </c>
      <c r="S235" s="225">
        <v>0</v>
      </c>
      <c r="T235" s="255"/>
      <c r="U235" s="255"/>
      <c r="V235" s="255"/>
      <c r="W235" s="255"/>
      <c r="X235" s="255"/>
      <c r="Y235" s="255"/>
      <c r="Z235" s="225">
        <v>-2167</v>
      </c>
      <c r="AA235" s="255"/>
      <c r="AB235" s="255"/>
      <c r="AC235" s="255"/>
      <c r="AD235" s="255"/>
      <c r="AE235" s="255"/>
      <c r="AF235" s="225">
        <f>SUM(Q235:AE235)</f>
        <v>13510</v>
      </c>
      <c r="AG235" s="255"/>
      <c r="AH235" s="255">
        <v>0</v>
      </c>
      <c r="AI235" s="255"/>
      <c r="AJ235" s="255"/>
      <c r="AK235" s="255"/>
      <c r="AL235" s="255"/>
      <c r="AM235" s="255"/>
      <c r="AN235" s="255">
        <v>0</v>
      </c>
      <c r="AO235" s="255">
        <v>0</v>
      </c>
      <c r="AP235" s="255"/>
      <c r="AQ235" s="255"/>
      <c r="AR235" s="255"/>
      <c r="AS235" s="255"/>
      <c r="AT235" s="256">
        <v>0</v>
      </c>
      <c r="AU235" s="256">
        <v>0</v>
      </c>
      <c r="AV235" s="256">
        <v>0</v>
      </c>
      <c r="AW235" s="227">
        <f>SUM(AF235:AV235)</f>
        <v>13510</v>
      </c>
      <c r="AX235" s="257">
        <v>0</v>
      </c>
      <c r="AY235" s="255">
        <v>0</v>
      </c>
      <c r="AZ235" s="258"/>
      <c r="BA235" s="259">
        <v>0</v>
      </c>
      <c r="BB235" s="225">
        <v>0</v>
      </c>
      <c r="BC235" s="255">
        <v>0</v>
      </c>
      <c r="BD235" s="255">
        <v>0</v>
      </c>
      <c r="BE235" s="255"/>
      <c r="BF235" s="255"/>
      <c r="BG235" s="255">
        <v>0</v>
      </c>
      <c r="BH235" s="255">
        <v>0</v>
      </c>
      <c r="BI235" s="255">
        <v>0</v>
      </c>
      <c r="BJ235" s="256"/>
      <c r="BK235" s="256"/>
      <c r="BL235" s="256"/>
      <c r="BM235" s="248">
        <f t="shared" ref="BM235:BM241" si="118">SUM(AW235:BL235)</f>
        <v>13510</v>
      </c>
      <c r="BN235" s="257"/>
      <c r="BO235" s="255"/>
      <c r="BP235" s="256"/>
      <c r="BQ235" s="249"/>
      <c r="BR235" s="225"/>
      <c r="BS235" s="225"/>
      <c r="BT235" s="225"/>
      <c r="BU235" s="225"/>
      <c r="BV235" s="225"/>
      <c r="BW235" s="225"/>
      <c r="BX235" s="225"/>
      <c r="BY235" s="225"/>
      <c r="BZ235" s="225"/>
      <c r="CA235" s="225"/>
      <c r="CB235" s="225"/>
      <c r="CC235" s="227">
        <f t="shared" si="116"/>
        <v>13510</v>
      </c>
      <c r="CD235" s="244">
        <v>13510</v>
      </c>
      <c r="CE235" s="244">
        <f>CD235-CC235</f>
        <v>0</v>
      </c>
      <c r="CF235" s="244"/>
    </row>
    <row r="236" spans="1:84" x14ac:dyDescent="0.2">
      <c r="A236" s="245" t="s">
        <v>23</v>
      </c>
      <c r="B236" s="246" t="s">
        <v>34</v>
      </c>
      <c r="C236" s="246" t="s">
        <v>507</v>
      </c>
      <c r="D236" s="246" t="s">
        <v>111</v>
      </c>
      <c r="E236" s="247" t="s">
        <v>211</v>
      </c>
      <c r="F236" s="247" t="s">
        <v>712</v>
      </c>
      <c r="G236" s="233" t="str">
        <f>IF(M236&gt;0, "1", "0")</f>
        <v>1</v>
      </c>
      <c r="H236" s="233" t="str">
        <f>IF(S236&gt;0, "1", "0")</f>
        <v>0</v>
      </c>
      <c r="I236" s="233" t="str">
        <f>IF(AI236&gt;0, "1", "0")</f>
        <v>0</v>
      </c>
      <c r="J236" s="233" t="str">
        <f>IF(AZ236&gt;0, "1", "0")</f>
        <v>0</v>
      </c>
      <c r="K236" s="233" t="str">
        <f>CONCATENATE(G236,H236,I236,J236)</f>
        <v>1000</v>
      </c>
      <c r="L236" s="247" t="str">
        <f>A236&amp;B236&amp;E236</f>
        <v>0880N/ADistrict Design and Led 17-20</v>
      </c>
      <c r="M236" s="225">
        <v>21148</v>
      </c>
      <c r="N236" s="255"/>
      <c r="O236" s="255"/>
      <c r="P236" s="255"/>
      <c r="Q236" s="225">
        <f>SUM(M236:P236)</f>
        <v>21148</v>
      </c>
      <c r="R236" s="225">
        <v>644444</v>
      </c>
      <c r="S236" s="225">
        <v>0</v>
      </c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25">
        <f>SUM(Q236:AE236)</f>
        <v>665592</v>
      </c>
      <c r="AG236" s="225">
        <v>866829</v>
      </c>
      <c r="AH236" s="225">
        <v>0</v>
      </c>
      <c r="AI236" s="225"/>
      <c r="AJ236" s="255"/>
      <c r="AK236" s="255"/>
      <c r="AL236" s="255"/>
      <c r="AM236" s="255"/>
      <c r="AN236" s="255">
        <v>0</v>
      </c>
      <c r="AO236" s="255">
        <v>0</v>
      </c>
      <c r="AP236" s="255"/>
      <c r="AQ236" s="255"/>
      <c r="AR236" s="255"/>
      <c r="AS236" s="255"/>
      <c r="AT236" s="256">
        <v>0</v>
      </c>
      <c r="AU236" s="256">
        <v>0</v>
      </c>
      <c r="AV236" s="256">
        <v>0</v>
      </c>
      <c r="AW236" s="227">
        <f>SUM(AF236:AV236)</f>
        <v>1532421</v>
      </c>
      <c r="AX236" s="249">
        <v>0</v>
      </c>
      <c r="AY236" s="225">
        <v>0</v>
      </c>
      <c r="AZ236" s="227"/>
      <c r="BA236" s="259">
        <v>0</v>
      </c>
      <c r="BB236" s="225">
        <v>0</v>
      </c>
      <c r="BC236" s="255">
        <v>-125736.56</v>
      </c>
      <c r="BD236" s="255">
        <v>0</v>
      </c>
      <c r="BE236" s="255">
        <v>-126610.26</v>
      </c>
      <c r="BF236" s="255">
        <v>-509747.18</v>
      </c>
      <c r="BG236" s="255">
        <v>0</v>
      </c>
      <c r="BH236" s="255">
        <v>-672193.82</v>
      </c>
      <c r="BI236" s="255">
        <v>0</v>
      </c>
      <c r="BJ236" s="256"/>
      <c r="BK236" s="256"/>
      <c r="BL236" s="256">
        <v>-98133.18</v>
      </c>
      <c r="BM236" s="248">
        <f t="shared" si="118"/>
        <v>0</v>
      </c>
      <c r="BN236" s="249"/>
      <c r="BO236" s="225"/>
      <c r="BP236" s="248"/>
      <c r="BQ236" s="249"/>
      <c r="BR236" s="225"/>
      <c r="BS236" s="225"/>
      <c r="BT236" s="225"/>
      <c r="BU236" s="225"/>
      <c r="BV236" s="225"/>
      <c r="BW236" s="225"/>
      <c r="BX236" s="225"/>
      <c r="BY236" s="225"/>
      <c r="BZ236" s="225"/>
      <c r="CA236" s="225"/>
      <c r="CB236" s="225"/>
      <c r="CC236" s="227">
        <f t="shared" si="116"/>
        <v>0</v>
      </c>
      <c r="CD236" s="244">
        <v>0</v>
      </c>
      <c r="CE236" s="244">
        <f>CD236-CC236</f>
        <v>0</v>
      </c>
      <c r="CF236" s="244"/>
    </row>
    <row r="237" spans="1:84" x14ac:dyDescent="0.2">
      <c r="A237" s="245" t="s">
        <v>23</v>
      </c>
      <c r="B237" s="246" t="s">
        <v>34</v>
      </c>
      <c r="C237" s="246" t="s">
        <v>507</v>
      </c>
      <c r="D237" s="246" t="s">
        <v>111</v>
      </c>
      <c r="E237" s="247" t="s">
        <v>213</v>
      </c>
      <c r="F237" s="247" t="s">
        <v>712</v>
      </c>
      <c r="G237" s="233" t="str">
        <f>IF(M237&gt;0, "1", "0")</f>
        <v>0</v>
      </c>
      <c r="H237" s="233" t="str">
        <f>IF(S237&gt;0, "1", "0")</f>
        <v>1</v>
      </c>
      <c r="I237" s="233" t="str">
        <f>IF(AI237&gt;0, "1", "0")</f>
        <v>0</v>
      </c>
      <c r="J237" s="233" t="str">
        <f>IF(AZ237&gt;0, "1", "0")</f>
        <v>0</v>
      </c>
      <c r="K237" s="233" t="str">
        <f>CONCATENATE(G237,H237,I237,J237)</f>
        <v>0100</v>
      </c>
      <c r="L237" s="247" t="str">
        <f>A237&amp;B237&amp;E237</f>
        <v>0880N/ADistrict Design and Led 18-21</v>
      </c>
      <c r="M237" s="255"/>
      <c r="N237" s="255"/>
      <c r="O237" s="255"/>
      <c r="P237" s="255"/>
      <c r="Q237" s="225">
        <f>SUM(M237:P237)</f>
        <v>0</v>
      </c>
      <c r="R237" s="225"/>
      <c r="S237" s="225">
        <v>117650</v>
      </c>
      <c r="T237" s="255"/>
      <c r="U237" s="255"/>
      <c r="V237" s="255"/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25">
        <f>SUM(Q237:AE237)</f>
        <v>117650</v>
      </c>
      <c r="AG237" s="225"/>
      <c r="AH237" s="225">
        <v>592383</v>
      </c>
      <c r="AI237" s="225"/>
      <c r="AJ237" s="255"/>
      <c r="AK237" s="255"/>
      <c r="AL237" s="255"/>
      <c r="AM237" s="255"/>
      <c r="AN237" s="255">
        <v>0</v>
      </c>
      <c r="AO237" s="255">
        <v>0</v>
      </c>
      <c r="AP237" s="255"/>
      <c r="AQ237" s="255"/>
      <c r="AR237" s="255"/>
      <c r="AS237" s="255"/>
      <c r="AT237" s="256">
        <v>0</v>
      </c>
      <c r="AU237" s="256">
        <v>0</v>
      </c>
      <c r="AV237" s="256">
        <v>0</v>
      </c>
      <c r="AW237" s="227">
        <f>SUM(AF237:AV237)</f>
        <v>710033</v>
      </c>
      <c r="AX237" s="249">
        <v>0</v>
      </c>
      <c r="AY237" s="225">
        <v>0</v>
      </c>
      <c r="AZ237" s="227"/>
      <c r="BA237" s="259">
        <v>0</v>
      </c>
      <c r="BB237" s="225">
        <v>0</v>
      </c>
      <c r="BC237" s="255">
        <v>0</v>
      </c>
      <c r="BD237" s="255">
        <v>0</v>
      </c>
      <c r="BE237" s="255" t="s">
        <v>701</v>
      </c>
      <c r="BF237" s="255" t="s">
        <v>701</v>
      </c>
      <c r="BG237" s="255">
        <v>0</v>
      </c>
      <c r="BH237" s="255">
        <v>0</v>
      </c>
      <c r="BI237" s="255">
        <v>0</v>
      </c>
      <c r="BJ237" s="256"/>
      <c r="BK237" s="256"/>
      <c r="BL237" s="256">
        <v>-182798.69999999972</v>
      </c>
      <c r="BM237" s="248">
        <f t="shared" si="118"/>
        <v>527234.30000000028</v>
      </c>
      <c r="BN237" s="249"/>
      <c r="BO237" s="225"/>
      <c r="BP237" s="248"/>
      <c r="BQ237" s="249"/>
      <c r="BR237" s="225"/>
      <c r="BS237" s="225"/>
      <c r="BT237" s="225"/>
      <c r="BU237" s="147">
        <v>-65470.54</v>
      </c>
      <c r="BV237" s="225"/>
      <c r="BW237" s="225"/>
      <c r="BX237" s="225"/>
      <c r="BY237" s="225"/>
      <c r="BZ237" s="225"/>
      <c r="CA237" s="225"/>
      <c r="CB237" s="225"/>
      <c r="CC237" s="227">
        <f t="shared" si="116"/>
        <v>461763.7600000003</v>
      </c>
      <c r="CD237" s="244"/>
      <c r="CE237" s="244"/>
      <c r="CF237" s="244"/>
    </row>
    <row r="238" spans="1:84" x14ac:dyDescent="0.2">
      <c r="A238" s="245" t="s">
        <v>230</v>
      </c>
      <c r="B238" s="246" t="s">
        <v>34</v>
      </c>
      <c r="C238" s="246" t="s">
        <v>232</v>
      </c>
      <c r="D238" s="246" t="s">
        <v>111</v>
      </c>
      <c r="E238" s="247" t="s">
        <v>213</v>
      </c>
      <c r="F238" s="247" t="s">
        <v>712</v>
      </c>
      <c r="G238" s="233" t="str">
        <f>IF(M238&gt;0, "1", "0")</f>
        <v>0</v>
      </c>
      <c r="H238" s="233" t="str">
        <f>IF(S238&gt;0, "1", "0")</f>
        <v>1</v>
      </c>
      <c r="I238" s="233" t="str">
        <f>IF(AI238&gt;0, "1", "0")</f>
        <v>0</v>
      </c>
      <c r="J238" s="233" t="str">
        <f>IF(AZ238&gt;0, "1", "0")</f>
        <v>0</v>
      </c>
      <c r="K238" s="233" t="str">
        <f>CONCATENATE(G238,H238,I238,J238)</f>
        <v>0100</v>
      </c>
      <c r="L238" s="247" t="str">
        <f>A238&amp;B238&amp;E238</f>
        <v>1010N/ADistrict Design and Led 18-21</v>
      </c>
      <c r="M238" s="255"/>
      <c r="N238" s="255"/>
      <c r="O238" s="255"/>
      <c r="P238" s="255"/>
      <c r="Q238" s="225">
        <f>SUM(M238:P238)</f>
        <v>0</v>
      </c>
      <c r="R238" s="225"/>
      <c r="S238" s="225">
        <v>75604</v>
      </c>
      <c r="T238" s="255"/>
      <c r="U238" s="255"/>
      <c r="V238" s="255"/>
      <c r="W238" s="255"/>
      <c r="X238" s="255"/>
      <c r="Y238" s="255"/>
      <c r="Z238" s="255"/>
      <c r="AA238" s="255"/>
      <c r="AB238" s="255"/>
      <c r="AC238" s="225">
        <v>-10770</v>
      </c>
      <c r="AD238" s="225">
        <v>-9500</v>
      </c>
      <c r="AE238" s="225">
        <v>-9500</v>
      </c>
      <c r="AF238" s="225">
        <f>SUM(Q238:AE238)</f>
        <v>45834</v>
      </c>
      <c r="AG238" s="225"/>
      <c r="AH238" s="225">
        <v>118986</v>
      </c>
      <c r="AI238" s="225"/>
      <c r="AJ238" s="255"/>
      <c r="AK238" s="255"/>
      <c r="AL238" s="225">
        <v>-27059</v>
      </c>
      <c r="AM238" s="255"/>
      <c r="AN238" s="255">
        <v>0</v>
      </c>
      <c r="AO238" s="255">
        <v>0</v>
      </c>
      <c r="AP238" s="255"/>
      <c r="AQ238" s="225">
        <v>-43386.98</v>
      </c>
      <c r="AR238" s="225">
        <v>-1446.81</v>
      </c>
      <c r="AS238" s="225">
        <v>-12811.23</v>
      </c>
      <c r="AT238" s="248">
        <v>-4943.0200000000004</v>
      </c>
      <c r="AU238" s="248">
        <v>-6458.33</v>
      </c>
      <c r="AV238" s="248">
        <v>-6528.1</v>
      </c>
      <c r="AW238" s="227">
        <f>SUM(AF238:AV238)</f>
        <v>62186.529999999992</v>
      </c>
      <c r="AX238" s="249">
        <v>67161</v>
      </c>
      <c r="AY238" s="225">
        <v>0</v>
      </c>
      <c r="AZ238" s="227"/>
      <c r="BA238" s="250">
        <v>0</v>
      </c>
      <c r="BB238" s="225">
        <v>-30292.97</v>
      </c>
      <c r="BC238" s="255">
        <v>0</v>
      </c>
      <c r="BD238" s="255">
        <v>-736.06</v>
      </c>
      <c r="BE238" s="255">
        <v>-224.9</v>
      </c>
      <c r="BF238" s="255"/>
      <c r="BG238" s="225">
        <v>-924.79</v>
      </c>
      <c r="BH238" s="225">
        <v>-314.52999999999997</v>
      </c>
      <c r="BI238" s="225">
        <v>-725.56</v>
      </c>
      <c r="BJ238" s="248">
        <v>-23778.05</v>
      </c>
      <c r="BK238" s="248">
        <v>-3362.93</v>
      </c>
      <c r="BL238" s="248">
        <v>-3868.95</v>
      </c>
      <c r="BM238" s="248">
        <f t="shared" si="118"/>
        <v>65118.790000000023</v>
      </c>
      <c r="BN238" s="249"/>
      <c r="BO238" s="225"/>
      <c r="BP238" s="248"/>
      <c r="BQ238" s="249">
        <v>-6062.99</v>
      </c>
      <c r="BR238" s="225">
        <v>-7976.63</v>
      </c>
      <c r="BS238" s="225">
        <v>-302.99</v>
      </c>
      <c r="BT238" s="225">
        <v>-585.04999999999995</v>
      </c>
      <c r="BU238" s="225">
        <v>-295.16000000000003</v>
      </c>
      <c r="BV238" s="225">
        <v>-1373.06</v>
      </c>
      <c r="BW238" s="225">
        <v>-1735.82</v>
      </c>
      <c r="BX238" s="225">
        <v>-2239.7199999999998</v>
      </c>
      <c r="BY238" s="225">
        <v>-2035.19</v>
      </c>
      <c r="BZ238" s="225"/>
      <c r="CA238" s="225"/>
      <c r="CB238" s="225"/>
      <c r="CC238" s="227">
        <f t="shared" si="116"/>
        <v>42512.180000000022</v>
      </c>
      <c r="CD238" s="244"/>
      <c r="CE238" s="244"/>
      <c r="CF238" s="244"/>
    </row>
    <row r="239" spans="1:84" x14ac:dyDescent="0.2">
      <c r="A239" s="245" t="s">
        <v>230</v>
      </c>
      <c r="B239" s="246" t="s">
        <v>427</v>
      </c>
      <c r="C239" s="246" t="s">
        <v>232</v>
      </c>
      <c r="D239" s="246" t="s">
        <v>551</v>
      </c>
      <c r="E239" s="247" t="s">
        <v>213</v>
      </c>
      <c r="F239" s="247" t="s">
        <v>712</v>
      </c>
      <c r="G239" s="233" t="str">
        <f>IF(M239&gt;0, "1", "0")</f>
        <v>0</v>
      </c>
      <c r="H239" s="233" t="str">
        <f>IF(S239&gt;0, "1", "0")</f>
        <v>1</v>
      </c>
      <c r="I239" s="233" t="str">
        <f>IF(AI239&gt;0, "1", "0")</f>
        <v>0</v>
      </c>
      <c r="J239" s="233" t="str">
        <f>IF(AZ239&gt;0, "1", "0")</f>
        <v>0</v>
      </c>
      <c r="K239" s="233" t="str">
        <f>CONCATENATE(G239,H239,I239,J239)</f>
        <v>0100</v>
      </c>
      <c r="L239" s="247" t="str">
        <f>A239&amp;B239&amp;E239</f>
        <v>10102528District Design and Led 18-21</v>
      </c>
      <c r="M239" s="255"/>
      <c r="N239" s="255"/>
      <c r="O239" s="255"/>
      <c r="P239" s="255"/>
      <c r="Q239" s="225">
        <f>SUM(M239:P239)</f>
        <v>0</v>
      </c>
      <c r="R239" s="225"/>
      <c r="S239" s="225">
        <v>15527</v>
      </c>
      <c r="T239" s="255"/>
      <c r="U239" s="255"/>
      <c r="V239" s="255"/>
      <c r="W239" s="255"/>
      <c r="X239" s="255"/>
      <c r="Y239" s="255"/>
      <c r="Z239" s="255"/>
      <c r="AA239" s="255"/>
      <c r="AB239" s="255"/>
      <c r="AC239" s="225">
        <v>-8904</v>
      </c>
      <c r="AD239" s="255"/>
      <c r="AE239" s="255"/>
      <c r="AF239" s="225">
        <f>SUM(Q239:AE239)</f>
        <v>6623</v>
      </c>
      <c r="AG239" s="225"/>
      <c r="AH239" s="225">
        <v>41952</v>
      </c>
      <c r="AI239" s="225"/>
      <c r="AJ239" s="255"/>
      <c r="AK239" s="255"/>
      <c r="AL239" s="225">
        <v>-5972</v>
      </c>
      <c r="AM239" s="255"/>
      <c r="AN239" s="255">
        <v>0</v>
      </c>
      <c r="AO239" s="255">
        <v>0</v>
      </c>
      <c r="AP239" s="255"/>
      <c r="AQ239" s="225">
        <v>-27110.35</v>
      </c>
      <c r="AR239" s="225">
        <v>-5772.72</v>
      </c>
      <c r="AS239" s="225">
        <v>-244.09</v>
      </c>
      <c r="AT239" s="248">
        <v>-1138.78</v>
      </c>
      <c r="AU239" s="248">
        <v>0</v>
      </c>
      <c r="AV239" s="248">
        <v>0</v>
      </c>
      <c r="AW239" s="227">
        <f>SUM(AF239:AV239)</f>
        <v>8337.06</v>
      </c>
      <c r="AX239" s="249">
        <v>20485</v>
      </c>
      <c r="AY239" s="225">
        <v>0</v>
      </c>
      <c r="AZ239" s="227"/>
      <c r="BA239" s="250">
        <v>0</v>
      </c>
      <c r="BB239" s="225">
        <v>0</v>
      </c>
      <c r="BC239" s="255">
        <v>0</v>
      </c>
      <c r="BD239" s="255">
        <v>0</v>
      </c>
      <c r="BE239" s="255"/>
      <c r="BF239" s="255">
        <v>-707.56</v>
      </c>
      <c r="BG239" s="225">
        <v>-42.45</v>
      </c>
      <c r="BH239" s="225">
        <v>-2396</v>
      </c>
      <c r="BI239" s="225">
        <v>-1422.17</v>
      </c>
      <c r="BJ239" s="248">
        <v>-229.09</v>
      </c>
      <c r="BK239" s="248">
        <v>-411.99</v>
      </c>
      <c r="BL239" s="248">
        <v>-1895</v>
      </c>
      <c r="BM239" s="248">
        <f t="shared" si="118"/>
        <v>21717.799999999996</v>
      </c>
      <c r="BN239" s="249"/>
      <c r="BO239" s="225"/>
      <c r="BP239" s="248"/>
      <c r="BQ239" s="249"/>
      <c r="BR239" s="225">
        <v>-138.4</v>
      </c>
      <c r="BS239" s="225"/>
      <c r="BT239" s="225">
        <v>-11.77</v>
      </c>
      <c r="BU239" s="225">
        <v>-7500.73</v>
      </c>
      <c r="BV239" s="225"/>
      <c r="BW239" s="225">
        <v>-559.54999999999995</v>
      </c>
      <c r="BX239" s="225"/>
      <c r="BY239" s="225">
        <v>-3407.97</v>
      </c>
      <c r="BZ239" s="225"/>
      <c r="CA239" s="225"/>
      <c r="CB239" s="225"/>
      <c r="CC239" s="227">
        <f t="shared" si="116"/>
        <v>10099.379999999996</v>
      </c>
      <c r="CD239" s="244"/>
      <c r="CE239" s="244"/>
      <c r="CF239" s="244"/>
    </row>
    <row r="240" spans="1:84" x14ac:dyDescent="0.2">
      <c r="A240" s="245" t="s">
        <v>494</v>
      </c>
      <c r="B240" s="247" t="s">
        <v>495</v>
      </c>
      <c r="C240" s="246" t="s">
        <v>496</v>
      </c>
      <c r="D240" s="246" t="s">
        <v>497</v>
      </c>
      <c r="E240" s="247" t="s">
        <v>456</v>
      </c>
      <c r="F240" s="247"/>
      <c r="G240" s="233"/>
      <c r="H240" s="233"/>
      <c r="I240" s="233"/>
      <c r="J240" s="233"/>
      <c r="K240" s="233"/>
      <c r="L240" s="247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48"/>
      <c r="AU240" s="248"/>
      <c r="AV240" s="248"/>
      <c r="AW240" s="227"/>
      <c r="AX240" s="249"/>
      <c r="AY240" s="225"/>
      <c r="AZ240" s="227">
        <v>3000</v>
      </c>
      <c r="BA240" s="250"/>
      <c r="BB240" s="225"/>
      <c r="BC240" s="225"/>
      <c r="BD240" s="225"/>
      <c r="BE240" s="225"/>
      <c r="BF240" s="225"/>
      <c r="BG240" s="225"/>
      <c r="BH240" s="225"/>
      <c r="BI240" s="225"/>
      <c r="BJ240" s="248"/>
      <c r="BK240" s="248"/>
      <c r="BL240" s="248"/>
      <c r="BM240" s="248">
        <f t="shared" si="118"/>
        <v>3000</v>
      </c>
      <c r="BN240" s="249"/>
      <c r="BO240" s="225"/>
      <c r="BP240" s="248">
        <v>47000</v>
      </c>
      <c r="BQ240" s="249"/>
      <c r="BR240" s="225"/>
      <c r="BS240" s="225"/>
      <c r="BT240" s="225"/>
      <c r="BU240" s="225"/>
      <c r="BV240" s="225"/>
      <c r="BW240" s="225">
        <v>-3000</v>
      </c>
      <c r="BX240" s="225">
        <v>-20384.62</v>
      </c>
      <c r="BY240" s="225"/>
      <c r="BZ240" s="225"/>
      <c r="CA240" s="225"/>
      <c r="CB240" s="225"/>
      <c r="CC240" s="227">
        <f t="shared" si="116"/>
        <v>26615.38</v>
      </c>
      <c r="CD240" s="244"/>
      <c r="CE240" s="244"/>
      <c r="CF240" s="244"/>
    </row>
    <row r="241" spans="1:84" x14ac:dyDescent="0.2">
      <c r="A241" s="245" t="s">
        <v>230</v>
      </c>
      <c r="B241" s="246" t="s">
        <v>238</v>
      </c>
      <c r="C241" s="246" t="s">
        <v>232</v>
      </c>
      <c r="D241" s="246" t="s">
        <v>256</v>
      </c>
      <c r="E241" s="247" t="s">
        <v>213</v>
      </c>
      <c r="F241" s="247" t="s">
        <v>712</v>
      </c>
      <c r="G241" s="233" t="str">
        <f>IF(M241&gt;0, "1", "0")</f>
        <v>0</v>
      </c>
      <c r="H241" s="233" t="str">
        <f>IF(S241&gt;0, "1", "0")</f>
        <v>0</v>
      </c>
      <c r="I241" s="233" t="str">
        <f>IF(AI241&gt;0, "1", "0")</f>
        <v>0</v>
      </c>
      <c r="J241" s="233" t="str">
        <f>IF(AZ241&gt;0, "1", "0")</f>
        <v>0</v>
      </c>
      <c r="K241" s="233" t="str">
        <f>CONCATENATE(G241,H241,I241,J241)</f>
        <v>0000</v>
      </c>
      <c r="L241" s="247" t="str">
        <f>A241&amp;B241&amp;E241</f>
        <v>10109445District Design and Led 18-21</v>
      </c>
      <c r="M241" s="225"/>
      <c r="N241" s="225"/>
      <c r="O241" s="225"/>
      <c r="P241" s="225"/>
      <c r="Q241" s="225"/>
      <c r="R241" s="225"/>
      <c r="S241" s="225">
        <v>0</v>
      </c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225">
        <f>SUM(Q241:AE241)</f>
        <v>0</v>
      </c>
      <c r="AG241" s="225"/>
      <c r="AH241" s="225">
        <v>0</v>
      </c>
      <c r="AI241" s="225"/>
      <c r="AJ241" s="225"/>
      <c r="AK241" s="225"/>
      <c r="AL241" s="225"/>
      <c r="AM241" s="225"/>
      <c r="AN241" s="225">
        <v>0</v>
      </c>
      <c r="AO241" s="225">
        <v>0</v>
      </c>
      <c r="AP241" s="225"/>
      <c r="AQ241" s="225"/>
      <c r="AR241" s="225"/>
      <c r="AS241" s="225"/>
      <c r="AT241" s="248"/>
      <c r="AU241" s="248"/>
      <c r="AV241" s="248"/>
      <c r="AW241" s="227">
        <f>SUM(AF241:AV241)</f>
        <v>0</v>
      </c>
      <c r="AX241" s="249">
        <v>0</v>
      </c>
      <c r="AY241" s="225">
        <v>10600</v>
      </c>
      <c r="AZ241" s="227"/>
      <c r="BA241" s="250"/>
      <c r="BB241" s="225">
        <v>0</v>
      </c>
      <c r="BC241" s="225">
        <v>0</v>
      </c>
      <c r="BD241" s="225">
        <v>0</v>
      </c>
      <c r="BE241" s="225"/>
      <c r="BF241" s="225"/>
      <c r="BG241" s="225">
        <v>0</v>
      </c>
      <c r="BH241" s="225">
        <v>0</v>
      </c>
      <c r="BI241" s="225">
        <v>0</v>
      </c>
      <c r="BJ241" s="248">
        <v>-1797.93</v>
      </c>
      <c r="BK241" s="248"/>
      <c r="BL241" s="248"/>
      <c r="BM241" s="248">
        <f t="shared" si="118"/>
        <v>8802.07</v>
      </c>
      <c r="BN241" s="249"/>
      <c r="BO241" s="225"/>
      <c r="BP241" s="248"/>
      <c r="BQ241" s="249">
        <v>-1644.85</v>
      </c>
      <c r="BR241" s="225">
        <v>-98.68</v>
      </c>
      <c r="BS241" s="225"/>
      <c r="BT241" s="225"/>
      <c r="BU241" s="225"/>
      <c r="BV241" s="225"/>
      <c r="BW241" s="225"/>
      <c r="BX241" s="225"/>
      <c r="BY241" s="225"/>
      <c r="BZ241" s="225"/>
      <c r="CA241" s="225"/>
      <c r="CB241" s="225"/>
      <c r="CC241" s="227">
        <f t="shared" si="116"/>
        <v>7058.5399999999991</v>
      </c>
      <c r="CD241" s="244"/>
      <c r="CE241" s="244"/>
      <c r="CF241" s="244"/>
    </row>
    <row r="242" spans="1:84" x14ac:dyDescent="0.2">
      <c r="A242" s="302" t="s">
        <v>401</v>
      </c>
      <c r="B242" s="303" t="s">
        <v>748</v>
      </c>
      <c r="C242" s="20" t="s">
        <v>462</v>
      </c>
      <c r="D242" s="20" t="s">
        <v>111</v>
      </c>
      <c r="E242" s="303" t="s">
        <v>456</v>
      </c>
      <c r="F242" s="20"/>
      <c r="G242" s="304"/>
      <c r="H242" s="305"/>
      <c r="I242" s="305"/>
      <c r="J242" s="305"/>
      <c r="K242" s="305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>
        <v>1038</v>
      </c>
      <c r="AA242" s="306"/>
      <c r="AB242" s="306"/>
      <c r="AC242" s="306"/>
      <c r="AD242" s="306">
        <v>1038</v>
      </c>
      <c r="AE242" s="306"/>
      <c r="AF242" s="306"/>
      <c r="AG242" s="306"/>
      <c r="AH242" s="306">
        <v>54646</v>
      </c>
      <c r="AI242" s="306"/>
      <c r="AJ242" s="296">
        <v>-1038</v>
      </c>
      <c r="AK242" s="296"/>
      <c r="AL242" s="296"/>
      <c r="AM242" s="296"/>
      <c r="AN242" s="296" t="s">
        <v>701</v>
      </c>
      <c r="AO242" s="296"/>
      <c r="AP242" s="296"/>
      <c r="AQ242" s="296"/>
      <c r="AR242" s="296"/>
      <c r="AS242" s="296"/>
      <c r="AT242" s="297"/>
      <c r="AU242" s="297">
        <v>-12092.71</v>
      </c>
      <c r="AV242" s="297">
        <v>0</v>
      </c>
      <c r="AW242" s="298">
        <v>0</v>
      </c>
      <c r="AX242" s="299">
        <v>-13130.71</v>
      </c>
      <c r="AY242" s="16">
        <v>42553.29</v>
      </c>
      <c r="AZ242" s="307"/>
      <c r="BA242" s="308"/>
      <c r="BB242" s="20"/>
      <c r="BC242" s="20"/>
      <c r="BD242" s="20"/>
      <c r="BE242" s="20"/>
      <c r="BF242" s="20"/>
      <c r="BG242" s="20"/>
      <c r="BH242" s="20"/>
      <c r="BI242" s="20"/>
      <c r="BJ242" s="309"/>
      <c r="BK242" s="309"/>
      <c r="BL242" s="309"/>
      <c r="BM242" s="309"/>
      <c r="BN242" s="310"/>
      <c r="BO242" s="20"/>
      <c r="BP242" s="309">
        <v>54646</v>
      </c>
      <c r="BQ242" s="310"/>
      <c r="BR242" s="20"/>
      <c r="BS242" s="20"/>
      <c r="BT242" s="20"/>
      <c r="BU242" s="20"/>
      <c r="BV242" s="20"/>
      <c r="BW242" s="20"/>
      <c r="BX242" s="301">
        <v>-12092.71</v>
      </c>
      <c r="BY242" s="20"/>
      <c r="BZ242" s="20"/>
      <c r="CA242" s="20"/>
      <c r="CB242" s="20"/>
      <c r="CC242" s="227">
        <f t="shared" si="116"/>
        <v>42553.29</v>
      </c>
      <c r="CD242" s="35"/>
      <c r="CE242" s="35"/>
      <c r="CF242" s="244"/>
    </row>
    <row r="243" spans="1:84" x14ac:dyDescent="0.2">
      <c r="A243" s="251" t="s">
        <v>445</v>
      </c>
      <c r="B243" s="246" t="s">
        <v>34</v>
      </c>
      <c r="C243" s="246" t="s">
        <v>446</v>
      </c>
      <c r="D243" s="246" t="s">
        <v>111</v>
      </c>
      <c r="E243" s="247" t="s">
        <v>213</v>
      </c>
      <c r="F243" s="247" t="s">
        <v>712</v>
      </c>
      <c r="G243" s="233" t="str">
        <f t="shared" ref="G243:G251" si="119">IF(M243&gt;0, "1", "0")</f>
        <v>0</v>
      </c>
      <c r="H243" s="233" t="str">
        <f t="shared" ref="H243:H251" si="120">IF(S243&gt;0, "1", "0")</f>
        <v>1</v>
      </c>
      <c r="I243" s="233" t="str">
        <f t="shared" ref="I243:I251" si="121">IF(AI243&gt;0, "1", "0")</f>
        <v>0</v>
      </c>
      <c r="J243" s="233" t="str">
        <f t="shared" ref="J243:J251" si="122">IF(AZ243&gt;0, "1", "0")</f>
        <v>0</v>
      </c>
      <c r="K243" s="233" t="str">
        <f t="shared" ref="K243:K251" si="123">CONCATENATE(G243,H243,I243,J243)</f>
        <v>0100</v>
      </c>
      <c r="L243" s="247" t="str">
        <f t="shared" ref="L243:L251" si="124">A243&amp;B243&amp;E243</f>
        <v>1070N/ADistrict Design and Led 18-21</v>
      </c>
      <c r="M243" s="225"/>
      <c r="N243" s="225"/>
      <c r="O243" s="225"/>
      <c r="P243" s="225"/>
      <c r="Q243" s="225">
        <f t="shared" ref="Q243:Q249" si="125">SUM(M243:P243)</f>
        <v>0</v>
      </c>
      <c r="R243" s="225"/>
      <c r="S243" s="225">
        <v>118642</v>
      </c>
      <c r="T243" s="225"/>
      <c r="U243" s="225"/>
      <c r="V243" s="225"/>
      <c r="W243" s="225"/>
      <c r="X243" s="225"/>
      <c r="Y243" s="225"/>
      <c r="Z243" s="225"/>
      <c r="AA243" s="225"/>
      <c r="AB243" s="225"/>
      <c r="AC243" s="225"/>
      <c r="AD243" s="225"/>
      <c r="AE243" s="225"/>
      <c r="AF243" s="225">
        <f t="shared" ref="AF243:AF251" si="126">SUM(Q243:AE243)</f>
        <v>118642</v>
      </c>
      <c r="AG243" s="255"/>
      <c r="AH243" s="255">
        <v>0</v>
      </c>
      <c r="AI243" s="255"/>
      <c r="AJ243" s="225"/>
      <c r="AK243" s="225"/>
      <c r="AL243" s="225"/>
      <c r="AM243" s="225"/>
      <c r="AN243" s="225">
        <v>0</v>
      </c>
      <c r="AO243" s="225">
        <v>0</v>
      </c>
      <c r="AP243" s="225"/>
      <c r="AQ243" s="255"/>
      <c r="AR243" s="225"/>
      <c r="AS243" s="225"/>
      <c r="AT243" s="248">
        <v>0</v>
      </c>
      <c r="AU243" s="248">
        <v>0</v>
      </c>
      <c r="AV243" s="248">
        <v>0</v>
      </c>
      <c r="AW243" s="227">
        <f t="shared" ref="AW243:AW251" si="127">SUM(AF243:AV243)</f>
        <v>118642</v>
      </c>
      <c r="AX243" s="257">
        <v>0</v>
      </c>
      <c r="AY243" s="255">
        <v>0</v>
      </c>
      <c r="AZ243" s="258"/>
      <c r="BA243" s="250">
        <v>0</v>
      </c>
      <c r="BB243" s="225">
        <v>0</v>
      </c>
      <c r="BC243" s="225">
        <v>0</v>
      </c>
      <c r="BD243" s="225">
        <v>0</v>
      </c>
      <c r="BE243" s="225"/>
      <c r="BF243" s="225"/>
      <c r="BG243" s="255">
        <v>0</v>
      </c>
      <c r="BH243" s="225">
        <v>0</v>
      </c>
      <c r="BI243" s="225">
        <v>-118642</v>
      </c>
      <c r="BJ243" s="248"/>
      <c r="BK243" s="248">
        <v>0</v>
      </c>
      <c r="BL243" s="248">
        <v>0</v>
      </c>
      <c r="BM243" s="248">
        <f t="shared" ref="BM243:BM251" si="128">SUM(AW243:BL243)</f>
        <v>0</v>
      </c>
      <c r="BN243" s="257"/>
      <c r="BO243" s="255"/>
      <c r="BP243" s="256"/>
      <c r="BQ243" s="249"/>
      <c r="BR243" s="244"/>
      <c r="BS243" s="225"/>
      <c r="BT243" s="225"/>
      <c r="BU243" s="225"/>
      <c r="BV243" s="147"/>
      <c r="BW243" s="225"/>
      <c r="BX243" s="225"/>
      <c r="BY243" s="225"/>
      <c r="BZ243" s="225"/>
      <c r="CA243" s="225"/>
      <c r="CB243" s="225"/>
      <c r="CC243" s="227">
        <f t="shared" si="116"/>
        <v>0</v>
      </c>
      <c r="CD243" s="244"/>
      <c r="CE243" s="244"/>
      <c r="CF243" s="244"/>
    </row>
    <row r="244" spans="1:84" x14ac:dyDescent="0.2">
      <c r="A244" s="245" t="s">
        <v>24</v>
      </c>
      <c r="B244" s="246" t="s">
        <v>73</v>
      </c>
      <c r="C244" s="246" t="s">
        <v>102</v>
      </c>
      <c r="D244" s="246" t="s">
        <v>146</v>
      </c>
      <c r="E244" s="247" t="s">
        <v>211</v>
      </c>
      <c r="F244" s="247" t="s">
        <v>712</v>
      </c>
      <c r="G244" s="233" t="str">
        <f t="shared" si="119"/>
        <v>1</v>
      </c>
      <c r="H244" s="233" t="str">
        <f t="shared" si="120"/>
        <v>0</v>
      </c>
      <c r="I244" s="233" t="str">
        <f t="shared" si="121"/>
        <v>0</v>
      </c>
      <c r="J244" s="233" t="str">
        <f t="shared" si="122"/>
        <v>0</v>
      </c>
      <c r="K244" s="233" t="str">
        <f t="shared" si="123"/>
        <v>1000</v>
      </c>
      <c r="L244" s="247" t="str">
        <f t="shared" si="124"/>
        <v>11108791District Design and Led 17-20</v>
      </c>
      <c r="M244" s="225">
        <v>26400</v>
      </c>
      <c r="N244" s="255"/>
      <c r="O244" s="255"/>
      <c r="P244" s="255"/>
      <c r="Q244" s="225">
        <f t="shared" si="125"/>
        <v>26400</v>
      </c>
      <c r="R244" s="225">
        <v>25550</v>
      </c>
      <c r="S244" s="225">
        <v>0</v>
      </c>
      <c r="T244" s="255"/>
      <c r="U244" s="225">
        <v>-14419</v>
      </c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25">
        <f t="shared" si="126"/>
        <v>37531</v>
      </c>
      <c r="AG244" s="255"/>
      <c r="AH244" s="255">
        <v>0</v>
      </c>
      <c r="AI244" s="255"/>
      <c r="AJ244" s="225">
        <v>-9600</v>
      </c>
      <c r="AK244" s="225">
        <v>-2381</v>
      </c>
      <c r="AL244" s="225">
        <v>-19</v>
      </c>
      <c r="AM244" s="255"/>
      <c r="AN244" s="255">
        <v>0</v>
      </c>
      <c r="AO244" s="255">
        <v>0</v>
      </c>
      <c r="AP244" s="255"/>
      <c r="AQ244" s="255"/>
      <c r="AR244" s="255"/>
      <c r="AS244" s="255"/>
      <c r="AT244" s="256">
        <v>0</v>
      </c>
      <c r="AU244" s="256">
        <v>0</v>
      </c>
      <c r="AV244" s="256">
        <v>0</v>
      </c>
      <c r="AW244" s="227">
        <f t="shared" si="127"/>
        <v>25531</v>
      </c>
      <c r="AX244" s="257">
        <v>0</v>
      </c>
      <c r="AY244" s="255">
        <v>0</v>
      </c>
      <c r="AZ244" s="258"/>
      <c r="BA244" s="259">
        <v>0</v>
      </c>
      <c r="BB244" s="225">
        <v>0</v>
      </c>
      <c r="BC244" s="255">
        <v>0</v>
      </c>
      <c r="BD244" s="255">
        <v>0</v>
      </c>
      <c r="BE244" s="255"/>
      <c r="BF244" s="255"/>
      <c r="BG244" s="255">
        <v>0</v>
      </c>
      <c r="BH244" s="255">
        <v>0</v>
      </c>
      <c r="BI244" s="255">
        <v>0</v>
      </c>
      <c r="BJ244" s="256"/>
      <c r="BK244" s="256"/>
      <c r="BL244" s="256"/>
      <c r="BM244" s="248">
        <f t="shared" si="128"/>
        <v>25531</v>
      </c>
      <c r="BN244" s="257"/>
      <c r="BO244" s="255"/>
      <c r="BP244" s="256"/>
      <c r="BQ244" s="249"/>
      <c r="BR244" s="225"/>
      <c r="BS244" s="225"/>
      <c r="BT244" s="225"/>
      <c r="BU244" s="225"/>
      <c r="BV244" s="225"/>
      <c r="BW244" s="225"/>
      <c r="BX244" s="225"/>
      <c r="BY244" s="225"/>
      <c r="BZ244" s="225"/>
      <c r="CA244" s="225"/>
      <c r="CB244" s="225"/>
      <c r="CC244" s="227">
        <f t="shared" si="116"/>
        <v>25531</v>
      </c>
      <c r="CD244" s="244"/>
      <c r="CE244" s="244"/>
      <c r="CF244" s="244"/>
    </row>
    <row r="245" spans="1:84" x14ac:dyDescent="0.2">
      <c r="A245" s="245" t="s">
        <v>16</v>
      </c>
      <c r="B245" s="246" t="s">
        <v>34</v>
      </c>
      <c r="C245" s="246" t="s">
        <v>96</v>
      </c>
      <c r="D245" s="246" t="s">
        <v>111</v>
      </c>
      <c r="E245" s="247" t="s">
        <v>211</v>
      </c>
      <c r="F245" s="247" t="s">
        <v>712</v>
      </c>
      <c r="G245" s="233" t="str">
        <f t="shared" si="119"/>
        <v>1</v>
      </c>
      <c r="H245" s="233" t="str">
        <f t="shared" si="120"/>
        <v>0</v>
      </c>
      <c r="I245" s="233" t="str">
        <f t="shared" si="121"/>
        <v>0</v>
      </c>
      <c r="J245" s="233" t="str">
        <f t="shared" si="122"/>
        <v>0</v>
      </c>
      <c r="K245" s="233" t="str">
        <f t="shared" si="123"/>
        <v>1000</v>
      </c>
      <c r="L245" s="247" t="str">
        <f t="shared" si="124"/>
        <v>1180N/ADistrict Design and Led 17-20</v>
      </c>
      <c r="M245" s="225">
        <v>24563</v>
      </c>
      <c r="N245" s="255"/>
      <c r="O245" s="255"/>
      <c r="P245" s="255"/>
      <c r="Q245" s="225">
        <f t="shared" si="125"/>
        <v>24563</v>
      </c>
      <c r="R245" s="225">
        <v>12250</v>
      </c>
      <c r="S245" s="225">
        <v>0</v>
      </c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25">
        <f t="shared" si="126"/>
        <v>36813</v>
      </c>
      <c r="AG245" s="225">
        <v>9261</v>
      </c>
      <c r="AH245" s="225">
        <v>0</v>
      </c>
      <c r="AI245" s="225"/>
      <c r="AJ245" s="255"/>
      <c r="AK245" s="255"/>
      <c r="AL245" s="255"/>
      <c r="AM245" s="255"/>
      <c r="AN245" s="255">
        <v>0</v>
      </c>
      <c r="AO245" s="255">
        <v>0</v>
      </c>
      <c r="AP245" s="255"/>
      <c r="AQ245" s="255"/>
      <c r="AR245" s="255"/>
      <c r="AS245" s="255"/>
      <c r="AT245" s="256">
        <v>0</v>
      </c>
      <c r="AU245" s="256">
        <v>0</v>
      </c>
      <c r="AV245" s="256">
        <v>0</v>
      </c>
      <c r="AW245" s="227">
        <f t="shared" si="127"/>
        <v>46074</v>
      </c>
      <c r="AX245" s="249">
        <v>0</v>
      </c>
      <c r="AY245" s="225">
        <v>0</v>
      </c>
      <c r="AZ245" s="227"/>
      <c r="BA245" s="259">
        <v>0</v>
      </c>
      <c r="BB245" s="225">
        <v>0</v>
      </c>
      <c r="BC245" s="255">
        <v>0</v>
      </c>
      <c r="BD245" s="255">
        <v>0</v>
      </c>
      <c r="BE245" s="255"/>
      <c r="BF245" s="255"/>
      <c r="BG245" s="255">
        <v>0</v>
      </c>
      <c r="BH245" s="255">
        <v>0</v>
      </c>
      <c r="BI245" s="255">
        <v>0</v>
      </c>
      <c r="BJ245" s="256"/>
      <c r="BK245" s="256"/>
      <c r="BL245" s="256"/>
      <c r="BM245" s="248">
        <f t="shared" si="128"/>
        <v>46074</v>
      </c>
      <c r="BN245" s="249"/>
      <c r="BO245" s="225"/>
      <c r="BP245" s="248"/>
      <c r="BQ245" s="249"/>
      <c r="BR245" s="225"/>
      <c r="BS245" s="225"/>
      <c r="BT245" s="225"/>
      <c r="BU245" s="225"/>
      <c r="BV245" s="225"/>
      <c r="BW245" s="225"/>
      <c r="BX245" s="225"/>
      <c r="BY245" s="225"/>
      <c r="BZ245" s="225"/>
      <c r="CA245" s="225"/>
      <c r="CB245" s="225"/>
      <c r="CC245" s="227">
        <f t="shared" si="116"/>
        <v>46074</v>
      </c>
      <c r="CD245" s="244"/>
      <c r="CE245" s="244"/>
      <c r="CF245" s="244"/>
    </row>
    <row r="246" spans="1:84" x14ac:dyDescent="0.2">
      <c r="A246" s="245" t="s">
        <v>25</v>
      </c>
      <c r="B246" s="246" t="s">
        <v>34</v>
      </c>
      <c r="C246" s="246" t="s">
        <v>103</v>
      </c>
      <c r="D246" s="246" t="s">
        <v>111</v>
      </c>
      <c r="E246" s="247" t="s">
        <v>211</v>
      </c>
      <c r="F246" s="247" t="s">
        <v>712</v>
      </c>
      <c r="G246" s="233" t="str">
        <f t="shared" si="119"/>
        <v>1</v>
      </c>
      <c r="H246" s="233" t="str">
        <f t="shared" si="120"/>
        <v>0</v>
      </c>
      <c r="I246" s="233" t="str">
        <f t="shared" si="121"/>
        <v>0</v>
      </c>
      <c r="J246" s="233" t="str">
        <f t="shared" si="122"/>
        <v>0</v>
      </c>
      <c r="K246" s="233" t="str">
        <f t="shared" si="123"/>
        <v>1000</v>
      </c>
      <c r="L246" s="247" t="str">
        <f t="shared" si="124"/>
        <v>1420N/ADistrict Design and Led 17-20</v>
      </c>
      <c r="M246" s="225">
        <v>672568</v>
      </c>
      <c r="N246" s="255"/>
      <c r="O246" s="255"/>
      <c r="P246" s="255"/>
      <c r="Q246" s="225">
        <f t="shared" si="125"/>
        <v>672568</v>
      </c>
      <c r="R246" s="225">
        <v>503586</v>
      </c>
      <c r="S246" s="225">
        <v>0</v>
      </c>
      <c r="T246" s="255"/>
      <c r="U246" s="255"/>
      <c r="V246" s="255"/>
      <c r="W246" s="255"/>
      <c r="X246" s="225">
        <v>-89713</v>
      </c>
      <c r="Y246" s="225">
        <v>-42819</v>
      </c>
      <c r="Z246" s="225">
        <v>-45718</v>
      </c>
      <c r="AA246" s="225">
        <v>-38516</v>
      </c>
      <c r="AB246" s="225">
        <v>-57368</v>
      </c>
      <c r="AC246" s="225">
        <v>-63018</v>
      </c>
      <c r="AD246" s="225">
        <v>-234948</v>
      </c>
      <c r="AE246" s="225">
        <v>-70996</v>
      </c>
      <c r="AF246" s="225">
        <f t="shared" si="126"/>
        <v>533058</v>
      </c>
      <c r="AG246" s="225">
        <v>522118</v>
      </c>
      <c r="AH246" s="225">
        <v>0</v>
      </c>
      <c r="AI246" s="225"/>
      <c r="AJ246" s="225">
        <v>-113861</v>
      </c>
      <c r="AK246" s="255"/>
      <c r="AL246" s="255"/>
      <c r="AM246" s="255"/>
      <c r="AN246" s="255">
        <v>0</v>
      </c>
      <c r="AO246" s="225">
        <v>-239109.94</v>
      </c>
      <c r="AP246" s="225">
        <v>-69935.789999999994</v>
      </c>
      <c r="AQ246" s="225">
        <v>-269475.26999999996</v>
      </c>
      <c r="AR246" s="255"/>
      <c r="AS246" s="255">
        <v>-244818.06</v>
      </c>
      <c r="AT246" s="256">
        <v>-69986.63</v>
      </c>
      <c r="AU246" s="256">
        <v>-47989.31</v>
      </c>
      <c r="AV246" s="256">
        <v>0</v>
      </c>
      <c r="AW246" s="227">
        <f t="shared" si="127"/>
        <v>5.8207660913467407E-11</v>
      </c>
      <c r="AX246" s="249">
        <v>0</v>
      </c>
      <c r="AY246" s="225">
        <v>0</v>
      </c>
      <c r="AZ246" s="227"/>
      <c r="BA246" s="259">
        <v>0</v>
      </c>
      <c r="BB246" s="225">
        <v>0</v>
      </c>
      <c r="BC246" s="255">
        <v>0</v>
      </c>
      <c r="BD246" s="255">
        <v>0</v>
      </c>
      <c r="BE246" s="225"/>
      <c r="BF246" s="225"/>
      <c r="BG246" s="225">
        <v>0</v>
      </c>
      <c r="BH246" s="255">
        <v>0</v>
      </c>
      <c r="BI246" s="255">
        <v>0</v>
      </c>
      <c r="BJ246" s="256"/>
      <c r="BK246" s="256"/>
      <c r="BL246" s="256"/>
      <c r="BM246" s="248">
        <f t="shared" si="128"/>
        <v>5.8207660913467407E-11</v>
      </c>
      <c r="BN246" s="249"/>
      <c r="BO246" s="225"/>
      <c r="BP246" s="248"/>
      <c r="BQ246" s="249"/>
      <c r="BR246" s="225"/>
      <c r="BS246" s="225"/>
      <c r="BT246" s="225"/>
      <c r="BU246" s="225"/>
      <c r="BV246" s="225"/>
      <c r="BW246" s="225"/>
      <c r="BX246" s="225"/>
      <c r="BY246" s="225"/>
      <c r="BZ246" s="225"/>
      <c r="CA246" s="225"/>
      <c r="CB246" s="225"/>
      <c r="CC246" s="227">
        <f t="shared" si="116"/>
        <v>5.8207660913467407E-11</v>
      </c>
      <c r="CD246" s="244"/>
      <c r="CE246" s="244"/>
      <c r="CF246" s="244"/>
    </row>
    <row r="247" spans="1:84" x14ac:dyDescent="0.2">
      <c r="A247" s="245" t="s">
        <v>25</v>
      </c>
      <c r="B247" s="246" t="s">
        <v>34</v>
      </c>
      <c r="C247" s="246" t="s">
        <v>103</v>
      </c>
      <c r="D247" s="246" t="s">
        <v>111</v>
      </c>
      <c r="E247" s="247" t="s">
        <v>213</v>
      </c>
      <c r="F247" s="247" t="s">
        <v>712</v>
      </c>
      <c r="G247" s="233" t="str">
        <f t="shared" si="119"/>
        <v>0</v>
      </c>
      <c r="H247" s="233" t="str">
        <f t="shared" si="120"/>
        <v>1</v>
      </c>
      <c r="I247" s="233" t="str">
        <f t="shared" si="121"/>
        <v>0</v>
      </c>
      <c r="J247" s="233" t="str">
        <f t="shared" si="122"/>
        <v>0</v>
      </c>
      <c r="K247" s="233" t="str">
        <f t="shared" si="123"/>
        <v>0100</v>
      </c>
      <c r="L247" s="247" t="str">
        <f t="shared" si="124"/>
        <v>1420N/ADistrict Design and Led 18-21</v>
      </c>
      <c r="M247" s="255"/>
      <c r="N247" s="255"/>
      <c r="O247" s="255"/>
      <c r="P247" s="255"/>
      <c r="Q247" s="225">
        <f t="shared" si="125"/>
        <v>0</v>
      </c>
      <c r="R247" s="225"/>
      <c r="S247" s="225">
        <v>184454</v>
      </c>
      <c r="T247" s="25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25">
        <f t="shared" si="126"/>
        <v>184454</v>
      </c>
      <c r="AG247" s="225"/>
      <c r="AH247" s="225">
        <v>547261</v>
      </c>
      <c r="AI247" s="225"/>
      <c r="AJ247" s="255"/>
      <c r="AK247" s="255"/>
      <c r="AL247" s="255"/>
      <c r="AM247" s="255"/>
      <c r="AN247" s="255">
        <v>0</v>
      </c>
      <c r="AO247" s="255">
        <v>0</v>
      </c>
      <c r="AP247" s="255"/>
      <c r="AQ247" s="255"/>
      <c r="AR247" s="255"/>
      <c r="AS247" s="255"/>
      <c r="AT247" s="256">
        <v>0</v>
      </c>
      <c r="AU247" s="256">
        <v>-39949.08</v>
      </c>
      <c r="AV247" s="256">
        <v>-92380.22</v>
      </c>
      <c r="AW247" s="227">
        <f t="shared" si="127"/>
        <v>599385.70000000007</v>
      </c>
      <c r="AX247" s="249">
        <v>968926.63470000005</v>
      </c>
      <c r="AY247" s="225">
        <v>0</v>
      </c>
      <c r="AZ247" s="227"/>
      <c r="BA247" s="259">
        <v>-83044.25</v>
      </c>
      <c r="BB247" s="225">
        <v>0</v>
      </c>
      <c r="BC247" s="255">
        <v>-153547.45000000001</v>
      </c>
      <c r="BD247" s="255">
        <v>-224555.03</v>
      </c>
      <c r="BE247" s="255"/>
      <c r="BF247" s="255"/>
      <c r="BG247" s="255">
        <v>-5118.29</v>
      </c>
      <c r="BH247" s="255">
        <v>-40437.300000000003</v>
      </c>
      <c r="BI247" s="255">
        <v>-78483.740000000005</v>
      </c>
      <c r="BJ247" s="256">
        <v>-112824.47</v>
      </c>
      <c r="BK247" s="256">
        <v>-116272.16</v>
      </c>
      <c r="BL247" s="256">
        <v>-46375.94</v>
      </c>
      <c r="BM247" s="248">
        <f t="shared" si="128"/>
        <v>707653.70469999989</v>
      </c>
      <c r="BN247" s="249"/>
      <c r="BO247" s="225"/>
      <c r="BP247" s="248"/>
      <c r="BQ247" s="249">
        <v>-74665.37</v>
      </c>
      <c r="BR247" s="225"/>
      <c r="BS247" s="225">
        <v>-104517.77</v>
      </c>
      <c r="BT247" s="225"/>
      <c r="BU247" s="147">
        <v>-89926.45</v>
      </c>
      <c r="BV247" s="147">
        <v>-33499.1</v>
      </c>
      <c r="BW247" s="225"/>
      <c r="BX247" s="225">
        <v>-53137.8</v>
      </c>
      <c r="BY247" s="225">
        <v>-26570.1</v>
      </c>
      <c r="BZ247" s="225"/>
      <c r="CA247" s="225"/>
      <c r="CB247" s="225"/>
      <c r="CC247" s="227">
        <f t="shared" si="116"/>
        <v>325337.11469999992</v>
      </c>
      <c r="CD247" s="244"/>
      <c r="CE247" s="244"/>
      <c r="CF247" s="244"/>
    </row>
    <row r="248" spans="1:84" x14ac:dyDescent="0.2">
      <c r="A248" s="245" t="s">
        <v>399</v>
      </c>
      <c r="B248" s="246" t="s">
        <v>34</v>
      </c>
      <c r="C248" s="246" t="s">
        <v>609</v>
      </c>
      <c r="D248" s="246" t="s">
        <v>111</v>
      </c>
      <c r="E248" s="247" t="s">
        <v>213</v>
      </c>
      <c r="F248" s="247" t="s">
        <v>712</v>
      </c>
      <c r="G248" s="233" t="str">
        <f t="shared" si="119"/>
        <v>0</v>
      </c>
      <c r="H248" s="233" t="str">
        <f t="shared" si="120"/>
        <v>1</v>
      </c>
      <c r="I248" s="233" t="str">
        <f t="shared" si="121"/>
        <v>0</v>
      </c>
      <c r="J248" s="233" t="str">
        <f t="shared" si="122"/>
        <v>0</v>
      </c>
      <c r="K248" s="233" t="str">
        <f t="shared" si="123"/>
        <v>0100</v>
      </c>
      <c r="L248" s="247" t="str">
        <f t="shared" si="124"/>
        <v>1510N/ADistrict Design and Led 18-21</v>
      </c>
      <c r="M248" s="255"/>
      <c r="N248" s="255"/>
      <c r="O248" s="255"/>
      <c r="P248" s="255"/>
      <c r="Q248" s="225">
        <f t="shared" si="125"/>
        <v>0</v>
      </c>
      <c r="R248" s="225"/>
      <c r="S248" s="225">
        <v>79283</v>
      </c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25">
        <f t="shared" si="126"/>
        <v>79283</v>
      </c>
      <c r="AG248" s="225"/>
      <c r="AH248" s="225">
        <v>147757</v>
      </c>
      <c r="AI248" s="225"/>
      <c r="AJ248" s="255"/>
      <c r="AK248" s="255"/>
      <c r="AL248" s="255"/>
      <c r="AM248" s="225">
        <v>-19424</v>
      </c>
      <c r="AN248" s="255">
        <v>0</v>
      </c>
      <c r="AO248" s="255">
        <v>0</v>
      </c>
      <c r="AP248" s="225">
        <v>-66159</v>
      </c>
      <c r="AQ248" s="255"/>
      <c r="AR248" s="255"/>
      <c r="AS248" s="255">
        <v>-52235</v>
      </c>
      <c r="AT248" s="256">
        <v>0</v>
      </c>
      <c r="AU248" s="256">
        <v>0</v>
      </c>
      <c r="AV248" s="256">
        <v>0</v>
      </c>
      <c r="AW248" s="227">
        <f t="shared" si="127"/>
        <v>89222</v>
      </c>
      <c r="AX248" s="249">
        <v>158850</v>
      </c>
      <c r="AY248" s="225">
        <v>0</v>
      </c>
      <c r="AZ248" s="227"/>
      <c r="BA248" s="259">
        <v>0</v>
      </c>
      <c r="BB248" s="225">
        <v>0</v>
      </c>
      <c r="BC248" s="225">
        <v>-82725.119999999995</v>
      </c>
      <c r="BD248" s="255">
        <v>0</v>
      </c>
      <c r="BE248" s="255"/>
      <c r="BF248" s="225"/>
      <c r="BG248" s="255">
        <v>-6496.88</v>
      </c>
      <c r="BH248" s="255">
        <v>-64496.88</v>
      </c>
      <c r="BI248" s="255">
        <v>-12880.53</v>
      </c>
      <c r="BJ248" s="256">
        <v>-13230.22</v>
      </c>
      <c r="BK248" s="256">
        <v>-12880.53</v>
      </c>
      <c r="BL248" s="256">
        <v>-45014.6</v>
      </c>
      <c r="BM248" s="248">
        <f t="shared" si="128"/>
        <v>10347.239999999998</v>
      </c>
      <c r="BN248" s="249"/>
      <c r="BO248" s="225"/>
      <c r="BP248" s="248"/>
      <c r="BQ248" s="249"/>
      <c r="BR248" s="225"/>
      <c r="BS248" s="225">
        <v>-10347.24</v>
      </c>
      <c r="BT248" s="225"/>
      <c r="BU248" s="225"/>
      <c r="BV248" s="225"/>
      <c r="BW248" s="225"/>
      <c r="BX248" s="225"/>
      <c r="BY248" s="225"/>
      <c r="BZ248" s="225"/>
      <c r="CA248" s="225"/>
      <c r="CB248" s="225"/>
      <c r="CC248" s="227">
        <f t="shared" si="116"/>
        <v>0</v>
      </c>
      <c r="CD248" s="244"/>
      <c r="CE248" s="244"/>
      <c r="CF248" s="244"/>
    </row>
    <row r="249" spans="1:84" x14ac:dyDescent="0.2">
      <c r="A249" s="245" t="s">
        <v>17</v>
      </c>
      <c r="B249" s="246" t="s">
        <v>40</v>
      </c>
      <c r="C249" s="246" t="s">
        <v>610</v>
      </c>
      <c r="D249" s="246" t="s">
        <v>116</v>
      </c>
      <c r="E249" s="247" t="s">
        <v>213</v>
      </c>
      <c r="F249" s="247" t="s">
        <v>712</v>
      </c>
      <c r="G249" s="233" t="str">
        <f t="shared" si="119"/>
        <v>0</v>
      </c>
      <c r="H249" s="233" t="str">
        <f t="shared" si="120"/>
        <v>1</v>
      </c>
      <c r="I249" s="233" t="str">
        <f t="shared" si="121"/>
        <v>0</v>
      </c>
      <c r="J249" s="233" t="str">
        <f t="shared" si="122"/>
        <v>0</v>
      </c>
      <c r="K249" s="233" t="str">
        <f t="shared" si="123"/>
        <v>0100</v>
      </c>
      <c r="L249" s="247" t="str">
        <f t="shared" si="124"/>
        <v>15203571District Design and Led 18-21</v>
      </c>
      <c r="M249" s="255"/>
      <c r="N249" s="255"/>
      <c r="O249" s="255"/>
      <c r="P249" s="255"/>
      <c r="Q249" s="225">
        <f t="shared" si="125"/>
        <v>0</v>
      </c>
      <c r="R249" s="225"/>
      <c r="S249" s="225">
        <v>22493</v>
      </c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25">
        <v>-1539</v>
      </c>
      <c r="AE249" s="225">
        <v>-20695</v>
      </c>
      <c r="AF249" s="225">
        <f t="shared" si="126"/>
        <v>259</v>
      </c>
      <c r="AG249" s="225"/>
      <c r="AH249" s="225">
        <v>46645</v>
      </c>
      <c r="AI249" s="225"/>
      <c r="AJ249" s="255"/>
      <c r="AK249" s="255"/>
      <c r="AL249" s="255"/>
      <c r="AM249" s="255"/>
      <c r="AN249" s="255">
        <v>0</v>
      </c>
      <c r="AO249" s="255">
        <v>0</v>
      </c>
      <c r="AP249" s="255"/>
      <c r="AQ249" s="255"/>
      <c r="AR249" s="255"/>
      <c r="AS249" s="255">
        <v>-28684.03</v>
      </c>
      <c r="AT249" s="256">
        <v>0</v>
      </c>
      <c r="AU249" s="256">
        <v>0</v>
      </c>
      <c r="AV249" s="256">
        <v>0</v>
      </c>
      <c r="AW249" s="227">
        <f t="shared" si="127"/>
        <v>18219.97</v>
      </c>
      <c r="AX249" s="249">
        <v>51220</v>
      </c>
      <c r="AY249" s="225">
        <v>0</v>
      </c>
      <c r="AZ249" s="227"/>
      <c r="BA249" s="259">
        <v>0</v>
      </c>
      <c r="BB249" s="225">
        <v>0</v>
      </c>
      <c r="BC249" s="255">
        <v>0</v>
      </c>
      <c r="BD249" s="255">
        <v>-15508.46</v>
      </c>
      <c r="BE249" s="255"/>
      <c r="BF249" s="255"/>
      <c r="BG249" s="255">
        <v>0</v>
      </c>
      <c r="BH249" s="255">
        <v>0</v>
      </c>
      <c r="BI249" s="255">
        <v>0</v>
      </c>
      <c r="BJ249" s="256"/>
      <c r="BK249" s="256" t="s">
        <v>701</v>
      </c>
      <c r="BL249" s="256" t="s">
        <v>701</v>
      </c>
      <c r="BM249" s="248">
        <f t="shared" si="128"/>
        <v>53931.51</v>
      </c>
      <c r="BN249" s="249"/>
      <c r="BO249" s="225"/>
      <c r="BP249" s="248"/>
      <c r="BQ249" s="249"/>
      <c r="BR249" s="225"/>
      <c r="BS249" s="225"/>
      <c r="BT249" s="225"/>
      <c r="BU249" s="225"/>
      <c r="BV249" s="225"/>
      <c r="BW249" s="225"/>
      <c r="BX249" s="225"/>
      <c r="BY249" s="225"/>
      <c r="BZ249" s="225"/>
      <c r="CA249" s="225"/>
      <c r="CB249" s="225"/>
      <c r="CC249" s="227">
        <f t="shared" si="116"/>
        <v>53931.51</v>
      </c>
      <c r="CD249" s="244"/>
      <c r="CE249" s="244"/>
      <c r="CF249" s="244"/>
    </row>
    <row r="250" spans="1:84" x14ac:dyDescent="0.2">
      <c r="A250" s="245" t="s">
        <v>26</v>
      </c>
      <c r="B250" s="246" t="s">
        <v>75</v>
      </c>
      <c r="C250" s="246" t="s">
        <v>104</v>
      </c>
      <c r="D250" s="246" t="s">
        <v>148</v>
      </c>
      <c r="E250" s="247" t="s">
        <v>214</v>
      </c>
      <c r="F250" s="247" t="s">
        <v>712</v>
      </c>
      <c r="G250" s="233" t="str">
        <f t="shared" si="119"/>
        <v>0</v>
      </c>
      <c r="H250" s="233" t="str">
        <f t="shared" si="120"/>
        <v>0</v>
      </c>
      <c r="I250" s="233" t="str">
        <f t="shared" si="121"/>
        <v>0</v>
      </c>
      <c r="J250" s="233" t="str">
        <f t="shared" si="122"/>
        <v>0</v>
      </c>
      <c r="K250" s="233" t="str">
        <f t="shared" si="123"/>
        <v>0000</v>
      </c>
      <c r="L250" s="247" t="str">
        <f t="shared" si="124"/>
        <v>15404252District Design and Led 19-22</v>
      </c>
      <c r="M250" s="225"/>
      <c r="N250" s="225"/>
      <c r="O250" s="225"/>
      <c r="P250" s="225"/>
      <c r="Q250" s="225"/>
      <c r="R250" s="225"/>
      <c r="S250" s="225">
        <v>0</v>
      </c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5"/>
      <c r="AF250" s="225">
        <f t="shared" si="126"/>
        <v>0</v>
      </c>
      <c r="AG250" s="225"/>
      <c r="AH250" s="225">
        <v>0</v>
      </c>
      <c r="AI250" s="225"/>
      <c r="AJ250" s="225"/>
      <c r="AK250" s="225"/>
      <c r="AL250" s="225"/>
      <c r="AM250" s="225"/>
      <c r="AN250" s="225">
        <v>0</v>
      </c>
      <c r="AO250" s="225">
        <v>0</v>
      </c>
      <c r="AP250" s="225"/>
      <c r="AQ250" s="225"/>
      <c r="AR250" s="225"/>
      <c r="AS250" s="225"/>
      <c r="AT250" s="248"/>
      <c r="AU250" s="248"/>
      <c r="AV250" s="248"/>
      <c r="AW250" s="227">
        <f t="shared" si="127"/>
        <v>0</v>
      </c>
      <c r="AX250" s="249">
        <v>0</v>
      </c>
      <c r="AY250" s="225">
        <v>82875</v>
      </c>
      <c r="AZ250" s="227"/>
      <c r="BA250" s="250"/>
      <c r="BB250" s="225">
        <v>0</v>
      </c>
      <c r="BC250" s="225">
        <v>0</v>
      </c>
      <c r="BD250" s="225">
        <v>0</v>
      </c>
      <c r="BE250" s="225"/>
      <c r="BF250" s="225"/>
      <c r="BG250" s="225">
        <v>0</v>
      </c>
      <c r="BH250" s="225">
        <v>-38283</v>
      </c>
      <c r="BI250" s="225">
        <v>0</v>
      </c>
      <c r="BJ250" s="248"/>
      <c r="BK250" s="248"/>
      <c r="BL250" s="248">
        <v>-44592</v>
      </c>
      <c r="BM250" s="248">
        <f t="shared" si="128"/>
        <v>0</v>
      </c>
      <c r="BN250" s="249"/>
      <c r="BO250" s="225">
        <v>82875</v>
      </c>
      <c r="BP250" s="248"/>
      <c r="BQ250" s="249"/>
      <c r="BR250" s="225"/>
      <c r="BS250" s="225"/>
      <c r="BT250" s="225"/>
      <c r="BU250" s="225">
        <v>-6779.44</v>
      </c>
      <c r="BV250" s="225"/>
      <c r="BW250" s="225"/>
      <c r="BX250" s="225"/>
      <c r="BY250" s="225"/>
      <c r="BZ250" s="225"/>
      <c r="CA250" s="225"/>
      <c r="CB250" s="225"/>
      <c r="CC250" s="227">
        <f t="shared" si="116"/>
        <v>76095.56</v>
      </c>
      <c r="CD250" s="244"/>
      <c r="CE250" s="244"/>
      <c r="CF250" s="244"/>
    </row>
    <row r="251" spans="1:84" x14ac:dyDescent="0.2">
      <c r="A251" s="245" t="s">
        <v>27</v>
      </c>
      <c r="B251" s="246" t="s">
        <v>76</v>
      </c>
      <c r="C251" s="246" t="s">
        <v>105</v>
      </c>
      <c r="D251" s="246" t="s">
        <v>149</v>
      </c>
      <c r="E251" s="247" t="s">
        <v>211</v>
      </c>
      <c r="F251" s="247" t="s">
        <v>712</v>
      </c>
      <c r="G251" s="233" t="str">
        <f t="shared" si="119"/>
        <v>1</v>
      </c>
      <c r="H251" s="233" t="str">
        <f t="shared" si="120"/>
        <v>0</v>
      </c>
      <c r="I251" s="233" t="str">
        <f t="shared" si="121"/>
        <v>0</v>
      </c>
      <c r="J251" s="233" t="str">
        <f t="shared" si="122"/>
        <v>0</v>
      </c>
      <c r="K251" s="233" t="str">
        <f t="shared" si="123"/>
        <v>1000</v>
      </c>
      <c r="L251" s="247" t="str">
        <f t="shared" si="124"/>
        <v>15500612District Design and Led 17-20</v>
      </c>
      <c r="M251" s="225">
        <v>48559</v>
      </c>
      <c r="N251" s="255"/>
      <c r="O251" s="255"/>
      <c r="P251" s="255"/>
      <c r="Q251" s="225">
        <f>SUM(M251:P251)</f>
        <v>48559</v>
      </c>
      <c r="R251" s="225">
        <v>48286</v>
      </c>
      <c r="S251" s="225">
        <v>0</v>
      </c>
      <c r="T251" s="225">
        <v>-18280</v>
      </c>
      <c r="U251" s="255"/>
      <c r="V251" s="255"/>
      <c r="W251" s="225">
        <v>-4434</v>
      </c>
      <c r="X251" s="255"/>
      <c r="Y251" s="255"/>
      <c r="Z251" s="255"/>
      <c r="AA251" s="225">
        <v>-9710</v>
      </c>
      <c r="AB251" s="255"/>
      <c r="AC251" s="225">
        <v>-7454</v>
      </c>
      <c r="AD251" s="255"/>
      <c r="AE251" s="255"/>
      <c r="AF251" s="225">
        <f t="shared" si="126"/>
        <v>56967</v>
      </c>
      <c r="AG251" s="225">
        <v>61738</v>
      </c>
      <c r="AH251" s="225">
        <v>0</v>
      </c>
      <c r="AI251" s="225"/>
      <c r="AJ251" s="225">
        <v>-20388</v>
      </c>
      <c r="AK251" s="255"/>
      <c r="AL251" s="255"/>
      <c r="AM251" s="255"/>
      <c r="AN251" s="225">
        <v>-6011.5</v>
      </c>
      <c r="AO251" s="255">
        <v>0</v>
      </c>
      <c r="AP251" s="225"/>
      <c r="AQ251" s="225">
        <v>-10164.709999999999</v>
      </c>
      <c r="AR251" s="255"/>
      <c r="AS251" s="255"/>
      <c r="AT251" s="256">
        <v>-2492.5</v>
      </c>
      <c r="AU251" s="256">
        <v>0</v>
      </c>
      <c r="AV251" s="256">
        <v>-10080</v>
      </c>
      <c r="AW251" s="227">
        <f t="shared" si="127"/>
        <v>69568.290000000008</v>
      </c>
      <c r="AX251" s="249">
        <v>0</v>
      </c>
      <c r="AY251" s="225">
        <v>0</v>
      </c>
      <c r="AZ251" s="227"/>
      <c r="BA251" s="259">
        <v>-12089.970000000001</v>
      </c>
      <c r="BB251" s="225">
        <v>0</v>
      </c>
      <c r="BC251" s="255">
        <v>0</v>
      </c>
      <c r="BD251" s="225">
        <v>-15539.39</v>
      </c>
      <c r="BE251" s="255"/>
      <c r="BF251" s="225"/>
      <c r="BG251" s="225">
        <v>-1906.19</v>
      </c>
      <c r="BH251" s="255">
        <v>0</v>
      </c>
      <c r="BI251" s="255">
        <v>0</v>
      </c>
      <c r="BJ251" s="256">
        <v>-8920.58</v>
      </c>
      <c r="BK251" s="256"/>
      <c r="BL251" s="256">
        <v>-10058.6</v>
      </c>
      <c r="BM251" s="248">
        <f t="shared" si="128"/>
        <v>21053.560000000005</v>
      </c>
      <c r="BN251" s="249"/>
      <c r="BO251" s="225"/>
      <c r="BP251" s="248"/>
      <c r="BQ251" s="249">
        <v>-3489.94</v>
      </c>
      <c r="BR251" s="225"/>
      <c r="BS251" s="225"/>
      <c r="BT251" s="225">
        <v>-3489.94</v>
      </c>
      <c r="BU251" s="225"/>
      <c r="BV251" s="225"/>
      <c r="BW251" s="225"/>
      <c r="BX251" s="225"/>
      <c r="BY251" s="225"/>
      <c r="BZ251" s="225"/>
      <c r="CA251" s="225"/>
      <c r="CB251" s="225" t="s">
        <v>701</v>
      </c>
      <c r="CC251" s="227">
        <f t="shared" si="116"/>
        <v>14073.680000000006</v>
      </c>
      <c r="CD251" s="244"/>
      <c r="CE251" s="244"/>
      <c r="CF251" s="244"/>
    </row>
    <row r="252" spans="1:84" x14ac:dyDescent="0.2">
      <c r="A252" s="245" t="s">
        <v>27</v>
      </c>
      <c r="B252" s="246" t="s">
        <v>778</v>
      </c>
      <c r="C252" s="246" t="s">
        <v>105</v>
      </c>
      <c r="D252" s="246" t="s">
        <v>779</v>
      </c>
      <c r="E252" s="247" t="s">
        <v>456</v>
      </c>
      <c r="F252" s="247"/>
      <c r="G252" s="233"/>
      <c r="H252" s="233"/>
      <c r="I252" s="233"/>
      <c r="J252" s="233"/>
      <c r="K252" s="233"/>
      <c r="L252" s="247"/>
      <c r="M252" s="225"/>
      <c r="N252" s="255"/>
      <c r="O252" s="255"/>
      <c r="P252" s="255"/>
      <c r="Q252" s="225"/>
      <c r="R252" s="225"/>
      <c r="S252" s="225"/>
      <c r="T252" s="225"/>
      <c r="U252" s="255"/>
      <c r="V252" s="255"/>
      <c r="W252" s="225"/>
      <c r="X252" s="255"/>
      <c r="Y252" s="255"/>
      <c r="Z252" s="255">
        <v>25000</v>
      </c>
      <c r="AA252" s="225"/>
      <c r="AB252" s="255"/>
      <c r="AC252" s="225"/>
      <c r="AD252" s="255">
        <v>25000</v>
      </c>
      <c r="AE252" s="255"/>
      <c r="AF252" s="225"/>
      <c r="AG252" s="225"/>
      <c r="AH252" s="225"/>
      <c r="AI252" s="225"/>
      <c r="AJ252" s="225"/>
      <c r="AK252" s="255"/>
      <c r="AL252" s="255"/>
      <c r="AM252" s="255"/>
      <c r="AN252" s="225"/>
      <c r="AO252" s="255"/>
      <c r="AP252" s="225"/>
      <c r="AQ252" s="225"/>
      <c r="AR252" s="255"/>
      <c r="AS252" s="255"/>
      <c r="AT252" s="256">
        <v>-10000</v>
      </c>
      <c r="AU252" s="256">
        <v>0</v>
      </c>
      <c r="AV252" s="256">
        <v>0</v>
      </c>
      <c r="AW252" s="227">
        <v>-10000</v>
      </c>
      <c r="AX252" s="249">
        <v>15000</v>
      </c>
      <c r="AY252" s="225"/>
      <c r="AZ252" s="227">
        <v>25000</v>
      </c>
      <c r="BA252" s="259"/>
      <c r="BB252" s="225"/>
      <c r="BC252" s="255"/>
      <c r="BD252" s="225"/>
      <c r="BE252" s="255"/>
      <c r="BF252" s="225"/>
      <c r="BG252" s="225"/>
      <c r="BH252" s="255"/>
      <c r="BI252" s="255"/>
      <c r="BJ252" s="256"/>
      <c r="BK252" s="256"/>
      <c r="BL252" s="256"/>
      <c r="BM252" s="248">
        <v>25000</v>
      </c>
      <c r="BN252" s="249"/>
      <c r="BO252" s="225"/>
      <c r="BP252" s="248"/>
      <c r="BQ252" s="249"/>
      <c r="BR252" s="225"/>
      <c r="BS252" s="225"/>
      <c r="BT252" s="225"/>
      <c r="BU252" s="225"/>
      <c r="BV252" s="225"/>
      <c r="BW252" s="225">
        <v>-10000</v>
      </c>
      <c r="BX252" s="225"/>
      <c r="BY252" s="225"/>
      <c r="BZ252" s="225"/>
      <c r="CA252" s="225"/>
      <c r="CB252" s="225"/>
      <c r="CC252" s="227">
        <f t="shared" si="116"/>
        <v>15000</v>
      </c>
      <c r="CD252" s="244"/>
      <c r="CE252" s="244"/>
      <c r="CF252" s="244"/>
    </row>
    <row r="253" spans="1:84" x14ac:dyDescent="0.2">
      <c r="A253" s="245" t="s">
        <v>27</v>
      </c>
      <c r="B253" s="246" t="s">
        <v>77</v>
      </c>
      <c r="C253" s="246" t="s">
        <v>105</v>
      </c>
      <c r="D253" s="246" t="s">
        <v>150</v>
      </c>
      <c r="E253" s="247" t="s">
        <v>211</v>
      </c>
      <c r="F253" s="247" t="s">
        <v>712</v>
      </c>
      <c r="G253" s="233" t="str">
        <f t="shared" ref="G253:G263" si="129">IF(M253&gt;0, "1", "0")</f>
        <v>1</v>
      </c>
      <c r="H253" s="233" t="str">
        <f t="shared" ref="H253:H263" si="130">IF(S253&gt;0, "1", "0")</f>
        <v>0</v>
      </c>
      <c r="I253" s="233" t="str">
        <f t="shared" ref="I253:I263" si="131">IF(AI253&gt;0, "1", "0")</f>
        <v>0</v>
      </c>
      <c r="J253" s="233" t="str">
        <f t="shared" ref="J253:J263" si="132">IF(AZ253&gt;0, "1", "0")</f>
        <v>0</v>
      </c>
      <c r="K253" s="233" t="str">
        <f t="shared" ref="K253:K263" si="133">CONCATENATE(G253,H253,I253,J253)</f>
        <v>1000</v>
      </c>
      <c r="L253" s="247" t="str">
        <f t="shared" ref="L253:L263" si="134">A253&amp;B253&amp;E253</f>
        <v>15500678District Design and Led 17-20</v>
      </c>
      <c r="M253" s="225">
        <v>45071</v>
      </c>
      <c r="N253" s="255"/>
      <c r="O253" s="255"/>
      <c r="P253" s="255"/>
      <c r="Q253" s="225">
        <f t="shared" ref="Q253:Q259" si="135">SUM(M253:P253)</f>
        <v>45071</v>
      </c>
      <c r="R253" s="225">
        <v>48103</v>
      </c>
      <c r="S253" s="225">
        <v>0</v>
      </c>
      <c r="T253" s="225">
        <v>-6413</v>
      </c>
      <c r="U253" s="255"/>
      <c r="V253" s="255"/>
      <c r="W253" s="225">
        <v>-2449</v>
      </c>
      <c r="X253" s="255"/>
      <c r="Y253" s="255"/>
      <c r="Z253" s="255"/>
      <c r="AA253" s="225">
        <v>-17620</v>
      </c>
      <c r="AB253" s="255"/>
      <c r="AC253" s="225">
        <v>-16615</v>
      </c>
      <c r="AD253" s="255"/>
      <c r="AE253" s="225">
        <v>-7113</v>
      </c>
      <c r="AF253" s="225">
        <f t="shared" ref="AF253:AF263" si="136">SUM(Q253:AE253)</f>
        <v>42964</v>
      </c>
      <c r="AG253" s="225">
        <v>46929</v>
      </c>
      <c r="AH253" s="225">
        <v>0</v>
      </c>
      <c r="AI253" s="225"/>
      <c r="AJ253" s="225">
        <v>-2410</v>
      </c>
      <c r="AK253" s="255"/>
      <c r="AL253" s="255"/>
      <c r="AM253" s="255"/>
      <c r="AN253" s="225">
        <v>-4021.03</v>
      </c>
      <c r="AO253" s="255">
        <v>0</v>
      </c>
      <c r="AP253" s="225">
        <v>-2284.2799999999997</v>
      </c>
      <c r="AQ253" s="225">
        <v>-23901.51</v>
      </c>
      <c r="AR253" s="255"/>
      <c r="AS253" s="255"/>
      <c r="AT253" s="256">
        <v>-21512.01</v>
      </c>
      <c r="AU253" s="256">
        <v>0</v>
      </c>
      <c r="AV253" s="256">
        <v>-12616.94</v>
      </c>
      <c r="AW253" s="227">
        <f t="shared" ref="AW253:AW263" si="137">SUM(AF253:AV253)</f>
        <v>23147.23000000001</v>
      </c>
      <c r="AX253" s="249">
        <v>0</v>
      </c>
      <c r="AY253" s="225">
        <v>0</v>
      </c>
      <c r="AZ253" s="227"/>
      <c r="BA253" s="259">
        <v>-3995.08</v>
      </c>
      <c r="BB253" s="225">
        <v>0</v>
      </c>
      <c r="BC253" s="255">
        <v>0</v>
      </c>
      <c r="BD253" s="225">
        <v>-11682.359999999999</v>
      </c>
      <c r="BE253" s="255"/>
      <c r="BF253" s="225"/>
      <c r="BG253" s="225">
        <v>-1933.52</v>
      </c>
      <c r="BH253" s="255">
        <v>0</v>
      </c>
      <c r="BI253" s="255">
        <v>0</v>
      </c>
      <c r="BJ253" s="256">
        <v>-1793.46</v>
      </c>
      <c r="BK253" s="256"/>
      <c r="BL253" s="256">
        <v>-1195.6400000000001</v>
      </c>
      <c r="BM253" s="248">
        <f t="shared" ref="BM253:BM284" si="138">SUM(AW253:BL253)</f>
        <v>2547.1700000000092</v>
      </c>
      <c r="BN253" s="249"/>
      <c r="BO253" s="225"/>
      <c r="BP253" s="248"/>
      <c r="BQ253" s="249">
        <v>-597.82000000000005</v>
      </c>
      <c r="BR253" s="225"/>
      <c r="BS253" s="225"/>
      <c r="BT253" s="225">
        <v>-597.82000000000005</v>
      </c>
      <c r="BU253" s="225"/>
      <c r="BV253" s="225"/>
      <c r="BW253" s="225"/>
      <c r="BX253" s="225"/>
      <c r="BY253" s="225"/>
      <c r="BZ253" s="225"/>
      <c r="CA253" s="225"/>
      <c r="CB253" s="225" t="s">
        <v>701</v>
      </c>
      <c r="CC253" s="227">
        <f t="shared" si="116"/>
        <v>1351.5300000000088</v>
      </c>
      <c r="CD253" s="244"/>
      <c r="CE253" s="244"/>
      <c r="CF253" s="244"/>
    </row>
    <row r="254" spans="1:84" x14ac:dyDescent="0.2">
      <c r="A254" s="245" t="s">
        <v>27</v>
      </c>
      <c r="B254" s="246" t="s">
        <v>78</v>
      </c>
      <c r="C254" s="246" t="s">
        <v>105</v>
      </c>
      <c r="D254" s="246" t="s">
        <v>151</v>
      </c>
      <c r="E254" s="247" t="s">
        <v>211</v>
      </c>
      <c r="F254" s="247" t="s">
        <v>712</v>
      </c>
      <c r="G254" s="233" t="str">
        <f t="shared" si="129"/>
        <v>1</v>
      </c>
      <c r="H254" s="233" t="str">
        <f t="shared" si="130"/>
        <v>0</v>
      </c>
      <c r="I254" s="233" t="str">
        <f t="shared" si="131"/>
        <v>0</v>
      </c>
      <c r="J254" s="233" t="str">
        <f t="shared" si="132"/>
        <v>0</v>
      </c>
      <c r="K254" s="233" t="str">
        <f t="shared" si="133"/>
        <v>1000</v>
      </c>
      <c r="L254" s="247" t="str">
        <f t="shared" si="134"/>
        <v>15503760District Design and Led 17-20</v>
      </c>
      <c r="M254" s="225">
        <v>34841</v>
      </c>
      <c r="N254" s="255"/>
      <c r="O254" s="255"/>
      <c r="P254" s="255"/>
      <c r="Q254" s="225">
        <f t="shared" si="135"/>
        <v>34841</v>
      </c>
      <c r="R254" s="225">
        <v>35628</v>
      </c>
      <c r="S254" s="225">
        <v>0</v>
      </c>
      <c r="T254" s="225">
        <v>-356</v>
      </c>
      <c r="U254" s="255"/>
      <c r="V254" s="255"/>
      <c r="W254" s="225">
        <v>0</v>
      </c>
      <c r="X254" s="255"/>
      <c r="Y254" s="255"/>
      <c r="Z254" s="255"/>
      <c r="AA254" s="255"/>
      <c r="AB254" s="255"/>
      <c r="AC254" s="255"/>
      <c r="AD254" s="255"/>
      <c r="AE254" s="255"/>
      <c r="AF254" s="225">
        <f t="shared" si="136"/>
        <v>70113</v>
      </c>
      <c r="AG254" s="225">
        <v>-64432</v>
      </c>
      <c r="AH254" s="225">
        <v>0</v>
      </c>
      <c r="AI254" s="225"/>
      <c r="AJ254" s="255"/>
      <c r="AK254" s="255"/>
      <c r="AL254" s="255"/>
      <c r="AM254" s="255"/>
      <c r="AN254" s="255">
        <v>0</v>
      </c>
      <c r="AO254" s="255">
        <v>0</v>
      </c>
      <c r="AP254" s="255"/>
      <c r="AQ254" s="225">
        <v>-3145.77</v>
      </c>
      <c r="AR254" s="255"/>
      <c r="AS254" s="255"/>
      <c r="AT254" s="256">
        <v>0</v>
      </c>
      <c r="AU254" s="256">
        <v>0</v>
      </c>
      <c r="AV254" s="256">
        <v>0</v>
      </c>
      <c r="AW254" s="227">
        <f t="shared" si="137"/>
        <v>2535.23</v>
      </c>
      <c r="AX254" s="249">
        <v>0</v>
      </c>
      <c r="AY254" s="225">
        <v>0</v>
      </c>
      <c r="AZ254" s="227"/>
      <c r="BA254" s="259">
        <v>0</v>
      </c>
      <c r="BB254" s="225">
        <v>0</v>
      </c>
      <c r="BC254" s="255">
        <v>0</v>
      </c>
      <c r="BD254" s="255">
        <v>0</v>
      </c>
      <c r="BE254" s="255"/>
      <c r="BF254" s="255"/>
      <c r="BG254" s="225">
        <v>0</v>
      </c>
      <c r="BH254" s="255">
        <v>0</v>
      </c>
      <c r="BI254" s="255">
        <v>0</v>
      </c>
      <c r="BJ254" s="256"/>
      <c r="BK254" s="256"/>
      <c r="BL254" s="256"/>
      <c r="BM254" s="248">
        <f t="shared" si="138"/>
        <v>2535.23</v>
      </c>
      <c r="BN254" s="249"/>
      <c r="BO254" s="225"/>
      <c r="BP254" s="248"/>
      <c r="BQ254" s="249"/>
      <c r="BR254" s="225"/>
      <c r="BS254" s="225"/>
      <c r="BT254" s="225"/>
      <c r="BU254" s="225"/>
      <c r="BV254" s="225"/>
      <c r="BW254" s="225"/>
      <c r="BX254" s="225"/>
      <c r="BY254" s="225"/>
      <c r="BZ254" s="225"/>
      <c r="CA254" s="225"/>
      <c r="CB254" s="225"/>
      <c r="CC254" s="227">
        <f t="shared" si="116"/>
        <v>2535.23</v>
      </c>
      <c r="CD254" s="244"/>
      <c r="CE254" s="244"/>
      <c r="CF254" s="244"/>
    </row>
    <row r="255" spans="1:84" x14ac:dyDescent="0.2">
      <c r="A255" s="245" t="s">
        <v>27</v>
      </c>
      <c r="B255" s="246" t="s">
        <v>79</v>
      </c>
      <c r="C255" s="246" t="s">
        <v>105</v>
      </c>
      <c r="D255" s="246" t="s">
        <v>152</v>
      </c>
      <c r="E255" s="247" t="s">
        <v>211</v>
      </c>
      <c r="F255" s="247" t="s">
        <v>712</v>
      </c>
      <c r="G255" s="233" t="str">
        <f t="shared" si="129"/>
        <v>1</v>
      </c>
      <c r="H255" s="233" t="str">
        <f t="shared" si="130"/>
        <v>0</v>
      </c>
      <c r="I255" s="233" t="str">
        <f t="shared" si="131"/>
        <v>0</v>
      </c>
      <c r="J255" s="233" t="str">
        <f t="shared" si="132"/>
        <v>0</v>
      </c>
      <c r="K255" s="233" t="str">
        <f t="shared" si="133"/>
        <v>1000</v>
      </c>
      <c r="L255" s="247" t="str">
        <f t="shared" si="134"/>
        <v>15505068District Design and Led 17-20</v>
      </c>
      <c r="M255" s="225">
        <v>46861</v>
      </c>
      <c r="N255" s="255"/>
      <c r="O255" s="255"/>
      <c r="P255" s="255"/>
      <c r="Q255" s="225">
        <f t="shared" si="135"/>
        <v>46861</v>
      </c>
      <c r="R255" s="225">
        <v>23115</v>
      </c>
      <c r="S255" s="225">
        <v>0</v>
      </c>
      <c r="T255" s="225">
        <v>-19944</v>
      </c>
      <c r="U255" s="255"/>
      <c r="V255" s="255"/>
      <c r="W255" s="225">
        <v>-99</v>
      </c>
      <c r="X255" s="255"/>
      <c r="Y255" s="225">
        <v>198</v>
      </c>
      <c r="Z255" s="255"/>
      <c r="AA255" s="225">
        <v>-14850</v>
      </c>
      <c r="AB255" s="255"/>
      <c r="AC255" s="225">
        <v>-4912</v>
      </c>
      <c r="AD255" s="255"/>
      <c r="AE255" s="225">
        <v>-3104</v>
      </c>
      <c r="AF255" s="225">
        <f t="shared" si="136"/>
        <v>27265</v>
      </c>
      <c r="AG255" s="225">
        <v>45486</v>
      </c>
      <c r="AH255" s="225">
        <v>0</v>
      </c>
      <c r="AI255" s="225"/>
      <c r="AJ255" s="225">
        <v>-1552</v>
      </c>
      <c r="AK255" s="255"/>
      <c r="AL255" s="255"/>
      <c r="AM255" s="255"/>
      <c r="AN255" s="225">
        <v>-5761.6</v>
      </c>
      <c r="AO255" s="255">
        <v>0</v>
      </c>
      <c r="AP255" s="225">
        <v>-1554.64</v>
      </c>
      <c r="AQ255" s="225">
        <v>-6533.04</v>
      </c>
      <c r="AR255" s="255"/>
      <c r="AS255" s="255"/>
      <c r="AT255" s="256">
        <v>-6815.01</v>
      </c>
      <c r="AU255" s="256">
        <v>0</v>
      </c>
      <c r="AV255" s="256">
        <v>-7309.72</v>
      </c>
      <c r="AW255" s="227">
        <f t="shared" si="137"/>
        <v>43224.99</v>
      </c>
      <c r="AX255" s="249">
        <v>0</v>
      </c>
      <c r="AY255" s="225">
        <v>0</v>
      </c>
      <c r="AZ255" s="227"/>
      <c r="BA255" s="259">
        <v>-1272.97</v>
      </c>
      <c r="BB255" s="225">
        <v>0</v>
      </c>
      <c r="BC255" s="255">
        <v>0</v>
      </c>
      <c r="BD255" s="225">
        <v>-10741.539999999999</v>
      </c>
      <c r="BE255" s="255"/>
      <c r="BF255" s="225"/>
      <c r="BG255" s="225">
        <v>-14703.66</v>
      </c>
      <c r="BH255" s="255">
        <v>0</v>
      </c>
      <c r="BI255" s="255">
        <v>0</v>
      </c>
      <c r="BJ255" s="256">
        <v>-4371.6400000000003</v>
      </c>
      <c r="BK255" s="256"/>
      <c r="BL255" s="256">
        <v>-3577.1</v>
      </c>
      <c r="BM255" s="248">
        <f t="shared" si="138"/>
        <v>8558.0799999999963</v>
      </c>
      <c r="BN255" s="249"/>
      <c r="BO255" s="225"/>
      <c r="BP255" s="248"/>
      <c r="BQ255" s="249">
        <v>-1788.57</v>
      </c>
      <c r="BR255" s="225"/>
      <c r="BS255" s="225"/>
      <c r="BT255" s="225">
        <v>-1788.56</v>
      </c>
      <c r="BU255" s="225"/>
      <c r="BV255" s="225"/>
      <c r="BW255" s="225"/>
      <c r="BX255" s="225"/>
      <c r="BY255" s="225"/>
      <c r="BZ255" s="225"/>
      <c r="CA255" s="225"/>
      <c r="CB255" s="225" t="s">
        <v>701</v>
      </c>
      <c r="CC255" s="227">
        <f t="shared" si="116"/>
        <v>4980.9499999999971</v>
      </c>
      <c r="CD255" s="244"/>
      <c r="CE255" s="244"/>
      <c r="CF255" s="244"/>
    </row>
    <row r="256" spans="1:84" x14ac:dyDescent="0.2">
      <c r="A256" s="245" t="s">
        <v>27</v>
      </c>
      <c r="B256" s="246" t="s">
        <v>80</v>
      </c>
      <c r="C256" s="246" t="s">
        <v>105</v>
      </c>
      <c r="D256" s="246" t="s">
        <v>205</v>
      </c>
      <c r="E256" s="247" t="s">
        <v>211</v>
      </c>
      <c r="F256" s="247" t="s">
        <v>712</v>
      </c>
      <c r="G256" s="233" t="str">
        <f t="shared" si="129"/>
        <v>1</v>
      </c>
      <c r="H256" s="233" t="str">
        <f t="shared" si="130"/>
        <v>0</v>
      </c>
      <c r="I256" s="233" t="str">
        <f t="shared" si="131"/>
        <v>0</v>
      </c>
      <c r="J256" s="233" t="str">
        <f t="shared" si="132"/>
        <v>0</v>
      </c>
      <c r="K256" s="233" t="str">
        <f t="shared" si="133"/>
        <v>1000</v>
      </c>
      <c r="L256" s="247" t="str">
        <f t="shared" si="134"/>
        <v>15507127District Design and Led 17-20</v>
      </c>
      <c r="M256" s="225">
        <v>38420</v>
      </c>
      <c r="N256" s="255"/>
      <c r="O256" s="255"/>
      <c r="P256" s="255"/>
      <c r="Q256" s="225">
        <f t="shared" si="135"/>
        <v>38420</v>
      </c>
      <c r="R256" s="225">
        <v>43420</v>
      </c>
      <c r="S256" s="225">
        <v>0</v>
      </c>
      <c r="T256" s="225">
        <v>-4727</v>
      </c>
      <c r="U256" s="255"/>
      <c r="V256" s="255"/>
      <c r="W256" s="225">
        <v>-2000</v>
      </c>
      <c r="X256" s="255"/>
      <c r="Y256" s="255"/>
      <c r="Z256" s="255"/>
      <c r="AA256" s="225">
        <v>-25291</v>
      </c>
      <c r="AB256" s="255"/>
      <c r="AC256" s="225">
        <v>-15581</v>
      </c>
      <c r="AD256" s="255"/>
      <c r="AE256" s="225">
        <v>-10387</v>
      </c>
      <c r="AF256" s="225">
        <f t="shared" si="136"/>
        <v>23854</v>
      </c>
      <c r="AG256" s="225">
        <v>43427</v>
      </c>
      <c r="AH256" s="225">
        <v>0</v>
      </c>
      <c r="AI256" s="225"/>
      <c r="AJ256" s="225">
        <v>-5193</v>
      </c>
      <c r="AK256" s="255"/>
      <c r="AL256" s="255"/>
      <c r="AM256" s="255"/>
      <c r="AN256" s="225">
        <v>-10222.86</v>
      </c>
      <c r="AO256" s="255">
        <v>0</v>
      </c>
      <c r="AP256" s="225">
        <v>-5201.8999999999996</v>
      </c>
      <c r="AQ256" s="225">
        <v>-15543.05</v>
      </c>
      <c r="AR256" s="255"/>
      <c r="AS256" s="255"/>
      <c r="AT256" s="256">
        <v>-15543.04</v>
      </c>
      <c r="AU256" s="256">
        <v>0</v>
      </c>
      <c r="AV256" s="256">
        <v>-10294.56</v>
      </c>
      <c r="AW256" s="227">
        <f t="shared" si="137"/>
        <v>5282.5899999999983</v>
      </c>
      <c r="AX256" s="249">
        <v>0</v>
      </c>
      <c r="AY256" s="225">
        <v>0</v>
      </c>
      <c r="AZ256" s="227"/>
      <c r="BA256" s="259">
        <v>-5206.37</v>
      </c>
      <c r="BB256" s="225">
        <v>0</v>
      </c>
      <c r="BC256" s="255">
        <v>0</v>
      </c>
      <c r="BD256" s="225">
        <v>-76.22</v>
      </c>
      <c r="BE256" s="255"/>
      <c r="BF256" s="225"/>
      <c r="BG256" s="225">
        <v>-0.9</v>
      </c>
      <c r="BH256" s="255">
        <v>0</v>
      </c>
      <c r="BI256" s="255">
        <v>0</v>
      </c>
      <c r="BJ256" s="256"/>
      <c r="BK256" s="256"/>
      <c r="BL256" s="256" t="s">
        <v>701</v>
      </c>
      <c r="BM256" s="248">
        <f t="shared" si="138"/>
        <v>-0.90000000000156322</v>
      </c>
      <c r="BN256" s="249"/>
      <c r="BO256" s="225"/>
      <c r="BP256" s="248"/>
      <c r="BQ256" s="249"/>
      <c r="BR256" s="225"/>
      <c r="BS256" s="225"/>
      <c r="BT256" s="225"/>
      <c r="BU256" s="225"/>
      <c r="BV256" s="225"/>
      <c r="BW256" s="225"/>
      <c r="BX256" s="225"/>
      <c r="BY256" s="225"/>
      <c r="BZ256" s="225"/>
      <c r="CA256" s="225"/>
      <c r="CB256" s="225"/>
      <c r="CC256" s="227">
        <f t="shared" si="116"/>
        <v>-0.90000000000156322</v>
      </c>
      <c r="CD256" s="244"/>
      <c r="CE256" s="244"/>
      <c r="CF256" s="244"/>
    </row>
    <row r="257" spans="1:84" x14ac:dyDescent="0.2">
      <c r="A257" s="245" t="s">
        <v>27</v>
      </c>
      <c r="B257" s="246" t="s">
        <v>81</v>
      </c>
      <c r="C257" s="246" t="s">
        <v>105</v>
      </c>
      <c r="D257" s="246" t="s">
        <v>153</v>
      </c>
      <c r="E257" s="247" t="s">
        <v>211</v>
      </c>
      <c r="F257" s="247" t="s">
        <v>712</v>
      </c>
      <c r="G257" s="233" t="str">
        <f t="shared" si="129"/>
        <v>1</v>
      </c>
      <c r="H257" s="233" t="str">
        <f t="shared" si="130"/>
        <v>0</v>
      </c>
      <c r="I257" s="233" t="str">
        <f t="shared" si="131"/>
        <v>0</v>
      </c>
      <c r="J257" s="233" t="str">
        <f t="shared" si="132"/>
        <v>0</v>
      </c>
      <c r="K257" s="233" t="str">
        <f t="shared" si="133"/>
        <v>1000</v>
      </c>
      <c r="L257" s="247" t="str">
        <f t="shared" si="134"/>
        <v>15507161District Design and Led 17-20</v>
      </c>
      <c r="M257" s="225">
        <v>48265</v>
      </c>
      <c r="N257" s="225"/>
      <c r="O257" s="225"/>
      <c r="P257" s="225"/>
      <c r="Q257" s="225">
        <f t="shared" si="135"/>
        <v>48265</v>
      </c>
      <c r="R257" s="225">
        <v>26494</v>
      </c>
      <c r="S257" s="225">
        <v>0</v>
      </c>
      <c r="T257" s="225">
        <v>-13126</v>
      </c>
      <c r="U257" s="225"/>
      <c r="V257" s="225"/>
      <c r="W257" s="225">
        <v>0</v>
      </c>
      <c r="X257" s="225"/>
      <c r="Y257" s="225"/>
      <c r="Z257" s="225"/>
      <c r="AA257" s="225">
        <v>-12099</v>
      </c>
      <c r="AB257" s="225"/>
      <c r="AC257" s="225">
        <v>-4373</v>
      </c>
      <c r="AD257" s="225"/>
      <c r="AE257" s="225">
        <v>-2649</v>
      </c>
      <c r="AF257" s="225">
        <f t="shared" si="136"/>
        <v>42512</v>
      </c>
      <c r="AG257" s="225">
        <v>28997</v>
      </c>
      <c r="AH257" s="225">
        <v>0</v>
      </c>
      <c r="AI257" s="225"/>
      <c r="AJ257" s="225">
        <v>-1325</v>
      </c>
      <c r="AK257" s="225"/>
      <c r="AL257" s="225"/>
      <c r="AM257" s="225"/>
      <c r="AN257" s="225">
        <v>-2283</v>
      </c>
      <c r="AO257" s="225">
        <v>0</v>
      </c>
      <c r="AP257" s="225">
        <v>-1326.68</v>
      </c>
      <c r="AQ257" s="225"/>
      <c r="AR257" s="225"/>
      <c r="AS257" s="225"/>
      <c r="AT257" s="248">
        <v>0</v>
      </c>
      <c r="AU257" s="248">
        <v>0</v>
      </c>
      <c r="AV257" s="248">
        <v>0</v>
      </c>
      <c r="AW257" s="227">
        <f t="shared" si="137"/>
        <v>66574.320000000007</v>
      </c>
      <c r="AX257" s="249">
        <v>0</v>
      </c>
      <c r="AY257" s="225">
        <v>0</v>
      </c>
      <c r="AZ257" s="227"/>
      <c r="BA257" s="250">
        <v>0</v>
      </c>
      <c r="BB257" s="225">
        <v>0</v>
      </c>
      <c r="BC257" s="225">
        <v>0</v>
      </c>
      <c r="BD257" s="225">
        <v>0</v>
      </c>
      <c r="BE257" s="225"/>
      <c r="BF257" s="225"/>
      <c r="BG257" s="225">
        <v>0</v>
      </c>
      <c r="BH257" s="225">
        <v>0</v>
      </c>
      <c r="BI257" s="225">
        <v>0</v>
      </c>
      <c r="BJ257" s="248"/>
      <c r="BK257" s="248"/>
      <c r="BL257" s="248"/>
      <c r="BM257" s="248">
        <f t="shared" si="138"/>
        <v>66574.320000000007</v>
      </c>
      <c r="BN257" s="249"/>
      <c r="BO257" s="225"/>
      <c r="BP257" s="248"/>
      <c r="BQ257" s="249"/>
      <c r="BR257" s="225"/>
      <c r="BS257" s="225"/>
      <c r="BT257" s="225"/>
      <c r="BU257" s="225"/>
      <c r="BV257" s="225"/>
      <c r="BW257" s="225"/>
      <c r="BX257" s="225"/>
      <c r="BY257" s="225"/>
      <c r="BZ257" s="225"/>
      <c r="CA257" s="225"/>
      <c r="CB257" s="225"/>
      <c r="CC257" s="227">
        <f t="shared" si="116"/>
        <v>66574.320000000007</v>
      </c>
      <c r="CD257" s="244"/>
      <c r="CE257" s="244"/>
      <c r="CF257" s="244"/>
    </row>
    <row r="258" spans="1:84" x14ac:dyDescent="0.2">
      <c r="A258" s="245" t="s">
        <v>27</v>
      </c>
      <c r="B258" s="246" t="s">
        <v>82</v>
      </c>
      <c r="C258" s="246" t="s">
        <v>105</v>
      </c>
      <c r="D258" s="246" t="s">
        <v>154</v>
      </c>
      <c r="E258" s="247" t="s">
        <v>211</v>
      </c>
      <c r="F258" s="247" t="s">
        <v>712</v>
      </c>
      <c r="G258" s="233" t="str">
        <f t="shared" si="129"/>
        <v>1</v>
      </c>
      <c r="H258" s="233" t="str">
        <f t="shared" si="130"/>
        <v>0</v>
      </c>
      <c r="I258" s="233" t="str">
        <f t="shared" si="131"/>
        <v>0</v>
      </c>
      <c r="J258" s="233" t="str">
        <f t="shared" si="132"/>
        <v>0</v>
      </c>
      <c r="K258" s="233" t="str">
        <f t="shared" si="133"/>
        <v>1000</v>
      </c>
      <c r="L258" s="247" t="str">
        <f t="shared" si="134"/>
        <v>15507198District Design and Led 17-20</v>
      </c>
      <c r="M258" s="225">
        <v>82077</v>
      </c>
      <c r="N258" s="255"/>
      <c r="O258" s="255"/>
      <c r="P258" s="255"/>
      <c r="Q258" s="225">
        <f t="shared" si="135"/>
        <v>82077</v>
      </c>
      <c r="R258" s="225">
        <v>67727</v>
      </c>
      <c r="S258" s="225">
        <v>0</v>
      </c>
      <c r="T258" s="225">
        <v>-2263</v>
      </c>
      <c r="U258" s="255"/>
      <c r="V258" s="255"/>
      <c r="W258" s="225">
        <v>-4210</v>
      </c>
      <c r="X258" s="255"/>
      <c r="Y258" s="255"/>
      <c r="Z258" s="255"/>
      <c r="AA258" s="225">
        <v>-55495</v>
      </c>
      <c r="AB258" s="255"/>
      <c r="AC258" s="225">
        <v>-32574</v>
      </c>
      <c r="AD258" s="255"/>
      <c r="AE258" s="225">
        <v>-23713</v>
      </c>
      <c r="AF258" s="225">
        <f t="shared" si="136"/>
        <v>31549</v>
      </c>
      <c r="AG258" s="225">
        <v>103765</v>
      </c>
      <c r="AH258" s="225">
        <v>0</v>
      </c>
      <c r="AI258" s="225"/>
      <c r="AJ258" s="225">
        <v>-10519</v>
      </c>
      <c r="AK258" s="255"/>
      <c r="AL258" s="255"/>
      <c r="AM258" s="255"/>
      <c r="AN258" s="225">
        <v>-17373.59</v>
      </c>
      <c r="AO258" s="255">
        <v>0</v>
      </c>
      <c r="AP258" s="225">
        <v>-3656.41</v>
      </c>
      <c r="AQ258" s="225">
        <v>-29037.360000000001</v>
      </c>
      <c r="AR258" s="255"/>
      <c r="AS258" s="255">
        <v>-8682.66</v>
      </c>
      <c r="AT258" s="256">
        <v>-30134.309999999998</v>
      </c>
      <c r="AU258" s="256">
        <v>0</v>
      </c>
      <c r="AV258" s="256">
        <v>-20858.27</v>
      </c>
      <c r="AW258" s="227">
        <f t="shared" si="137"/>
        <v>15052.399999999998</v>
      </c>
      <c r="AX258" s="249">
        <v>0</v>
      </c>
      <c r="AY258" s="225">
        <v>0</v>
      </c>
      <c r="AZ258" s="227"/>
      <c r="BA258" s="259">
        <v>-9679.11</v>
      </c>
      <c r="BB258" s="225">
        <v>0</v>
      </c>
      <c r="BC258" s="255">
        <v>0</v>
      </c>
      <c r="BD258" s="225">
        <v>-5373.29</v>
      </c>
      <c r="BE258" s="255"/>
      <c r="BF258" s="225"/>
      <c r="BG258" s="225">
        <v>-7.0000000000000007E-2</v>
      </c>
      <c r="BH258" s="255">
        <v>0</v>
      </c>
      <c r="BI258" s="255">
        <v>0</v>
      </c>
      <c r="BJ258" s="256"/>
      <c r="BK258" s="256"/>
      <c r="BL258" s="256"/>
      <c r="BM258" s="248">
        <f t="shared" si="138"/>
        <v>-7.0000000002728491E-2</v>
      </c>
      <c r="BN258" s="249"/>
      <c r="BO258" s="225"/>
      <c r="BP258" s="248"/>
      <c r="BQ258" s="249"/>
      <c r="BR258" s="225"/>
      <c r="BS258" s="225"/>
      <c r="BT258" s="225"/>
      <c r="BU258" s="225"/>
      <c r="BV258" s="225"/>
      <c r="BW258" s="225"/>
      <c r="BX258" s="225"/>
      <c r="BY258" s="225"/>
      <c r="BZ258" s="225"/>
      <c r="CA258" s="225"/>
      <c r="CB258" s="225"/>
      <c r="CC258" s="227">
        <f t="shared" si="116"/>
        <v>-7.0000000002728491E-2</v>
      </c>
      <c r="CD258" s="244"/>
      <c r="CE258" s="244"/>
      <c r="CF258" s="244"/>
    </row>
    <row r="259" spans="1:84" x14ac:dyDescent="0.2">
      <c r="A259" s="245" t="s">
        <v>27</v>
      </c>
      <c r="B259" s="246" t="s">
        <v>34</v>
      </c>
      <c r="C259" s="246" t="s">
        <v>105</v>
      </c>
      <c r="D259" s="246" t="s">
        <v>111</v>
      </c>
      <c r="E259" s="247" t="s">
        <v>211</v>
      </c>
      <c r="F259" s="247" t="s">
        <v>712</v>
      </c>
      <c r="G259" s="233" t="str">
        <f t="shared" si="129"/>
        <v>1</v>
      </c>
      <c r="H259" s="233" t="str">
        <f t="shared" si="130"/>
        <v>0</v>
      </c>
      <c r="I259" s="233" t="str">
        <f t="shared" si="131"/>
        <v>0</v>
      </c>
      <c r="J259" s="233" t="str">
        <f t="shared" si="132"/>
        <v>0</v>
      </c>
      <c r="K259" s="233" t="str">
        <f t="shared" si="133"/>
        <v>1000</v>
      </c>
      <c r="L259" s="247" t="str">
        <f t="shared" si="134"/>
        <v>1550N/ADistrict Design and Led 17-20</v>
      </c>
      <c r="M259" s="225">
        <v>13936</v>
      </c>
      <c r="N259" s="255"/>
      <c r="O259" s="255"/>
      <c r="P259" s="255"/>
      <c r="Q259" s="225">
        <f t="shared" si="135"/>
        <v>13936</v>
      </c>
      <c r="R259" s="225">
        <v>0</v>
      </c>
      <c r="S259" s="225">
        <v>0</v>
      </c>
      <c r="T259" s="255"/>
      <c r="U259" s="255"/>
      <c r="V259" s="255"/>
      <c r="W259" s="225">
        <v>-3163</v>
      </c>
      <c r="X259" s="255"/>
      <c r="Y259" s="255"/>
      <c r="Z259" s="255"/>
      <c r="AA259" s="255"/>
      <c r="AB259" s="255"/>
      <c r="AC259" s="255"/>
      <c r="AD259" s="255"/>
      <c r="AE259" s="225">
        <v>-10773</v>
      </c>
      <c r="AF259" s="225">
        <f t="shared" si="136"/>
        <v>0</v>
      </c>
      <c r="AG259" s="225">
        <v>26989</v>
      </c>
      <c r="AH259" s="225">
        <v>0</v>
      </c>
      <c r="AI259" s="225"/>
      <c r="AJ259" s="255"/>
      <c r="AK259" s="255"/>
      <c r="AL259" s="255"/>
      <c r="AM259" s="255"/>
      <c r="AN259" s="255">
        <v>0</v>
      </c>
      <c r="AO259" s="255">
        <v>0</v>
      </c>
      <c r="AP259" s="255"/>
      <c r="AQ259" s="255"/>
      <c r="AR259" s="255"/>
      <c r="AS259" s="255"/>
      <c r="AT259" s="256">
        <v>0</v>
      </c>
      <c r="AU259" s="256">
        <v>0</v>
      </c>
      <c r="AV259" s="256">
        <v>0</v>
      </c>
      <c r="AW259" s="227">
        <f t="shared" si="137"/>
        <v>26989</v>
      </c>
      <c r="AX259" s="249">
        <v>0</v>
      </c>
      <c r="AY259" s="225">
        <v>0</v>
      </c>
      <c r="AZ259" s="227"/>
      <c r="BA259" s="259">
        <v>0</v>
      </c>
      <c r="BB259" s="225">
        <v>0</v>
      </c>
      <c r="BC259" s="255">
        <v>0</v>
      </c>
      <c r="BD259" s="255">
        <v>-18300.259999999998</v>
      </c>
      <c r="BE259" s="255"/>
      <c r="BF259" s="255"/>
      <c r="BG259" s="255">
        <v>0</v>
      </c>
      <c r="BH259" s="255">
        <v>0</v>
      </c>
      <c r="BI259" s="255">
        <v>0</v>
      </c>
      <c r="BJ259" s="256"/>
      <c r="BK259" s="256"/>
      <c r="BL259" s="256"/>
      <c r="BM259" s="248">
        <f t="shared" si="138"/>
        <v>8688.7400000000016</v>
      </c>
      <c r="BN259" s="249"/>
      <c r="BO259" s="225"/>
      <c r="BP259" s="248"/>
      <c r="BQ259" s="249"/>
      <c r="BR259" s="225"/>
      <c r="BS259" s="225"/>
      <c r="BT259" s="225">
        <v>-3547.05</v>
      </c>
      <c r="BU259" s="225"/>
      <c r="BV259" s="225"/>
      <c r="BW259" s="225"/>
      <c r="BX259" s="225"/>
      <c r="BY259" s="225"/>
      <c r="BZ259" s="225"/>
      <c r="CA259" s="225"/>
      <c r="CB259" s="225"/>
      <c r="CC259" s="227">
        <f t="shared" si="116"/>
        <v>5141.6900000000014</v>
      </c>
      <c r="CD259" s="244"/>
      <c r="CE259" s="244"/>
      <c r="CF259" s="244"/>
    </row>
    <row r="260" spans="1:84" x14ac:dyDescent="0.2">
      <c r="A260" s="245" t="s">
        <v>29</v>
      </c>
      <c r="B260" s="246" t="s">
        <v>83</v>
      </c>
      <c r="C260" s="246" t="s">
        <v>107</v>
      </c>
      <c r="D260" s="246" t="s">
        <v>155</v>
      </c>
      <c r="E260" s="247" t="s">
        <v>214</v>
      </c>
      <c r="F260" s="247" t="s">
        <v>712</v>
      </c>
      <c r="G260" s="233" t="str">
        <f t="shared" si="129"/>
        <v>0</v>
      </c>
      <c r="H260" s="233" t="str">
        <f t="shared" si="130"/>
        <v>0</v>
      </c>
      <c r="I260" s="233" t="str">
        <f t="shared" si="131"/>
        <v>0</v>
      </c>
      <c r="J260" s="233" t="str">
        <f t="shared" si="132"/>
        <v>0</v>
      </c>
      <c r="K260" s="233" t="str">
        <f t="shared" si="133"/>
        <v>0000</v>
      </c>
      <c r="L260" s="247" t="str">
        <f t="shared" si="134"/>
        <v>16200058District Design and Led 19-22</v>
      </c>
      <c r="M260" s="225"/>
      <c r="N260" s="225"/>
      <c r="O260" s="225"/>
      <c r="P260" s="225"/>
      <c r="Q260" s="225"/>
      <c r="R260" s="225"/>
      <c r="S260" s="225">
        <v>0</v>
      </c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>
        <f t="shared" si="136"/>
        <v>0</v>
      </c>
      <c r="AG260" s="225"/>
      <c r="AH260" s="225">
        <v>0</v>
      </c>
      <c r="AI260" s="225"/>
      <c r="AJ260" s="225"/>
      <c r="AK260" s="225"/>
      <c r="AL260" s="225"/>
      <c r="AM260" s="225"/>
      <c r="AN260" s="225">
        <v>0</v>
      </c>
      <c r="AO260" s="225">
        <v>0</v>
      </c>
      <c r="AP260" s="225"/>
      <c r="AQ260" s="225"/>
      <c r="AR260" s="225"/>
      <c r="AS260" s="225"/>
      <c r="AT260" s="248"/>
      <c r="AU260" s="248"/>
      <c r="AV260" s="248"/>
      <c r="AW260" s="227">
        <f t="shared" si="137"/>
        <v>0</v>
      </c>
      <c r="AX260" s="249">
        <v>0</v>
      </c>
      <c r="AY260" s="225">
        <v>82875</v>
      </c>
      <c r="AZ260" s="227"/>
      <c r="BA260" s="250"/>
      <c r="BB260" s="225">
        <v>0</v>
      </c>
      <c r="BC260" s="225">
        <v>0</v>
      </c>
      <c r="BD260" s="225">
        <v>0</v>
      </c>
      <c r="BE260" s="225"/>
      <c r="BF260" s="225"/>
      <c r="BG260" s="225">
        <v>0</v>
      </c>
      <c r="BH260" s="225">
        <v>0</v>
      </c>
      <c r="BI260" s="225">
        <v>0</v>
      </c>
      <c r="BJ260" s="248"/>
      <c r="BK260" s="248"/>
      <c r="BL260" s="248"/>
      <c r="BM260" s="248">
        <f t="shared" si="138"/>
        <v>82875</v>
      </c>
      <c r="BN260" s="249"/>
      <c r="BO260" s="253">
        <v>82875</v>
      </c>
      <c r="BP260" s="248"/>
      <c r="BQ260" s="249"/>
      <c r="BR260" s="225"/>
      <c r="BS260" s="225"/>
      <c r="BT260" s="225"/>
      <c r="BU260" s="225"/>
      <c r="BV260" s="225"/>
      <c r="BW260" s="225"/>
      <c r="BX260" s="225"/>
      <c r="BY260" s="225"/>
      <c r="BZ260" s="225"/>
      <c r="CA260" s="225"/>
      <c r="CB260" s="225"/>
      <c r="CC260" s="227">
        <f t="shared" si="116"/>
        <v>165750</v>
      </c>
      <c r="CD260" s="244"/>
      <c r="CE260" s="244"/>
      <c r="CF260" s="244"/>
    </row>
    <row r="261" spans="1:84" x14ac:dyDescent="0.2">
      <c r="A261" s="245" t="s">
        <v>29</v>
      </c>
      <c r="B261" s="247" t="s">
        <v>694</v>
      </c>
      <c r="C261" s="246" t="s">
        <v>107</v>
      </c>
      <c r="D261" s="246" t="s">
        <v>696</v>
      </c>
      <c r="E261" s="247" t="s">
        <v>214</v>
      </c>
      <c r="F261" s="247" t="s">
        <v>712</v>
      </c>
      <c r="G261" s="233" t="str">
        <f t="shared" si="129"/>
        <v>0</v>
      </c>
      <c r="H261" s="233" t="str">
        <f t="shared" si="130"/>
        <v>0</v>
      </c>
      <c r="I261" s="233" t="str">
        <f t="shared" si="131"/>
        <v>0</v>
      </c>
      <c r="J261" s="233" t="str">
        <f t="shared" si="132"/>
        <v>0</v>
      </c>
      <c r="K261" s="233" t="str">
        <f t="shared" si="133"/>
        <v>0000</v>
      </c>
      <c r="L261" s="247" t="str">
        <f t="shared" si="134"/>
        <v>16200066District Design and Led 19-22</v>
      </c>
      <c r="M261" s="225"/>
      <c r="N261" s="225"/>
      <c r="O261" s="225"/>
      <c r="P261" s="225"/>
      <c r="Q261" s="225"/>
      <c r="R261" s="225"/>
      <c r="S261" s="225">
        <v>0</v>
      </c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5">
        <f t="shared" si="136"/>
        <v>0</v>
      </c>
      <c r="AG261" s="225"/>
      <c r="AH261" s="225">
        <v>0</v>
      </c>
      <c r="AI261" s="225"/>
      <c r="AJ261" s="225"/>
      <c r="AK261" s="225"/>
      <c r="AL261" s="225"/>
      <c r="AM261" s="225"/>
      <c r="AN261" s="225">
        <v>0</v>
      </c>
      <c r="AO261" s="225">
        <v>0</v>
      </c>
      <c r="AP261" s="225"/>
      <c r="AQ261" s="225"/>
      <c r="AR261" s="225"/>
      <c r="AS261" s="225"/>
      <c r="AT261" s="248"/>
      <c r="AU261" s="248"/>
      <c r="AV261" s="248"/>
      <c r="AW261" s="227">
        <f t="shared" si="137"/>
        <v>0</v>
      </c>
      <c r="AX261" s="249">
        <v>0</v>
      </c>
      <c r="AY261" s="225">
        <v>82875</v>
      </c>
      <c r="AZ261" s="227"/>
      <c r="BA261" s="250"/>
      <c r="BB261" s="225">
        <v>0</v>
      </c>
      <c r="BC261" s="225">
        <v>0</v>
      </c>
      <c r="BD261" s="225">
        <v>0</v>
      </c>
      <c r="BE261" s="225"/>
      <c r="BF261" s="225"/>
      <c r="BG261" s="225">
        <v>0</v>
      </c>
      <c r="BH261" s="225">
        <v>0</v>
      </c>
      <c r="BI261" s="225">
        <v>0</v>
      </c>
      <c r="BJ261" s="248"/>
      <c r="BK261" s="248"/>
      <c r="BL261" s="248"/>
      <c r="BM261" s="248">
        <f t="shared" si="138"/>
        <v>82875</v>
      </c>
      <c r="BN261" s="249"/>
      <c r="BO261" s="253">
        <v>82875</v>
      </c>
      <c r="BP261" s="248"/>
      <c r="BQ261" s="249"/>
      <c r="BR261" s="225"/>
      <c r="BS261" s="225"/>
      <c r="BT261" s="225"/>
      <c r="BU261" s="225"/>
      <c r="BV261" s="225"/>
      <c r="BW261" s="225"/>
      <c r="BX261" s="225"/>
      <c r="BY261" s="225"/>
      <c r="BZ261" s="225"/>
      <c r="CA261" s="225"/>
      <c r="CB261" s="225"/>
      <c r="CC261" s="227">
        <f t="shared" si="116"/>
        <v>165750</v>
      </c>
      <c r="CD261" s="244"/>
      <c r="CE261" s="244"/>
      <c r="CF261" s="244"/>
    </row>
    <row r="262" spans="1:84" x14ac:dyDescent="0.2">
      <c r="A262" s="245" t="s">
        <v>25</v>
      </c>
      <c r="B262" s="247" t="s">
        <v>317</v>
      </c>
      <c r="C262" s="246" t="s">
        <v>103</v>
      </c>
      <c r="D262" s="246" t="s">
        <v>287</v>
      </c>
      <c r="E262" s="247" t="s">
        <v>228</v>
      </c>
      <c r="F262" s="247" t="s">
        <v>716</v>
      </c>
      <c r="G262" s="233" t="str">
        <f t="shared" si="129"/>
        <v>1</v>
      </c>
      <c r="H262" s="233" t="str">
        <f t="shared" si="130"/>
        <v>0</v>
      </c>
      <c r="I262" s="233" t="str">
        <f t="shared" si="131"/>
        <v>0</v>
      </c>
      <c r="J262" s="233" t="str">
        <f t="shared" si="132"/>
        <v>0</v>
      </c>
      <c r="K262" s="233" t="str">
        <f t="shared" si="133"/>
        <v>1000</v>
      </c>
      <c r="L262" s="247" t="str">
        <f t="shared" si="134"/>
        <v>14208834Turnaround Network</v>
      </c>
      <c r="M262" s="225">
        <v>51810</v>
      </c>
      <c r="N262" s="225"/>
      <c r="O262" s="225"/>
      <c r="P262" s="225"/>
      <c r="Q262" s="225">
        <f>SUM(M262:P262)</f>
        <v>51810</v>
      </c>
      <c r="R262" s="225"/>
      <c r="S262" s="225">
        <v>0</v>
      </c>
      <c r="T262" s="225"/>
      <c r="U262" s="225"/>
      <c r="V262" s="225"/>
      <c r="W262" s="225">
        <v>-23108</v>
      </c>
      <c r="X262" s="225">
        <v>-4974</v>
      </c>
      <c r="Y262" s="225">
        <v>-2135</v>
      </c>
      <c r="Z262" s="225">
        <v>-2904</v>
      </c>
      <c r="AA262" s="225">
        <v>-10465</v>
      </c>
      <c r="AB262" s="225">
        <v>-3680</v>
      </c>
      <c r="AC262" s="225">
        <v>-1208</v>
      </c>
      <c r="AD262" s="225">
        <v>-2096</v>
      </c>
      <c r="AE262" s="225"/>
      <c r="AF262" s="225">
        <f t="shared" si="136"/>
        <v>1240</v>
      </c>
      <c r="AG262" s="225">
        <v>75000</v>
      </c>
      <c r="AH262" s="225">
        <v>0</v>
      </c>
      <c r="AI262" s="225"/>
      <c r="AJ262" s="225"/>
      <c r="AK262" s="225"/>
      <c r="AL262" s="225">
        <v>-1240</v>
      </c>
      <c r="AM262" s="225"/>
      <c r="AN262" s="225">
        <v>0</v>
      </c>
      <c r="AO262" s="225">
        <v>0</v>
      </c>
      <c r="AP262" s="225">
        <v>-5331.7</v>
      </c>
      <c r="AQ262" s="225">
        <v>-27876.29</v>
      </c>
      <c r="AR262" s="225">
        <v>-2938.27</v>
      </c>
      <c r="AS262" s="225">
        <v>-14368.93</v>
      </c>
      <c r="AT262" s="248">
        <v>-9242.48</v>
      </c>
      <c r="AU262" s="248">
        <v>-2503.71</v>
      </c>
      <c r="AV262" s="248">
        <v>-2955.21</v>
      </c>
      <c r="AW262" s="227">
        <f t="shared" si="137"/>
        <v>9783.4100000000071</v>
      </c>
      <c r="AX262" s="249">
        <v>31491</v>
      </c>
      <c r="AY262" s="225">
        <v>0</v>
      </c>
      <c r="AZ262" s="227"/>
      <c r="BA262" s="250">
        <v>-2981.48</v>
      </c>
      <c r="BB262" s="225">
        <v>0</v>
      </c>
      <c r="BC262" s="225">
        <v>-5929.66</v>
      </c>
      <c r="BD262" s="225">
        <v>0</v>
      </c>
      <c r="BE262" s="225"/>
      <c r="BF262" s="225">
        <v>-10399.23</v>
      </c>
      <c r="BG262" s="225">
        <v>0</v>
      </c>
      <c r="BH262" s="225">
        <v>0</v>
      </c>
      <c r="BI262" s="225">
        <v>0</v>
      </c>
      <c r="BJ262" s="248"/>
      <c r="BK262" s="248">
        <v>-590.46</v>
      </c>
      <c r="BL262" s="248"/>
      <c r="BM262" s="248">
        <f t="shared" si="138"/>
        <v>21373.58</v>
      </c>
      <c r="BN262" s="249"/>
      <c r="BO262" s="225"/>
      <c r="BP262" s="248"/>
      <c r="BQ262" s="249"/>
      <c r="BR262" s="225"/>
      <c r="BS262" s="225"/>
      <c r="BT262" s="225"/>
      <c r="BU262" s="225"/>
      <c r="BV262" s="225">
        <v>-1489</v>
      </c>
      <c r="BW262" s="225"/>
      <c r="BX262" s="296"/>
      <c r="BY262" s="225">
        <v>-18393.580000000002</v>
      </c>
      <c r="BZ262" s="225"/>
      <c r="CA262" s="225"/>
      <c r="CB262" s="225"/>
      <c r="CC262" s="227">
        <f t="shared" si="116"/>
        <v>1491</v>
      </c>
      <c r="CD262" s="244"/>
      <c r="CE262" s="244"/>
      <c r="CF262" s="244"/>
    </row>
    <row r="263" spans="1:84" x14ac:dyDescent="0.2">
      <c r="A263" s="245" t="s">
        <v>30</v>
      </c>
      <c r="B263" s="246" t="s">
        <v>86</v>
      </c>
      <c r="C263" s="246" t="s">
        <v>612</v>
      </c>
      <c r="D263" s="246" t="s">
        <v>157</v>
      </c>
      <c r="E263" s="247" t="s">
        <v>213</v>
      </c>
      <c r="F263" s="247" t="s">
        <v>712</v>
      </c>
      <c r="G263" s="233" t="str">
        <f t="shared" si="129"/>
        <v>0</v>
      </c>
      <c r="H263" s="233" t="str">
        <f t="shared" si="130"/>
        <v>1</v>
      </c>
      <c r="I263" s="233" t="str">
        <f t="shared" si="131"/>
        <v>0</v>
      </c>
      <c r="J263" s="233" t="str">
        <f t="shared" si="132"/>
        <v>0</v>
      </c>
      <c r="K263" s="233" t="str">
        <f t="shared" si="133"/>
        <v>0100</v>
      </c>
      <c r="L263" s="247" t="str">
        <f t="shared" si="134"/>
        <v>20350609District Design and Led 18-21</v>
      </c>
      <c r="M263" s="255"/>
      <c r="N263" s="255"/>
      <c r="O263" s="255"/>
      <c r="P263" s="255"/>
      <c r="Q263" s="225">
        <f>SUM(M263:P263)</f>
        <v>0</v>
      </c>
      <c r="R263" s="225"/>
      <c r="S263" s="225">
        <v>22254</v>
      </c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25">
        <v>-22254</v>
      </c>
      <c r="AF263" s="225">
        <f t="shared" si="136"/>
        <v>0</v>
      </c>
      <c r="AG263" s="225"/>
      <c r="AH263" s="225">
        <v>34435</v>
      </c>
      <c r="AI263" s="225"/>
      <c r="AJ263" s="255"/>
      <c r="AK263" s="255"/>
      <c r="AL263" s="255"/>
      <c r="AM263" s="255"/>
      <c r="AN263" s="255">
        <v>0</v>
      </c>
      <c r="AO263" s="255">
        <v>0</v>
      </c>
      <c r="AP263" s="255"/>
      <c r="AQ263" s="255"/>
      <c r="AR263" s="255"/>
      <c r="AS263" s="255"/>
      <c r="AT263" s="256">
        <v>0</v>
      </c>
      <c r="AU263" s="256">
        <v>0</v>
      </c>
      <c r="AV263" s="256">
        <v>0</v>
      </c>
      <c r="AW263" s="227">
        <f t="shared" si="137"/>
        <v>34435</v>
      </c>
      <c r="AX263" s="249">
        <v>0</v>
      </c>
      <c r="AY263" s="225">
        <v>24970.16</v>
      </c>
      <c r="AZ263" s="227"/>
      <c r="BA263" s="259">
        <v>-7680.68</v>
      </c>
      <c r="BB263" s="225">
        <v>0</v>
      </c>
      <c r="BC263" s="255">
        <v>0</v>
      </c>
      <c r="BD263" s="255">
        <v>-3046.39</v>
      </c>
      <c r="BE263" s="255">
        <v>-1800</v>
      </c>
      <c r="BF263" s="255">
        <v>-5295.05</v>
      </c>
      <c r="BG263" s="255">
        <v>0</v>
      </c>
      <c r="BH263" s="255">
        <v>0</v>
      </c>
      <c r="BI263" s="255">
        <v>0</v>
      </c>
      <c r="BJ263" s="256"/>
      <c r="BK263" s="256" t="s">
        <v>701</v>
      </c>
      <c r="BL263" s="256" t="s">
        <v>701</v>
      </c>
      <c r="BM263" s="248">
        <f t="shared" si="138"/>
        <v>41583.040000000001</v>
      </c>
      <c r="BN263" s="249"/>
      <c r="BO263" s="225">
        <v>25026</v>
      </c>
      <c r="BP263" s="248"/>
      <c r="BQ263" s="249">
        <v>-41583.040000000001</v>
      </c>
      <c r="BR263" s="225"/>
      <c r="BS263" s="225" t="s">
        <v>701</v>
      </c>
      <c r="BT263" s="225"/>
      <c r="BU263" s="225"/>
      <c r="BV263" s="225">
        <v>-6242.54</v>
      </c>
      <c r="BW263" s="225"/>
      <c r="BX263" s="225"/>
      <c r="BY263" s="225"/>
      <c r="BZ263" s="225"/>
      <c r="CA263" s="225"/>
      <c r="CB263" s="225"/>
      <c r="CC263" s="227">
        <f t="shared" si="116"/>
        <v>18783.460000000006</v>
      </c>
      <c r="CD263" s="244"/>
      <c r="CE263" s="244"/>
      <c r="CF263" s="244"/>
    </row>
    <row r="264" spans="1:84" x14ac:dyDescent="0.2">
      <c r="A264" s="245" t="s">
        <v>30</v>
      </c>
      <c r="B264" s="246" t="s">
        <v>780</v>
      </c>
      <c r="C264" s="246" t="s">
        <v>612</v>
      </c>
      <c r="D264" s="246" t="s">
        <v>781</v>
      </c>
      <c r="E264" s="247" t="s">
        <v>804</v>
      </c>
      <c r="F264" s="247"/>
      <c r="G264" s="233"/>
      <c r="H264" s="233"/>
      <c r="I264" s="233"/>
      <c r="J264" s="233"/>
      <c r="K264" s="233"/>
      <c r="L264" s="247"/>
      <c r="M264" s="255"/>
      <c r="N264" s="255"/>
      <c r="O264" s="255"/>
      <c r="P264" s="255"/>
      <c r="Q264" s="225"/>
      <c r="R264" s="225"/>
      <c r="S264" s="22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25"/>
      <c r="AE264" s="255"/>
      <c r="AF264" s="225"/>
      <c r="AG264" s="225"/>
      <c r="AH264" s="225"/>
      <c r="AI264" s="225"/>
      <c r="AJ264" s="255"/>
      <c r="AK264" s="255"/>
      <c r="AL264" s="255"/>
      <c r="AM264" s="255"/>
      <c r="AN264" s="225"/>
      <c r="AO264" s="225"/>
      <c r="AP264" s="255"/>
      <c r="AQ264" s="255"/>
      <c r="AR264" s="225"/>
      <c r="AS264" s="225"/>
      <c r="AT264" s="248"/>
      <c r="AU264" s="248"/>
      <c r="AV264" s="248"/>
      <c r="AW264" s="227"/>
      <c r="AX264" s="249"/>
      <c r="AY264" s="225"/>
      <c r="AZ264" s="227">
        <v>14500</v>
      </c>
      <c r="BA264" s="250"/>
      <c r="BB264" s="225"/>
      <c r="BC264" s="255"/>
      <c r="BD264" s="225"/>
      <c r="BE264" s="225"/>
      <c r="BF264" s="255"/>
      <c r="BG264" s="255"/>
      <c r="BH264" s="225"/>
      <c r="BI264" s="225"/>
      <c r="BJ264" s="248"/>
      <c r="BK264" s="248"/>
      <c r="BL264" s="248"/>
      <c r="BM264" s="248">
        <f t="shared" si="138"/>
        <v>14500</v>
      </c>
      <c r="BN264" s="249"/>
      <c r="BO264" s="225"/>
      <c r="BP264" s="248">
        <v>31000</v>
      </c>
      <c r="BQ264" s="249"/>
      <c r="BR264" s="225"/>
      <c r="BS264" s="225"/>
      <c r="BT264" s="225"/>
      <c r="BU264" s="225"/>
      <c r="BV264" s="225"/>
      <c r="BW264" s="225">
        <v>-1550</v>
      </c>
      <c r="BX264" s="225"/>
      <c r="BY264" s="225"/>
      <c r="BZ264" s="225"/>
      <c r="CA264" s="225"/>
      <c r="CB264" s="225"/>
      <c r="CC264" s="227">
        <f t="shared" si="116"/>
        <v>43950</v>
      </c>
      <c r="CD264" s="244"/>
      <c r="CE264" s="244"/>
      <c r="CF264" s="244"/>
    </row>
    <row r="265" spans="1:84" x14ac:dyDescent="0.2">
      <c r="A265" s="245" t="s">
        <v>30</v>
      </c>
      <c r="B265" s="246" t="s">
        <v>692</v>
      </c>
      <c r="C265" s="246" t="s">
        <v>612</v>
      </c>
      <c r="D265" s="246" t="s">
        <v>693</v>
      </c>
      <c r="E265" s="247" t="s">
        <v>214</v>
      </c>
      <c r="F265" s="247" t="s">
        <v>712</v>
      </c>
      <c r="G265" s="233" t="str">
        <f t="shared" ref="G265:G300" si="139">IF(M265&gt;0, "1", "0")</f>
        <v>0</v>
      </c>
      <c r="H265" s="233" t="str">
        <f t="shared" ref="H265:H300" si="140">IF(S265&gt;0, "1", "0")</f>
        <v>0</v>
      </c>
      <c r="I265" s="233" t="str">
        <f t="shared" ref="I265:I300" si="141">IF(AI265&gt;0, "1", "0")</f>
        <v>0</v>
      </c>
      <c r="J265" s="233" t="str">
        <f t="shared" ref="J265:J300" si="142">IF(AZ265&gt;0, "1", "0")</f>
        <v>0</v>
      </c>
      <c r="K265" s="233" t="str">
        <f t="shared" ref="K265:K300" si="143">CONCATENATE(G265,H265,I265,J265)</f>
        <v>0000</v>
      </c>
      <c r="L265" s="247" t="str">
        <f t="shared" ref="L265:L300" si="144">A265&amp;B265&amp;E265</f>
        <v>20355436District Design and Led 19-22</v>
      </c>
      <c r="M265" s="225"/>
      <c r="N265" s="255"/>
      <c r="O265" s="255"/>
      <c r="P265" s="255"/>
      <c r="Q265" s="225"/>
      <c r="R265" s="225"/>
      <c r="S265" s="225">
        <v>0</v>
      </c>
      <c r="T265" s="255"/>
      <c r="U265" s="255"/>
      <c r="V265" s="255"/>
      <c r="W265" s="255"/>
      <c r="X265" s="225"/>
      <c r="Y265" s="225"/>
      <c r="Z265" s="225"/>
      <c r="AA265" s="225"/>
      <c r="AB265" s="225"/>
      <c r="AC265" s="225"/>
      <c r="AD265" s="225"/>
      <c r="AE265" s="255"/>
      <c r="AF265" s="225">
        <f t="shared" ref="AF265:AF300" si="145">SUM(Q265:AE265)</f>
        <v>0</v>
      </c>
      <c r="AG265" s="255"/>
      <c r="AH265" s="255">
        <v>0</v>
      </c>
      <c r="AI265" s="255"/>
      <c r="AJ265" s="225"/>
      <c r="AK265" s="255"/>
      <c r="AL265" s="255"/>
      <c r="AM265" s="255"/>
      <c r="AN265" s="225">
        <v>0</v>
      </c>
      <c r="AO265" s="225">
        <v>0</v>
      </c>
      <c r="AP265" s="225"/>
      <c r="AQ265" s="225"/>
      <c r="AR265" s="225"/>
      <c r="AS265" s="225"/>
      <c r="AT265" s="248"/>
      <c r="AU265" s="248"/>
      <c r="AV265" s="248"/>
      <c r="AW265" s="227">
        <f t="shared" ref="AW265:AW300" si="146">SUM(AF265:AV265)</f>
        <v>0</v>
      </c>
      <c r="AX265" s="257">
        <v>0</v>
      </c>
      <c r="AY265" s="255">
        <v>26908</v>
      </c>
      <c r="AZ265" s="258"/>
      <c r="BA265" s="250"/>
      <c r="BB265" s="225">
        <v>0</v>
      </c>
      <c r="BC265" s="255">
        <v>0</v>
      </c>
      <c r="BD265" s="225">
        <v>0</v>
      </c>
      <c r="BE265" s="225"/>
      <c r="BF265" s="225"/>
      <c r="BG265" s="225">
        <v>0</v>
      </c>
      <c r="BH265" s="225">
        <v>0</v>
      </c>
      <c r="BI265" s="225">
        <v>0</v>
      </c>
      <c r="BJ265" s="248"/>
      <c r="BK265" s="248"/>
      <c r="BL265" s="248"/>
      <c r="BM265" s="248">
        <f t="shared" si="138"/>
        <v>26908</v>
      </c>
      <c r="BN265" s="257"/>
      <c r="BO265" s="255">
        <v>26968</v>
      </c>
      <c r="BP265" s="256"/>
      <c r="BQ265" s="249"/>
      <c r="BR265" s="225"/>
      <c r="BS265" s="225"/>
      <c r="BT265" s="225"/>
      <c r="BU265" s="225"/>
      <c r="BV265" s="225"/>
      <c r="BW265" s="225"/>
      <c r="BX265" s="225"/>
      <c r="BY265" s="225"/>
      <c r="BZ265" s="225"/>
      <c r="CA265" s="225"/>
      <c r="CB265" s="225"/>
      <c r="CC265" s="227">
        <f t="shared" si="116"/>
        <v>53876</v>
      </c>
      <c r="CD265" s="244"/>
      <c r="CE265" s="244"/>
      <c r="CF265" s="244"/>
    </row>
    <row r="266" spans="1:84" x14ac:dyDescent="0.2">
      <c r="A266" s="245" t="s">
        <v>30</v>
      </c>
      <c r="B266" s="246" t="s">
        <v>664</v>
      </c>
      <c r="C266" s="246" t="s">
        <v>612</v>
      </c>
      <c r="D266" s="246" t="s">
        <v>671</v>
      </c>
      <c r="E266" s="247" t="s">
        <v>214</v>
      </c>
      <c r="F266" s="247" t="s">
        <v>712</v>
      </c>
      <c r="G266" s="233" t="str">
        <f t="shared" si="139"/>
        <v>0</v>
      </c>
      <c r="H266" s="233" t="str">
        <f t="shared" si="140"/>
        <v>0</v>
      </c>
      <c r="I266" s="233" t="str">
        <f t="shared" si="141"/>
        <v>1</v>
      </c>
      <c r="J266" s="233" t="str">
        <f t="shared" si="142"/>
        <v>0</v>
      </c>
      <c r="K266" s="233" t="str">
        <f t="shared" si="143"/>
        <v>0010</v>
      </c>
      <c r="L266" s="247" t="str">
        <f t="shared" si="144"/>
        <v>20355836District Design and Led 19-22</v>
      </c>
      <c r="M266" s="255"/>
      <c r="N266" s="255"/>
      <c r="O266" s="255"/>
      <c r="P266" s="255"/>
      <c r="Q266" s="225">
        <f t="shared" ref="Q266:Q284" si="147">SUM(M266:P266)</f>
        <v>0</v>
      </c>
      <c r="R266" s="225"/>
      <c r="S266" s="225">
        <v>0</v>
      </c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25">
        <f t="shared" si="145"/>
        <v>0</v>
      </c>
      <c r="AG266" s="225"/>
      <c r="AH266" s="225">
        <v>0</v>
      </c>
      <c r="AI266" s="225">
        <v>38739.599999999999</v>
      </c>
      <c r="AJ266" s="255"/>
      <c r="AK266" s="255"/>
      <c r="AL266" s="255"/>
      <c r="AM266" s="255"/>
      <c r="AN266" s="255">
        <v>0</v>
      </c>
      <c r="AO266" s="225">
        <v>0</v>
      </c>
      <c r="AP266" s="255"/>
      <c r="AQ266" s="255"/>
      <c r="AR266" s="255"/>
      <c r="AS266" s="255"/>
      <c r="AT266" s="256">
        <v>0</v>
      </c>
      <c r="AU266" s="256">
        <v>0</v>
      </c>
      <c r="AV266" s="256">
        <v>0</v>
      </c>
      <c r="AW266" s="227">
        <f t="shared" si="146"/>
        <v>38739.599999999999</v>
      </c>
      <c r="AX266" s="249">
        <v>0</v>
      </c>
      <c r="AY266" s="225">
        <v>87449.375</v>
      </c>
      <c r="AZ266" s="227"/>
      <c r="BA266" s="259">
        <v>0</v>
      </c>
      <c r="BB266" s="225">
        <v>0</v>
      </c>
      <c r="BC266" s="255">
        <v>0</v>
      </c>
      <c r="BD266" s="255">
        <v>0</v>
      </c>
      <c r="BE266" s="225">
        <v>-10314.689999999999</v>
      </c>
      <c r="BF266" s="255">
        <v>-5159.12</v>
      </c>
      <c r="BG266" s="255">
        <v>-5075.3900000000003</v>
      </c>
      <c r="BH266" s="255">
        <v>-5159.12</v>
      </c>
      <c r="BI266" s="255">
        <v>-5159.12</v>
      </c>
      <c r="BJ266" s="256">
        <v>-5159.12</v>
      </c>
      <c r="BK266" s="256">
        <v>-5159.1099999999997</v>
      </c>
      <c r="BL266" s="256">
        <v>-5075.3900000000003</v>
      </c>
      <c r="BM266" s="248">
        <f t="shared" si="138"/>
        <v>79927.915000000023</v>
      </c>
      <c r="BN266" s="249"/>
      <c r="BO266" s="225">
        <v>89532</v>
      </c>
      <c r="BP266" s="248"/>
      <c r="BQ266" s="249">
        <v>-15477.41</v>
      </c>
      <c r="BR266" s="225"/>
      <c r="BS266" s="225"/>
      <c r="BT266" s="225">
        <v>-5238.18</v>
      </c>
      <c r="BU266" s="225">
        <v>-5239.66</v>
      </c>
      <c r="BV266" s="296">
        <f>-5239.67-3893.63</f>
        <v>-9133.2999999999993</v>
      </c>
      <c r="BW266" s="296">
        <v>-1253.6600000000001</v>
      </c>
      <c r="BX266" s="225"/>
      <c r="BY266" s="225">
        <v>-5228.59</v>
      </c>
      <c r="BZ266" s="225"/>
      <c r="CA266" s="225"/>
      <c r="CB266" s="225"/>
      <c r="CC266" s="227">
        <f t="shared" si="116"/>
        <v>127889.11500000005</v>
      </c>
      <c r="CD266" s="244"/>
      <c r="CE266" s="244"/>
      <c r="CF266" s="244"/>
    </row>
    <row r="267" spans="1:84" x14ac:dyDescent="0.2">
      <c r="A267" s="245" t="s">
        <v>30</v>
      </c>
      <c r="B267" s="246" t="s">
        <v>84</v>
      </c>
      <c r="C267" s="246" t="s">
        <v>612</v>
      </c>
      <c r="D267" s="246" t="s">
        <v>156</v>
      </c>
      <c r="E267" s="247" t="s">
        <v>211</v>
      </c>
      <c r="F267" s="247" t="s">
        <v>712</v>
      </c>
      <c r="G267" s="233" t="str">
        <f t="shared" si="139"/>
        <v>1</v>
      </c>
      <c r="H267" s="233" t="str">
        <f t="shared" si="140"/>
        <v>0</v>
      </c>
      <c r="I267" s="233" t="str">
        <f t="shared" si="141"/>
        <v>0</v>
      </c>
      <c r="J267" s="233" t="str">
        <f t="shared" si="142"/>
        <v>0</v>
      </c>
      <c r="K267" s="233" t="str">
        <f t="shared" si="143"/>
        <v>1000</v>
      </c>
      <c r="L267" s="247" t="str">
        <f t="shared" si="144"/>
        <v>20356026District Design and Led 17-20</v>
      </c>
      <c r="M267" s="225">
        <v>30000</v>
      </c>
      <c r="N267" s="255"/>
      <c r="O267" s="255"/>
      <c r="P267" s="255"/>
      <c r="Q267" s="225">
        <f t="shared" si="147"/>
        <v>30000</v>
      </c>
      <c r="R267" s="225">
        <v>30000</v>
      </c>
      <c r="S267" s="225">
        <v>0</v>
      </c>
      <c r="T267" s="255"/>
      <c r="U267" s="255"/>
      <c r="V267" s="255"/>
      <c r="W267" s="255"/>
      <c r="X267" s="225">
        <v>-2127</v>
      </c>
      <c r="Y267" s="255"/>
      <c r="Z267" s="255"/>
      <c r="AA267" s="255"/>
      <c r="AB267" s="255"/>
      <c r="AC267" s="255"/>
      <c r="AD267" s="255"/>
      <c r="AE267" s="225">
        <v>-5665</v>
      </c>
      <c r="AF267" s="225">
        <f t="shared" si="145"/>
        <v>52208</v>
      </c>
      <c r="AG267" s="225">
        <v>10000</v>
      </c>
      <c r="AH267" s="225">
        <v>0</v>
      </c>
      <c r="AI267" s="225"/>
      <c r="AJ267" s="255"/>
      <c r="AK267" s="255"/>
      <c r="AL267" s="255"/>
      <c r="AM267" s="225">
        <v>-18114.240000000002</v>
      </c>
      <c r="AN267" s="225">
        <v>-125</v>
      </c>
      <c r="AO267" s="225">
        <v>-795.49</v>
      </c>
      <c r="AP267" s="225">
        <v>-2002.23</v>
      </c>
      <c r="AQ267" s="255"/>
      <c r="AR267" s="225">
        <v>-75</v>
      </c>
      <c r="AS267" s="225">
        <v>-2596.33</v>
      </c>
      <c r="AT267" s="248">
        <v>0</v>
      </c>
      <c r="AU267" s="248">
        <v>0</v>
      </c>
      <c r="AV267" s="248">
        <v>0</v>
      </c>
      <c r="AW267" s="227">
        <f t="shared" si="146"/>
        <v>38499.709999999992</v>
      </c>
      <c r="AX267" s="249">
        <v>0</v>
      </c>
      <c r="AY267" s="225">
        <v>0</v>
      </c>
      <c r="AZ267" s="227"/>
      <c r="BA267" s="250">
        <v>0</v>
      </c>
      <c r="BB267" s="225">
        <v>0</v>
      </c>
      <c r="BC267" s="225">
        <v>0</v>
      </c>
      <c r="BD267" s="225">
        <v>0</v>
      </c>
      <c r="BE267" s="225"/>
      <c r="BF267" s="225">
        <v>-14172.5</v>
      </c>
      <c r="BG267" s="255">
        <v>0</v>
      </c>
      <c r="BH267" s="225">
        <v>0</v>
      </c>
      <c r="BI267" s="225">
        <v>0</v>
      </c>
      <c r="BJ267" s="248">
        <v>-2400</v>
      </c>
      <c r="BK267" s="248">
        <v>-2400</v>
      </c>
      <c r="BL267" s="248"/>
      <c r="BM267" s="248">
        <f t="shared" si="138"/>
        <v>19527.209999999992</v>
      </c>
      <c r="BN267" s="249"/>
      <c r="BO267" s="225"/>
      <c r="BP267" s="248"/>
      <c r="BQ267" s="249"/>
      <c r="BR267" s="225"/>
      <c r="BS267" s="225"/>
      <c r="BT267" s="225"/>
      <c r="BU267" s="225"/>
      <c r="BV267" s="225">
        <v>-11300</v>
      </c>
      <c r="BW267" s="296"/>
      <c r="BX267" s="225"/>
      <c r="BY267" s="225"/>
      <c r="BZ267" s="225"/>
      <c r="CA267" s="225"/>
      <c r="CB267" s="225"/>
      <c r="CC267" s="227">
        <f t="shared" si="116"/>
        <v>8227.2099999999919</v>
      </c>
      <c r="CD267" s="244"/>
      <c r="CE267" s="244"/>
      <c r="CF267" s="244"/>
    </row>
    <row r="268" spans="1:84" x14ac:dyDescent="0.2">
      <c r="A268" s="245" t="s">
        <v>30</v>
      </c>
      <c r="B268" s="246" t="s">
        <v>84</v>
      </c>
      <c r="C268" s="246" t="s">
        <v>612</v>
      </c>
      <c r="D268" s="246" t="s">
        <v>156</v>
      </c>
      <c r="E268" s="247" t="s">
        <v>213</v>
      </c>
      <c r="F268" s="247" t="s">
        <v>712</v>
      </c>
      <c r="G268" s="233" t="str">
        <f t="shared" si="139"/>
        <v>0</v>
      </c>
      <c r="H268" s="233" t="str">
        <f t="shared" si="140"/>
        <v>1</v>
      </c>
      <c r="I268" s="233" t="str">
        <f t="shared" si="141"/>
        <v>0</v>
      </c>
      <c r="J268" s="233" t="str">
        <f t="shared" si="142"/>
        <v>0</v>
      </c>
      <c r="K268" s="233" t="str">
        <f t="shared" si="143"/>
        <v>0100</v>
      </c>
      <c r="L268" s="247" t="str">
        <f t="shared" si="144"/>
        <v>20356026District Design and Led 18-21</v>
      </c>
      <c r="M268" s="255"/>
      <c r="N268" s="255"/>
      <c r="O268" s="255"/>
      <c r="P268" s="255"/>
      <c r="Q268" s="225">
        <f t="shared" si="147"/>
        <v>0</v>
      </c>
      <c r="R268" s="225"/>
      <c r="S268" s="225">
        <v>10597</v>
      </c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25">
        <v>-10068</v>
      </c>
      <c r="AF268" s="225">
        <f t="shared" si="145"/>
        <v>529</v>
      </c>
      <c r="AG268" s="225"/>
      <c r="AH268" s="225">
        <v>10761</v>
      </c>
      <c r="AI268" s="225"/>
      <c r="AJ268" s="255"/>
      <c r="AK268" s="255"/>
      <c r="AL268" s="255"/>
      <c r="AM268" s="225">
        <v>-5245.71</v>
      </c>
      <c r="AN268" s="255">
        <v>0</v>
      </c>
      <c r="AO268" s="255">
        <v>0</v>
      </c>
      <c r="AP268" s="255"/>
      <c r="AQ268" s="255"/>
      <c r="AR268" s="255"/>
      <c r="AS268" s="255"/>
      <c r="AT268" s="256">
        <v>0</v>
      </c>
      <c r="AU268" s="256">
        <v>0</v>
      </c>
      <c r="AV268" s="256">
        <v>0</v>
      </c>
      <c r="AW268" s="227">
        <f t="shared" si="146"/>
        <v>6044.29</v>
      </c>
      <c r="AX268" s="249">
        <v>0</v>
      </c>
      <c r="AY268" s="225">
        <v>0</v>
      </c>
      <c r="AZ268" s="227"/>
      <c r="BA268" s="259">
        <v>0</v>
      </c>
      <c r="BB268" s="225">
        <v>0</v>
      </c>
      <c r="BC268" s="225">
        <v>0</v>
      </c>
      <c r="BD268" s="255">
        <v>0</v>
      </c>
      <c r="BE268" s="255"/>
      <c r="BF268" s="255">
        <v>0</v>
      </c>
      <c r="BG268" s="255">
        <v>0</v>
      </c>
      <c r="BH268" s="255">
        <v>0</v>
      </c>
      <c r="BI268" s="255">
        <v>0</v>
      </c>
      <c r="BJ268" s="256"/>
      <c r="BK268" s="256" t="s">
        <v>701</v>
      </c>
      <c r="BL268" s="256"/>
      <c r="BM268" s="248">
        <f t="shared" si="138"/>
        <v>6044.29</v>
      </c>
      <c r="BN268" s="249"/>
      <c r="BO268" s="225"/>
      <c r="BP268" s="248"/>
      <c r="BQ268" s="249"/>
      <c r="BR268" s="225"/>
      <c r="BS268" s="225"/>
      <c r="BT268" s="225"/>
      <c r="BU268" s="225"/>
      <c r="BV268" s="225"/>
      <c r="BW268" s="225"/>
      <c r="BX268" s="225"/>
      <c r="BY268" s="225"/>
      <c r="BZ268" s="225"/>
      <c r="CA268" s="225"/>
      <c r="CB268" s="225"/>
      <c r="CC268" s="227">
        <f t="shared" si="116"/>
        <v>6044.29</v>
      </c>
      <c r="CD268" s="244"/>
      <c r="CE268" s="244"/>
      <c r="CF268" s="244"/>
    </row>
    <row r="269" spans="1:84" x14ac:dyDescent="0.2">
      <c r="A269" s="245" t="s">
        <v>30</v>
      </c>
      <c r="B269" s="246" t="s">
        <v>85</v>
      </c>
      <c r="C269" s="246" t="s">
        <v>612</v>
      </c>
      <c r="D269" s="246" t="s">
        <v>206</v>
      </c>
      <c r="E269" s="247" t="s">
        <v>211</v>
      </c>
      <c r="F269" s="247" t="s">
        <v>712</v>
      </c>
      <c r="G269" s="233" t="str">
        <f t="shared" si="139"/>
        <v>1</v>
      </c>
      <c r="H269" s="233" t="str">
        <f t="shared" si="140"/>
        <v>0</v>
      </c>
      <c r="I269" s="233" t="str">
        <f t="shared" si="141"/>
        <v>0</v>
      </c>
      <c r="J269" s="233" t="str">
        <f t="shared" si="142"/>
        <v>0</v>
      </c>
      <c r="K269" s="233" t="str">
        <f t="shared" si="143"/>
        <v>1000</v>
      </c>
      <c r="L269" s="247" t="str">
        <f t="shared" si="144"/>
        <v>20358133District Design and Led 17-20</v>
      </c>
      <c r="M269" s="225">
        <v>18620</v>
      </c>
      <c r="N269" s="255"/>
      <c r="O269" s="255"/>
      <c r="P269" s="255"/>
      <c r="Q269" s="225">
        <f t="shared" si="147"/>
        <v>18620</v>
      </c>
      <c r="R269" s="225">
        <v>19558</v>
      </c>
      <c r="S269" s="225">
        <v>0</v>
      </c>
      <c r="T269" s="255"/>
      <c r="U269" s="255"/>
      <c r="V269" s="255"/>
      <c r="W269" s="255"/>
      <c r="X269" s="225">
        <v>-3644</v>
      </c>
      <c r="Y269" s="225">
        <v>-2397</v>
      </c>
      <c r="Z269" s="225">
        <v>-1802</v>
      </c>
      <c r="AA269" s="225">
        <v>-2331</v>
      </c>
      <c r="AB269" s="225">
        <v>-2845</v>
      </c>
      <c r="AC269" s="225">
        <v>-3137</v>
      </c>
      <c r="AD269" s="225">
        <v>-744</v>
      </c>
      <c r="AE269" s="255"/>
      <c r="AF269" s="225">
        <f t="shared" si="145"/>
        <v>21278</v>
      </c>
      <c r="AG269" s="255"/>
      <c r="AH269" s="255">
        <v>0</v>
      </c>
      <c r="AI269" s="255"/>
      <c r="AJ269" s="225">
        <v>-8010</v>
      </c>
      <c r="AK269" s="255"/>
      <c r="AL269" s="255"/>
      <c r="AM269" s="225">
        <v>-976.02</v>
      </c>
      <c r="AN269" s="255">
        <v>0</v>
      </c>
      <c r="AO269" s="225">
        <v>-10432.48</v>
      </c>
      <c r="AP269" s="255"/>
      <c r="AQ269" s="225">
        <v>-1750.99</v>
      </c>
      <c r="AR269" s="255"/>
      <c r="AS269" s="255">
        <v>-108.51</v>
      </c>
      <c r="AT269" s="256">
        <v>0</v>
      </c>
      <c r="AU269" s="256">
        <v>0</v>
      </c>
      <c r="AV269" s="256">
        <v>0</v>
      </c>
      <c r="AW269" s="227">
        <f t="shared" si="146"/>
        <v>-1.4210854715202004E-14</v>
      </c>
      <c r="AX269" s="257">
        <v>0</v>
      </c>
      <c r="AY269" s="255">
        <v>0</v>
      </c>
      <c r="AZ269" s="258"/>
      <c r="BA269" s="259">
        <v>0</v>
      </c>
      <c r="BB269" s="225">
        <v>0</v>
      </c>
      <c r="BC269" s="225">
        <v>0</v>
      </c>
      <c r="BD269" s="255">
        <v>0</v>
      </c>
      <c r="BE269" s="225"/>
      <c r="BF269" s="255"/>
      <c r="BG269" s="225">
        <v>0</v>
      </c>
      <c r="BH269" s="255">
        <v>0</v>
      </c>
      <c r="BI269" s="255">
        <v>0</v>
      </c>
      <c r="BJ269" s="256"/>
      <c r="BK269" s="256"/>
      <c r="BL269" s="256"/>
      <c r="BM269" s="248">
        <f t="shared" si="138"/>
        <v>-1.4210854715202004E-14</v>
      </c>
      <c r="BN269" s="257"/>
      <c r="BO269" s="255"/>
      <c r="BP269" s="256"/>
      <c r="BQ269" s="249"/>
      <c r="BR269" s="225"/>
      <c r="BS269" s="225"/>
      <c r="BT269" s="225"/>
      <c r="BU269" s="225"/>
      <c r="BV269" s="225"/>
      <c r="BW269" s="225"/>
      <c r="BX269" s="225"/>
      <c r="BY269" s="225"/>
      <c r="BZ269" s="225"/>
      <c r="CA269" s="225"/>
      <c r="CB269" s="225"/>
      <c r="CC269" s="227">
        <f t="shared" si="116"/>
        <v>-1.4210854715202004E-14</v>
      </c>
      <c r="CD269" s="244"/>
      <c r="CE269" s="244"/>
      <c r="CF269" s="244"/>
    </row>
    <row r="270" spans="1:84" x14ac:dyDescent="0.2">
      <c r="A270" s="245" t="s">
        <v>30</v>
      </c>
      <c r="B270" s="246" t="s">
        <v>85</v>
      </c>
      <c r="C270" s="246" t="s">
        <v>612</v>
      </c>
      <c r="D270" s="246" t="s">
        <v>206</v>
      </c>
      <c r="E270" s="247" t="s">
        <v>213</v>
      </c>
      <c r="F270" s="247" t="s">
        <v>712</v>
      </c>
      <c r="G270" s="233" t="str">
        <f t="shared" si="139"/>
        <v>0</v>
      </c>
      <c r="H270" s="233" t="str">
        <f t="shared" si="140"/>
        <v>1</v>
      </c>
      <c r="I270" s="233" t="str">
        <f t="shared" si="141"/>
        <v>0</v>
      </c>
      <c r="J270" s="233" t="str">
        <f t="shared" si="142"/>
        <v>0</v>
      </c>
      <c r="K270" s="233" t="str">
        <f t="shared" si="143"/>
        <v>0100</v>
      </c>
      <c r="L270" s="247" t="str">
        <f t="shared" si="144"/>
        <v>20358133District Design and Led 18-21</v>
      </c>
      <c r="M270" s="255"/>
      <c r="N270" s="255"/>
      <c r="O270" s="255"/>
      <c r="P270" s="255"/>
      <c r="Q270" s="225">
        <f t="shared" si="147"/>
        <v>0</v>
      </c>
      <c r="R270" s="225"/>
      <c r="S270" s="225">
        <v>31791</v>
      </c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25">
        <v>-3315</v>
      </c>
      <c r="AE270" s="255"/>
      <c r="AF270" s="225">
        <f t="shared" si="145"/>
        <v>28476</v>
      </c>
      <c r="AG270" s="225"/>
      <c r="AH270" s="225">
        <v>32283</v>
      </c>
      <c r="AI270" s="225"/>
      <c r="AJ270" s="255"/>
      <c r="AK270" s="255"/>
      <c r="AL270" s="255"/>
      <c r="AM270" s="225">
        <v>-3372.06</v>
      </c>
      <c r="AN270" s="255">
        <v>0</v>
      </c>
      <c r="AO270" s="255">
        <v>0</v>
      </c>
      <c r="AP270" s="225">
        <v>-5547.0499999999993</v>
      </c>
      <c r="AQ270" s="225">
        <v>-525.55999999999995</v>
      </c>
      <c r="AR270" s="225">
        <v>-3841.9300000000003</v>
      </c>
      <c r="AS270" s="225">
        <v>-9325.6299999999992</v>
      </c>
      <c r="AT270" s="248">
        <v>-5426.5499999999993</v>
      </c>
      <c r="AU270" s="248">
        <v>-3415.4199999999996</v>
      </c>
      <c r="AV270" s="248">
        <v>-5864.04</v>
      </c>
      <c r="AW270" s="227">
        <f t="shared" si="146"/>
        <v>23440.760000000006</v>
      </c>
      <c r="AX270" s="249">
        <v>0</v>
      </c>
      <c r="AY270" s="225">
        <v>60541.875</v>
      </c>
      <c r="AZ270" s="227"/>
      <c r="BA270" s="250">
        <v>0</v>
      </c>
      <c r="BB270" s="225">
        <v>-2626.56</v>
      </c>
      <c r="BC270" s="225">
        <v>0</v>
      </c>
      <c r="BD270" s="255">
        <v>-4391.7299999999996</v>
      </c>
      <c r="BE270" s="255">
        <v>-6303.53</v>
      </c>
      <c r="BF270" s="225">
        <v>-6303.53</v>
      </c>
      <c r="BG270" s="225">
        <v>-6303.53</v>
      </c>
      <c r="BH270" s="225">
        <v>-6303.53</v>
      </c>
      <c r="BI270" s="225">
        <v>0</v>
      </c>
      <c r="BJ270" s="248">
        <v>-5401.84</v>
      </c>
      <c r="BK270" s="248">
        <v>-10860.7</v>
      </c>
      <c r="BL270" s="248">
        <v>-1891.52</v>
      </c>
      <c r="BM270" s="248">
        <f t="shared" si="138"/>
        <v>33596.16500000003</v>
      </c>
      <c r="BN270" s="249"/>
      <c r="BO270" s="225">
        <v>61756</v>
      </c>
      <c r="BP270" s="248"/>
      <c r="BQ270" s="249">
        <v>-7222.8600000000006</v>
      </c>
      <c r="BR270" s="225"/>
      <c r="BS270" s="225"/>
      <c r="BT270" s="225">
        <v>-10536.36</v>
      </c>
      <c r="BU270" s="225"/>
      <c r="BV270" s="296">
        <f>-5092.5-13125</f>
        <v>-18217.5</v>
      </c>
      <c r="BW270" s="225"/>
      <c r="BX270" s="225"/>
      <c r="BY270" s="225">
        <v>-5092.5</v>
      </c>
      <c r="BZ270" s="225"/>
      <c r="CA270" s="225"/>
      <c r="CB270" s="225"/>
      <c r="CC270" s="227">
        <f t="shared" si="116"/>
        <v>54282.945000000036</v>
      </c>
      <c r="CD270" s="244"/>
      <c r="CE270" s="244"/>
      <c r="CF270" s="244"/>
    </row>
    <row r="271" spans="1:84" x14ac:dyDescent="0.2">
      <c r="A271" s="245" t="s">
        <v>30</v>
      </c>
      <c r="B271" s="246" t="s">
        <v>34</v>
      </c>
      <c r="C271" s="246" t="s">
        <v>612</v>
      </c>
      <c r="D271" s="246" t="s">
        <v>111</v>
      </c>
      <c r="E271" s="247" t="s">
        <v>211</v>
      </c>
      <c r="F271" s="247" t="s">
        <v>712</v>
      </c>
      <c r="G271" s="233" t="str">
        <f t="shared" si="139"/>
        <v>1</v>
      </c>
      <c r="H271" s="233" t="str">
        <f t="shared" si="140"/>
        <v>0</v>
      </c>
      <c r="I271" s="233" t="str">
        <f t="shared" si="141"/>
        <v>0</v>
      </c>
      <c r="J271" s="233" t="str">
        <f t="shared" si="142"/>
        <v>0</v>
      </c>
      <c r="K271" s="233" t="str">
        <f t="shared" si="143"/>
        <v>1000</v>
      </c>
      <c r="L271" s="247" t="str">
        <f t="shared" si="144"/>
        <v>2035N/ADistrict Design and Led 17-20</v>
      </c>
      <c r="M271" s="225">
        <v>133177</v>
      </c>
      <c r="N271" s="255"/>
      <c r="O271" s="255"/>
      <c r="P271" s="255"/>
      <c r="Q271" s="225">
        <f t="shared" si="147"/>
        <v>133177</v>
      </c>
      <c r="R271" s="225">
        <v>126000</v>
      </c>
      <c r="S271" s="225">
        <v>0</v>
      </c>
      <c r="T271" s="255"/>
      <c r="U271" s="255"/>
      <c r="V271" s="255"/>
      <c r="W271" s="255"/>
      <c r="X271" s="225">
        <v>-16785</v>
      </c>
      <c r="Y271" s="225">
        <v>-6000</v>
      </c>
      <c r="Z271" s="225">
        <v>-8137</v>
      </c>
      <c r="AA271" s="225">
        <v>-2034</v>
      </c>
      <c r="AB271" s="225">
        <v>-16160</v>
      </c>
      <c r="AC271" s="225">
        <v>-16276</v>
      </c>
      <c r="AD271" s="225">
        <v>-8026</v>
      </c>
      <c r="AE271" s="255"/>
      <c r="AF271" s="225">
        <f t="shared" si="145"/>
        <v>185759</v>
      </c>
      <c r="AG271" s="255"/>
      <c r="AH271" s="255">
        <v>0</v>
      </c>
      <c r="AI271" s="255"/>
      <c r="AJ271" s="225">
        <v>-44912.800000000003</v>
      </c>
      <c r="AK271" s="255"/>
      <c r="AL271" s="255"/>
      <c r="AM271" s="255"/>
      <c r="AN271" s="225">
        <v>-27425.99</v>
      </c>
      <c r="AO271" s="225">
        <v>-23457.99</v>
      </c>
      <c r="AP271" s="225">
        <v>-2185.9899999999998</v>
      </c>
      <c r="AQ271" s="225">
        <v>-22585.23</v>
      </c>
      <c r="AR271" s="225">
        <v>-3690.38</v>
      </c>
      <c r="AS271" s="225">
        <v>-19962.38</v>
      </c>
      <c r="AT271" s="248">
        <v>-3723.88</v>
      </c>
      <c r="AU271" s="248">
        <v>-3707.13</v>
      </c>
      <c r="AV271" s="248">
        <v>-3599.01</v>
      </c>
      <c r="AW271" s="227">
        <f t="shared" si="146"/>
        <v>30508.220000000008</v>
      </c>
      <c r="AX271" s="257">
        <v>0</v>
      </c>
      <c r="AY271" s="255">
        <v>0</v>
      </c>
      <c r="AZ271" s="258"/>
      <c r="BA271" s="250">
        <v>-11266.31</v>
      </c>
      <c r="BB271" s="225">
        <v>0</v>
      </c>
      <c r="BC271" s="255">
        <v>0</v>
      </c>
      <c r="BD271" s="225">
        <v>-12275</v>
      </c>
      <c r="BE271" s="225"/>
      <c r="BF271" s="225"/>
      <c r="BG271" s="225">
        <v>0</v>
      </c>
      <c r="BH271" s="225">
        <v>0</v>
      </c>
      <c r="BI271" s="225">
        <v>0</v>
      </c>
      <c r="BJ271" s="248"/>
      <c r="BK271" s="248" t="s">
        <v>701</v>
      </c>
      <c r="BL271" s="248" t="s">
        <v>701</v>
      </c>
      <c r="BM271" s="248">
        <f t="shared" si="138"/>
        <v>6966.9100000000108</v>
      </c>
      <c r="BN271" s="257"/>
      <c r="BO271" s="255"/>
      <c r="BP271" s="256"/>
      <c r="BQ271" s="249">
        <v>-6966.91</v>
      </c>
      <c r="BR271" s="225"/>
      <c r="BS271" s="225"/>
      <c r="BT271" s="225"/>
      <c r="BU271" s="225"/>
      <c r="BV271" s="225"/>
      <c r="BW271" s="225"/>
      <c r="BX271" s="225"/>
      <c r="BY271" s="225"/>
      <c r="BZ271" s="225"/>
      <c r="CA271" s="225"/>
      <c r="CB271" s="225"/>
      <c r="CC271" s="227">
        <f t="shared" si="116"/>
        <v>1.0913936421275139E-11</v>
      </c>
      <c r="CD271" s="244"/>
      <c r="CE271" s="244"/>
      <c r="CF271" s="244"/>
    </row>
    <row r="272" spans="1:84" x14ac:dyDescent="0.2">
      <c r="A272" s="245" t="s">
        <v>224</v>
      </c>
      <c r="B272" s="246" t="s">
        <v>318</v>
      </c>
      <c r="C272" s="246" t="s">
        <v>225</v>
      </c>
      <c r="D272" s="246" t="s">
        <v>288</v>
      </c>
      <c r="E272" s="247" t="s">
        <v>213</v>
      </c>
      <c r="F272" s="247" t="s">
        <v>712</v>
      </c>
      <c r="G272" s="233" t="str">
        <f t="shared" si="139"/>
        <v>0</v>
      </c>
      <c r="H272" s="233" t="str">
        <f t="shared" si="140"/>
        <v>1</v>
      </c>
      <c r="I272" s="233" t="str">
        <f t="shared" si="141"/>
        <v>0</v>
      </c>
      <c r="J272" s="233" t="str">
        <f t="shared" si="142"/>
        <v>0</v>
      </c>
      <c r="K272" s="233" t="str">
        <f t="shared" si="143"/>
        <v>0100</v>
      </c>
      <c r="L272" s="247" t="str">
        <f t="shared" si="144"/>
        <v>21806366District Design and Led 18-21</v>
      </c>
      <c r="M272" s="255"/>
      <c r="N272" s="255"/>
      <c r="O272" s="255"/>
      <c r="P272" s="255"/>
      <c r="Q272" s="225">
        <f t="shared" si="147"/>
        <v>0</v>
      </c>
      <c r="R272" s="225"/>
      <c r="S272" s="225">
        <v>52970</v>
      </c>
      <c r="T272" s="255"/>
      <c r="U272" s="255"/>
      <c r="V272" s="255"/>
      <c r="W272" s="255"/>
      <c r="X272" s="255"/>
      <c r="Y272" s="255"/>
      <c r="Z272" s="255"/>
      <c r="AA272" s="255"/>
      <c r="AB272" s="255"/>
      <c r="AC272" s="255"/>
      <c r="AD272" s="255"/>
      <c r="AE272" s="255"/>
      <c r="AF272" s="225">
        <f t="shared" si="145"/>
        <v>52970</v>
      </c>
      <c r="AG272" s="225"/>
      <c r="AH272" s="225">
        <v>50000</v>
      </c>
      <c r="AI272" s="225"/>
      <c r="AJ272" s="255"/>
      <c r="AK272" s="255"/>
      <c r="AL272" s="255"/>
      <c r="AM272" s="255"/>
      <c r="AN272" s="255">
        <v>0</v>
      </c>
      <c r="AO272" s="255">
        <v>0</v>
      </c>
      <c r="AP272" s="255"/>
      <c r="AQ272" s="255"/>
      <c r="AR272" s="255"/>
      <c r="AS272" s="255"/>
      <c r="AT272" s="256">
        <v>-50000</v>
      </c>
      <c r="AU272" s="256">
        <v>0</v>
      </c>
      <c r="AV272" s="256">
        <v>-19341.45</v>
      </c>
      <c r="AW272" s="227">
        <f t="shared" si="146"/>
        <v>33628.550000000003</v>
      </c>
      <c r="AX272" s="249">
        <v>0</v>
      </c>
      <c r="AY272" s="225">
        <v>0</v>
      </c>
      <c r="AZ272" s="227"/>
      <c r="BA272" s="259">
        <v>0</v>
      </c>
      <c r="BB272" s="225">
        <v>0</v>
      </c>
      <c r="BC272" s="255">
        <v>0</v>
      </c>
      <c r="BD272" s="255">
        <v>0</v>
      </c>
      <c r="BE272" s="255"/>
      <c r="BF272" s="255"/>
      <c r="BG272" s="255">
        <v>-13063.33</v>
      </c>
      <c r="BH272" s="255">
        <v>-8853.1299999999992</v>
      </c>
      <c r="BI272" s="255">
        <v>0</v>
      </c>
      <c r="BJ272" s="256"/>
      <c r="BK272" s="256"/>
      <c r="BL272" s="256" t="s">
        <v>701</v>
      </c>
      <c r="BM272" s="248">
        <f t="shared" si="138"/>
        <v>11712.090000000002</v>
      </c>
      <c r="BN272" s="249"/>
      <c r="BO272" s="225"/>
      <c r="BP272" s="248"/>
      <c r="BQ272" s="249">
        <v>-7882.67</v>
      </c>
      <c r="BR272" s="225"/>
      <c r="BS272" s="225"/>
      <c r="BT272" s="225"/>
      <c r="BU272" s="225"/>
      <c r="BV272" s="225"/>
      <c r="BW272" s="225">
        <v>-3829.42</v>
      </c>
      <c r="BX272" s="225"/>
      <c r="BY272" s="225"/>
      <c r="BZ272" s="225"/>
      <c r="CA272" s="225"/>
      <c r="CB272" s="225"/>
      <c r="CC272" s="227">
        <f t="shared" si="116"/>
        <v>0</v>
      </c>
      <c r="CD272" s="244"/>
      <c r="CE272" s="244"/>
      <c r="CF272" s="244"/>
    </row>
    <row r="273" spans="1:84" x14ac:dyDescent="0.2">
      <c r="A273" s="245" t="s">
        <v>224</v>
      </c>
      <c r="B273" s="246" t="s">
        <v>428</v>
      </c>
      <c r="C273" s="246" t="s">
        <v>225</v>
      </c>
      <c r="D273" s="246" t="s">
        <v>553</v>
      </c>
      <c r="E273" s="247" t="s">
        <v>213</v>
      </c>
      <c r="F273" s="247" t="s">
        <v>712</v>
      </c>
      <c r="G273" s="233" t="str">
        <f t="shared" si="139"/>
        <v>0</v>
      </c>
      <c r="H273" s="233" t="str">
        <f t="shared" si="140"/>
        <v>1</v>
      </c>
      <c r="I273" s="233" t="str">
        <f t="shared" si="141"/>
        <v>0</v>
      </c>
      <c r="J273" s="233" t="str">
        <f t="shared" si="142"/>
        <v>0</v>
      </c>
      <c r="K273" s="233" t="str">
        <f t="shared" si="143"/>
        <v>0100</v>
      </c>
      <c r="L273" s="247" t="str">
        <f t="shared" si="144"/>
        <v>21806466District Design and Led 18-21</v>
      </c>
      <c r="M273" s="255"/>
      <c r="N273" s="255"/>
      <c r="O273" s="255"/>
      <c r="P273" s="255"/>
      <c r="Q273" s="225">
        <f t="shared" si="147"/>
        <v>0</v>
      </c>
      <c r="R273" s="225"/>
      <c r="S273" s="225">
        <v>52970</v>
      </c>
      <c r="T273" s="255"/>
      <c r="U273" s="255"/>
      <c r="V273" s="255"/>
      <c r="W273" s="255"/>
      <c r="X273" s="255"/>
      <c r="Y273" s="255"/>
      <c r="Z273" s="255"/>
      <c r="AA273" s="255"/>
      <c r="AB273" s="255"/>
      <c r="AC273" s="255"/>
      <c r="AD273" s="255"/>
      <c r="AE273" s="255"/>
      <c r="AF273" s="225">
        <f t="shared" si="145"/>
        <v>52970</v>
      </c>
      <c r="AG273" s="225"/>
      <c r="AH273" s="225">
        <v>50000</v>
      </c>
      <c r="AI273" s="225"/>
      <c r="AJ273" s="255"/>
      <c r="AK273" s="255"/>
      <c r="AL273" s="255"/>
      <c r="AM273" s="255"/>
      <c r="AN273" s="255">
        <v>0</v>
      </c>
      <c r="AO273" s="225">
        <v>-18443.88</v>
      </c>
      <c r="AP273" s="255"/>
      <c r="AQ273" s="255"/>
      <c r="AR273" s="255"/>
      <c r="AS273" s="255"/>
      <c r="AT273" s="256">
        <v>-31556.12</v>
      </c>
      <c r="AU273" s="256">
        <v>0</v>
      </c>
      <c r="AV273" s="256">
        <v>-41466.9</v>
      </c>
      <c r="AW273" s="227">
        <f t="shared" si="146"/>
        <v>11503.099999999999</v>
      </c>
      <c r="AX273" s="249">
        <v>0</v>
      </c>
      <c r="AY273" s="225">
        <v>0</v>
      </c>
      <c r="AZ273" s="227"/>
      <c r="BA273" s="259">
        <v>0</v>
      </c>
      <c r="BB273" s="225">
        <v>-8533.1</v>
      </c>
      <c r="BC273" s="255">
        <v>0</v>
      </c>
      <c r="BD273" s="255">
        <v>0</v>
      </c>
      <c r="BE273" s="225"/>
      <c r="BF273" s="255"/>
      <c r="BG273" s="255">
        <v>0</v>
      </c>
      <c r="BH273" s="255">
        <v>0</v>
      </c>
      <c r="BI273" s="255">
        <v>0</v>
      </c>
      <c r="BJ273" s="256"/>
      <c r="BK273" s="256"/>
      <c r="BL273" s="256"/>
      <c r="BM273" s="248">
        <f t="shared" si="138"/>
        <v>2969.9999999999982</v>
      </c>
      <c r="BN273" s="249"/>
      <c r="BO273" s="225"/>
      <c r="BP273" s="248"/>
      <c r="BQ273" s="249"/>
      <c r="BR273" s="225"/>
      <c r="BS273" s="225"/>
      <c r="BT273" s="225"/>
      <c r="BU273" s="225">
        <v>-2970</v>
      </c>
      <c r="BV273" s="225"/>
      <c r="BW273" s="225"/>
      <c r="BX273" s="225"/>
      <c r="BY273" s="225"/>
      <c r="BZ273" s="225"/>
      <c r="CA273" s="225"/>
      <c r="CB273" s="225"/>
      <c r="CC273" s="227">
        <f t="shared" ref="CC273:CC336" si="148">SUM(BM273:CB273)</f>
        <v>0</v>
      </c>
      <c r="CD273" s="244"/>
      <c r="CE273" s="244"/>
      <c r="CF273" s="244"/>
    </row>
    <row r="274" spans="1:84" x14ac:dyDescent="0.2">
      <c r="A274" s="245" t="s">
        <v>224</v>
      </c>
      <c r="B274" s="246" t="s">
        <v>320</v>
      </c>
      <c r="C274" s="246" t="s">
        <v>225</v>
      </c>
      <c r="D274" s="246" t="s">
        <v>290</v>
      </c>
      <c r="E274" s="247" t="s">
        <v>213</v>
      </c>
      <c r="F274" s="247" t="s">
        <v>712</v>
      </c>
      <c r="G274" s="233" t="str">
        <f t="shared" si="139"/>
        <v>0</v>
      </c>
      <c r="H274" s="233" t="str">
        <f t="shared" si="140"/>
        <v>1</v>
      </c>
      <c r="I274" s="233" t="str">
        <f t="shared" si="141"/>
        <v>0</v>
      </c>
      <c r="J274" s="233" t="str">
        <f t="shared" si="142"/>
        <v>0</v>
      </c>
      <c r="K274" s="233" t="str">
        <f t="shared" si="143"/>
        <v>0100</v>
      </c>
      <c r="L274" s="247" t="str">
        <f t="shared" si="144"/>
        <v>21807106District Design and Led 18-21</v>
      </c>
      <c r="M274" s="255"/>
      <c r="N274" s="255"/>
      <c r="O274" s="255"/>
      <c r="P274" s="255"/>
      <c r="Q274" s="225">
        <f t="shared" si="147"/>
        <v>0</v>
      </c>
      <c r="R274" s="225"/>
      <c r="S274" s="225">
        <v>52970</v>
      </c>
      <c r="T274" s="255"/>
      <c r="U274" s="255"/>
      <c r="V274" s="255"/>
      <c r="W274" s="255"/>
      <c r="X274" s="255"/>
      <c r="Y274" s="255"/>
      <c r="Z274" s="255"/>
      <c r="AA274" s="255"/>
      <c r="AB274" s="255"/>
      <c r="AC274" s="255"/>
      <c r="AD274" s="255"/>
      <c r="AE274" s="255"/>
      <c r="AF274" s="225">
        <f t="shared" si="145"/>
        <v>52970</v>
      </c>
      <c r="AG274" s="225"/>
      <c r="AH274" s="225">
        <v>50000</v>
      </c>
      <c r="AI274" s="225"/>
      <c r="AJ274" s="255"/>
      <c r="AK274" s="255"/>
      <c r="AL274" s="255"/>
      <c r="AM274" s="255"/>
      <c r="AN274" s="255">
        <v>0</v>
      </c>
      <c r="AO274" s="225">
        <v>-7765.29</v>
      </c>
      <c r="AP274" s="255"/>
      <c r="AQ274" s="255"/>
      <c r="AR274" s="255"/>
      <c r="AS274" s="255"/>
      <c r="AT274" s="256">
        <v>-42234.71</v>
      </c>
      <c r="AU274" s="256">
        <v>0</v>
      </c>
      <c r="AV274" s="256">
        <v>-20321.77</v>
      </c>
      <c r="AW274" s="227">
        <f t="shared" si="146"/>
        <v>32648.230000000007</v>
      </c>
      <c r="AX274" s="249">
        <v>0</v>
      </c>
      <c r="AY274" s="225">
        <v>0</v>
      </c>
      <c r="AZ274" s="227"/>
      <c r="BA274" s="259">
        <v>0</v>
      </c>
      <c r="BB274" s="225">
        <v>0</v>
      </c>
      <c r="BC274" s="255">
        <v>0</v>
      </c>
      <c r="BD274" s="255">
        <v>0</v>
      </c>
      <c r="BE274" s="225"/>
      <c r="BF274" s="255"/>
      <c r="BG274" s="255">
        <v>-20125.830000000002</v>
      </c>
      <c r="BH274" s="255">
        <v>-4095.45</v>
      </c>
      <c r="BI274" s="255">
        <v>0</v>
      </c>
      <c r="BJ274" s="256"/>
      <c r="BK274" s="256"/>
      <c r="BL274" s="256"/>
      <c r="BM274" s="248">
        <f t="shared" si="138"/>
        <v>8426.9500000000044</v>
      </c>
      <c r="BN274" s="249"/>
      <c r="BO274" s="225"/>
      <c r="BP274" s="248"/>
      <c r="BQ274" s="249">
        <v>-5525.1</v>
      </c>
      <c r="BR274" s="225"/>
      <c r="BS274" s="225">
        <v>-917.9</v>
      </c>
      <c r="BT274" s="225"/>
      <c r="BU274" s="225"/>
      <c r="BV274" s="225"/>
      <c r="BW274" s="225">
        <v>-1983.95</v>
      </c>
      <c r="BX274" s="225"/>
      <c r="BY274" s="225"/>
      <c r="BZ274" s="225"/>
      <c r="CA274" s="225"/>
      <c r="CB274" s="225"/>
      <c r="CC274" s="227">
        <f t="shared" si="148"/>
        <v>3.865352482534945E-12</v>
      </c>
      <c r="CD274" s="244"/>
      <c r="CE274" s="244"/>
      <c r="CF274" s="244"/>
    </row>
    <row r="275" spans="1:84" x14ac:dyDescent="0.2">
      <c r="A275" s="251" t="s">
        <v>224</v>
      </c>
      <c r="B275" s="246" t="s">
        <v>34</v>
      </c>
      <c r="C275" s="246" t="s">
        <v>225</v>
      </c>
      <c r="D275" s="246" t="s">
        <v>111</v>
      </c>
      <c r="E275" s="247" t="s">
        <v>211</v>
      </c>
      <c r="F275" s="247" t="s">
        <v>712</v>
      </c>
      <c r="G275" s="233" t="str">
        <f t="shared" si="139"/>
        <v>1</v>
      </c>
      <c r="H275" s="233" t="str">
        <f t="shared" si="140"/>
        <v>0</v>
      </c>
      <c r="I275" s="233" t="str">
        <f t="shared" si="141"/>
        <v>0</v>
      </c>
      <c r="J275" s="233" t="str">
        <f t="shared" si="142"/>
        <v>0</v>
      </c>
      <c r="K275" s="233" t="str">
        <f t="shared" si="143"/>
        <v>1000</v>
      </c>
      <c r="L275" s="247" t="str">
        <f t="shared" si="144"/>
        <v>2180N/ADistrict Design and Led 17-20</v>
      </c>
      <c r="M275" s="225">
        <v>60894</v>
      </c>
      <c r="N275" s="255"/>
      <c r="O275" s="255"/>
      <c r="P275" s="255"/>
      <c r="Q275" s="225">
        <f t="shared" si="147"/>
        <v>60894</v>
      </c>
      <c r="R275" s="225">
        <v>75000</v>
      </c>
      <c r="S275" s="225">
        <v>0</v>
      </c>
      <c r="T275" s="255"/>
      <c r="U275" s="255"/>
      <c r="V275" s="255"/>
      <c r="W275" s="225">
        <v>-53675</v>
      </c>
      <c r="X275" s="255"/>
      <c r="Y275" s="255"/>
      <c r="Z275" s="255"/>
      <c r="AA275" s="255"/>
      <c r="AB275" s="255"/>
      <c r="AC275" s="255"/>
      <c r="AD275" s="255"/>
      <c r="AE275" s="255"/>
      <c r="AF275" s="225">
        <f t="shared" si="145"/>
        <v>82219</v>
      </c>
      <c r="AG275" s="255"/>
      <c r="AH275" s="255">
        <v>0</v>
      </c>
      <c r="AI275" s="255"/>
      <c r="AJ275" s="255"/>
      <c r="AK275" s="255"/>
      <c r="AL275" s="255"/>
      <c r="AM275" s="255"/>
      <c r="AN275" s="255">
        <v>0</v>
      </c>
      <c r="AO275" s="255">
        <v>0</v>
      </c>
      <c r="AP275" s="255"/>
      <c r="AQ275" s="255"/>
      <c r="AR275" s="255"/>
      <c r="AS275" s="255">
        <v>-79079.75</v>
      </c>
      <c r="AT275" s="256">
        <v>-3139.25</v>
      </c>
      <c r="AU275" s="256">
        <v>0</v>
      </c>
      <c r="AV275" s="256">
        <v>0</v>
      </c>
      <c r="AW275" s="227">
        <f t="shared" si="146"/>
        <v>0</v>
      </c>
      <c r="AX275" s="257">
        <v>0</v>
      </c>
      <c r="AY275" s="255">
        <v>0</v>
      </c>
      <c r="AZ275" s="258"/>
      <c r="BA275" s="259">
        <v>0</v>
      </c>
      <c r="BB275" s="225">
        <v>0</v>
      </c>
      <c r="BC275" s="255">
        <v>0</v>
      </c>
      <c r="BD275" s="255">
        <v>0</v>
      </c>
      <c r="BE275" s="255"/>
      <c r="BF275" s="255"/>
      <c r="BG275" s="255">
        <v>0</v>
      </c>
      <c r="BH275" s="255">
        <v>0</v>
      </c>
      <c r="BI275" s="255">
        <v>0</v>
      </c>
      <c r="BJ275" s="256"/>
      <c r="BK275" s="256"/>
      <c r="BL275" s="256"/>
      <c r="BM275" s="248">
        <f t="shared" si="138"/>
        <v>0</v>
      </c>
      <c r="BN275" s="257"/>
      <c r="BO275" s="255"/>
      <c r="BP275" s="256"/>
      <c r="BQ275" s="249"/>
      <c r="BR275" s="225"/>
      <c r="BS275" s="225"/>
      <c r="BT275" s="225"/>
      <c r="BU275" s="225"/>
      <c r="BV275" s="225"/>
      <c r="BW275" s="225"/>
      <c r="BX275" s="225"/>
      <c r="BY275" s="225"/>
      <c r="BZ275" s="225"/>
      <c r="CA275" s="225"/>
      <c r="CB275" s="225"/>
      <c r="CC275" s="227">
        <f t="shared" si="148"/>
        <v>0</v>
      </c>
      <c r="CD275" s="244"/>
      <c r="CE275" s="244"/>
      <c r="CF275" s="244"/>
    </row>
    <row r="276" spans="1:84" x14ac:dyDescent="0.2">
      <c r="A276" s="245" t="s">
        <v>224</v>
      </c>
      <c r="B276" s="246" t="s">
        <v>34</v>
      </c>
      <c r="C276" s="246" t="s">
        <v>225</v>
      </c>
      <c r="D276" s="246" t="s">
        <v>111</v>
      </c>
      <c r="E276" s="247" t="s">
        <v>213</v>
      </c>
      <c r="F276" s="247" t="s">
        <v>712</v>
      </c>
      <c r="G276" s="233" t="str">
        <f t="shared" si="139"/>
        <v>0</v>
      </c>
      <c r="H276" s="233" t="str">
        <f t="shared" si="140"/>
        <v>1</v>
      </c>
      <c r="I276" s="233" t="str">
        <f t="shared" si="141"/>
        <v>0</v>
      </c>
      <c r="J276" s="233" t="str">
        <f t="shared" si="142"/>
        <v>0</v>
      </c>
      <c r="K276" s="233" t="str">
        <f t="shared" si="143"/>
        <v>0100</v>
      </c>
      <c r="L276" s="247" t="str">
        <f t="shared" si="144"/>
        <v>2180N/ADistrict Design and Led 18-21</v>
      </c>
      <c r="M276" s="255"/>
      <c r="N276" s="255"/>
      <c r="O276" s="255"/>
      <c r="P276" s="255"/>
      <c r="Q276" s="225">
        <f t="shared" si="147"/>
        <v>0</v>
      </c>
      <c r="R276" s="225"/>
      <c r="S276" s="225">
        <v>391400.62699999998</v>
      </c>
      <c r="T276" s="255"/>
      <c r="U276" s="255"/>
      <c r="V276" s="255"/>
      <c r="W276" s="255"/>
      <c r="X276" s="255"/>
      <c r="Y276" s="255"/>
      <c r="Z276" s="255"/>
      <c r="AA276" s="255"/>
      <c r="AB276" s="255"/>
      <c r="AC276" s="255"/>
      <c r="AD276" s="255"/>
      <c r="AE276" s="255"/>
      <c r="AF276" s="225">
        <f t="shared" si="145"/>
        <v>391400.62699999998</v>
      </c>
      <c r="AG276" s="255"/>
      <c r="AH276" s="255">
        <v>329546</v>
      </c>
      <c r="AI276" s="255"/>
      <c r="AJ276" s="255"/>
      <c r="AK276" s="255"/>
      <c r="AL276" s="255"/>
      <c r="AM276" s="255"/>
      <c r="AN276" s="255">
        <v>0</v>
      </c>
      <c r="AO276" s="225">
        <v>-59151.519999999997</v>
      </c>
      <c r="AP276" s="255"/>
      <c r="AQ276" s="255"/>
      <c r="AR276" s="255"/>
      <c r="AS276" s="255"/>
      <c r="AT276" s="256">
        <v>-282593.97000000003</v>
      </c>
      <c r="AU276" s="256">
        <v>0</v>
      </c>
      <c r="AV276" s="256">
        <v>0</v>
      </c>
      <c r="AW276" s="227">
        <f t="shared" si="146"/>
        <v>379201.13699999993</v>
      </c>
      <c r="AX276" s="257">
        <v>283624</v>
      </c>
      <c r="AY276" s="255">
        <v>0</v>
      </c>
      <c r="AZ276" s="258"/>
      <c r="BA276" s="259">
        <v>0</v>
      </c>
      <c r="BB276" s="225">
        <v>0</v>
      </c>
      <c r="BC276" s="255">
        <v>0</v>
      </c>
      <c r="BD276" s="255">
        <v>-20490.509999999998</v>
      </c>
      <c r="BE276" s="225"/>
      <c r="BF276" s="255">
        <v>-322006.19</v>
      </c>
      <c r="BG276" s="255">
        <v>-5840.47</v>
      </c>
      <c r="BH276" s="255">
        <v>-210720.88</v>
      </c>
      <c r="BI276" s="255">
        <v>0</v>
      </c>
      <c r="BJ276" s="256"/>
      <c r="BK276" s="256">
        <v>-41593.620000000003</v>
      </c>
      <c r="BL276" s="256"/>
      <c r="BM276" s="248">
        <f t="shared" si="138"/>
        <v>62173.46699999988</v>
      </c>
      <c r="BN276" s="257"/>
      <c r="BO276" s="255"/>
      <c r="BP276" s="256"/>
      <c r="BQ276" s="249">
        <v>-62173.47</v>
      </c>
      <c r="BR276" s="225"/>
      <c r="BS276" s="225"/>
      <c r="BT276" s="225"/>
      <c r="BU276" s="225"/>
      <c r="BV276" s="225"/>
      <c r="BW276" s="225"/>
      <c r="BX276" s="225"/>
      <c r="BY276" s="225"/>
      <c r="BZ276" s="225"/>
      <c r="CA276" s="225"/>
      <c r="CB276" s="225"/>
      <c r="CC276" s="227">
        <f t="shared" si="148"/>
        <v>-3.0000001206644811E-3</v>
      </c>
      <c r="CD276" s="244"/>
      <c r="CE276" s="244"/>
      <c r="CF276" s="244"/>
    </row>
    <row r="277" spans="1:84" x14ac:dyDescent="0.2">
      <c r="A277" s="245" t="s">
        <v>400</v>
      </c>
      <c r="B277" s="246" t="s">
        <v>429</v>
      </c>
      <c r="C277" s="246" t="s">
        <v>611</v>
      </c>
      <c r="D277" s="246" t="s">
        <v>554</v>
      </c>
      <c r="E277" s="247" t="s">
        <v>213</v>
      </c>
      <c r="F277" s="247" t="s">
        <v>712</v>
      </c>
      <c r="G277" s="233" t="str">
        <f t="shared" si="139"/>
        <v>0</v>
      </c>
      <c r="H277" s="233" t="str">
        <f t="shared" si="140"/>
        <v>1</v>
      </c>
      <c r="I277" s="233" t="str">
        <f t="shared" si="141"/>
        <v>0</v>
      </c>
      <c r="J277" s="233" t="str">
        <f t="shared" si="142"/>
        <v>0</v>
      </c>
      <c r="K277" s="233" t="str">
        <f t="shared" si="143"/>
        <v>0100</v>
      </c>
      <c r="L277" s="247" t="str">
        <f t="shared" si="144"/>
        <v>21906196District Design and Led 18-21</v>
      </c>
      <c r="M277" s="255"/>
      <c r="N277" s="255"/>
      <c r="O277" s="255"/>
      <c r="P277" s="255"/>
      <c r="Q277" s="225">
        <f t="shared" si="147"/>
        <v>0</v>
      </c>
      <c r="R277" s="225"/>
      <c r="S277" s="225">
        <v>69390</v>
      </c>
      <c r="T277" s="255"/>
      <c r="U277" s="255"/>
      <c r="V277" s="255"/>
      <c r="W277" s="255"/>
      <c r="X277" s="255"/>
      <c r="Y277" s="255"/>
      <c r="Z277" s="255"/>
      <c r="AA277" s="255"/>
      <c r="AB277" s="255"/>
      <c r="AC277" s="225">
        <v>-36000</v>
      </c>
      <c r="AD277" s="255"/>
      <c r="AE277" s="225">
        <v>-32190</v>
      </c>
      <c r="AF277" s="225">
        <f t="shared" si="145"/>
        <v>1200</v>
      </c>
      <c r="AG277" s="255"/>
      <c r="AH277" s="255">
        <v>0</v>
      </c>
      <c r="AI277" s="255"/>
      <c r="AJ277" s="225">
        <v>-1200</v>
      </c>
      <c r="AK277" s="255"/>
      <c r="AL277" s="255"/>
      <c r="AM277" s="255"/>
      <c r="AN277" s="255">
        <v>0</v>
      </c>
      <c r="AO277" s="255">
        <v>0</v>
      </c>
      <c r="AP277" s="255"/>
      <c r="AQ277" s="255"/>
      <c r="AR277" s="255"/>
      <c r="AS277" s="255"/>
      <c r="AT277" s="256">
        <v>0</v>
      </c>
      <c r="AU277" s="256">
        <v>0</v>
      </c>
      <c r="AV277" s="256">
        <v>0</v>
      </c>
      <c r="AW277" s="227">
        <f t="shared" si="146"/>
        <v>0</v>
      </c>
      <c r="AX277" s="257">
        <v>0</v>
      </c>
      <c r="AY277" s="255">
        <v>62156</v>
      </c>
      <c r="AZ277" s="258"/>
      <c r="BA277" s="259">
        <v>0</v>
      </c>
      <c r="BB277" s="255">
        <v>0</v>
      </c>
      <c r="BC277" s="255">
        <v>0</v>
      </c>
      <c r="BD277" s="255">
        <v>0</v>
      </c>
      <c r="BE277" s="255"/>
      <c r="BF277" s="255"/>
      <c r="BG277" s="255">
        <v>0</v>
      </c>
      <c r="BH277" s="255">
        <v>0</v>
      </c>
      <c r="BI277" s="255">
        <v>0</v>
      </c>
      <c r="BJ277" s="256"/>
      <c r="BK277" s="256">
        <v>-40453.800000000003</v>
      </c>
      <c r="BL277" s="256"/>
      <c r="BM277" s="248">
        <f t="shared" si="138"/>
        <v>21702.199999999997</v>
      </c>
      <c r="BN277" s="257"/>
      <c r="BO277" s="255"/>
      <c r="BP277" s="256"/>
      <c r="BQ277" s="249"/>
      <c r="BR277" s="225"/>
      <c r="BS277" s="225">
        <v>-10958.89</v>
      </c>
      <c r="BT277" s="225"/>
      <c r="BU277" s="225"/>
      <c r="BV277" s="225"/>
      <c r="BW277" s="225"/>
      <c r="BX277" s="225"/>
      <c r="BY277" s="225"/>
      <c r="BZ277" s="225"/>
      <c r="CA277" s="225"/>
      <c r="CB277" s="225"/>
      <c r="CC277" s="227">
        <f t="shared" si="148"/>
        <v>10743.309999999998</v>
      </c>
      <c r="CD277" s="244"/>
      <c r="CE277" s="244"/>
      <c r="CF277" s="244"/>
    </row>
    <row r="278" spans="1:84" x14ac:dyDescent="0.2">
      <c r="A278" s="245" t="s">
        <v>18</v>
      </c>
      <c r="B278" s="246" t="s">
        <v>41</v>
      </c>
      <c r="C278" s="246" t="s">
        <v>613</v>
      </c>
      <c r="D278" s="246" t="s">
        <v>117</v>
      </c>
      <c r="E278" s="247" t="s">
        <v>213</v>
      </c>
      <c r="F278" s="247" t="s">
        <v>712</v>
      </c>
      <c r="G278" s="233" t="str">
        <f t="shared" si="139"/>
        <v>0</v>
      </c>
      <c r="H278" s="233" t="str">
        <f t="shared" si="140"/>
        <v>1</v>
      </c>
      <c r="I278" s="233" t="str">
        <f t="shared" si="141"/>
        <v>0</v>
      </c>
      <c r="J278" s="233" t="str">
        <f t="shared" si="142"/>
        <v>0</v>
      </c>
      <c r="K278" s="233" t="str">
        <f t="shared" si="143"/>
        <v>0100</v>
      </c>
      <c r="L278" s="247" t="str">
        <f t="shared" si="144"/>
        <v>23951094District Design and Led 18-21</v>
      </c>
      <c r="M278" s="255"/>
      <c r="N278" s="255"/>
      <c r="O278" s="255"/>
      <c r="P278" s="255"/>
      <c r="Q278" s="225">
        <f t="shared" si="147"/>
        <v>0</v>
      </c>
      <c r="R278" s="225"/>
      <c r="S278" s="225">
        <v>5000</v>
      </c>
      <c r="T278" s="255"/>
      <c r="U278" s="255"/>
      <c r="V278" s="255"/>
      <c r="W278" s="255"/>
      <c r="X278" s="255"/>
      <c r="Y278" s="255"/>
      <c r="Z278" s="255"/>
      <c r="AA278" s="255"/>
      <c r="AB278" s="255"/>
      <c r="AC278" s="225">
        <v>-2700</v>
      </c>
      <c r="AD278" s="225">
        <v>-2300</v>
      </c>
      <c r="AE278" s="255"/>
      <c r="AF278" s="225">
        <f t="shared" si="145"/>
        <v>0</v>
      </c>
      <c r="AG278" s="225"/>
      <c r="AH278" s="225">
        <v>6195</v>
      </c>
      <c r="AI278" s="225"/>
      <c r="AJ278" s="255"/>
      <c r="AK278" s="255"/>
      <c r="AL278" s="255"/>
      <c r="AM278" s="255"/>
      <c r="AN278" s="255">
        <v>0</v>
      </c>
      <c r="AO278" s="225">
        <v>-1200</v>
      </c>
      <c r="AP278" s="255"/>
      <c r="AQ278" s="255"/>
      <c r="AR278" s="255"/>
      <c r="AS278" s="255"/>
      <c r="AT278" s="256">
        <v>0</v>
      </c>
      <c r="AU278" s="256">
        <v>0</v>
      </c>
      <c r="AV278" s="256">
        <v>0</v>
      </c>
      <c r="AW278" s="227">
        <f t="shared" si="146"/>
        <v>4995</v>
      </c>
      <c r="AX278" s="249">
        <v>530</v>
      </c>
      <c r="AY278" s="225">
        <v>0</v>
      </c>
      <c r="AZ278" s="227"/>
      <c r="BA278" s="259">
        <v>0</v>
      </c>
      <c r="BB278" s="225">
        <v>0</v>
      </c>
      <c r="BC278" s="255">
        <v>0</v>
      </c>
      <c r="BD278" s="255">
        <v>-5475</v>
      </c>
      <c r="BE278" s="225"/>
      <c r="BF278" s="255"/>
      <c r="BG278" s="255">
        <v>0</v>
      </c>
      <c r="BH278" s="255">
        <v>0</v>
      </c>
      <c r="BI278" s="255">
        <v>0</v>
      </c>
      <c r="BJ278" s="256"/>
      <c r="BK278" s="256" t="s">
        <v>701</v>
      </c>
      <c r="BL278" s="256"/>
      <c r="BM278" s="248">
        <f t="shared" si="138"/>
        <v>50</v>
      </c>
      <c r="BN278" s="249"/>
      <c r="BO278" s="225"/>
      <c r="BP278" s="248"/>
      <c r="BQ278" s="249"/>
      <c r="BR278" s="225"/>
      <c r="BS278" s="225" t="s">
        <v>701</v>
      </c>
      <c r="BT278" s="225"/>
      <c r="BU278" s="225"/>
      <c r="BV278" s="225"/>
      <c r="BW278" s="225"/>
      <c r="BX278" s="225"/>
      <c r="BY278" s="225"/>
      <c r="BZ278" s="225"/>
      <c r="CA278" s="225"/>
      <c r="CB278" s="225"/>
      <c r="CC278" s="227">
        <f t="shared" si="148"/>
        <v>50</v>
      </c>
      <c r="CD278" s="244"/>
      <c r="CE278" s="244"/>
      <c r="CF278" s="244"/>
    </row>
    <row r="279" spans="1:84" x14ac:dyDescent="0.2">
      <c r="A279" s="245" t="s">
        <v>18</v>
      </c>
      <c r="B279" s="246" t="s">
        <v>42</v>
      </c>
      <c r="C279" s="246" t="s">
        <v>613</v>
      </c>
      <c r="D279" s="246" t="s">
        <v>118</v>
      </c>
      <c r="E279" s="247" t="s">
        <v>213</v>
      </c>
      <c r="F279" s="247" t="s">
        <v>712</v>
      </c>
      <c r="G279" s="233" t="str">
        <f t="shared" si="139"/>
        <v>0</v>
      </c>
      <c r="H279" s="233" t="str">
        <f t="shared" si="140"/>
        <v>1</v>
      </c>
      <c r="I279" s="233" t="str">
        <f t="shared" si="141"/>
        <v>0</v>
      </c>
      <c r="J279" s="233" t="str">
        <f t="shared" si="142"/>
        <v>0</v>
      </c>
      <c r="K279" s="233" t="str">
        <f t="shared" si="143"/>
        <v>0100</v>
      </c>
      <c r="L279" s="247" t="str">
        <f t="shared" si="144"/>
        <v>23951096District Design and Led 18-21</v>
      </c>
      <c r="M279" s="255"/>
      <c r="N279" s="255"/>
      <c r="O279" s="255"/>
      <c r="P279" s="255"/>
      <c r="Q279" s="225">
        <f t="shared" si="147"/>
        <v>0</v>
      </c>
      <c r="R279" s="225"/>
      <c r="S279" s="225">
        <v>10235</v>
      </c>
      <c r="T279" s="255"/>
      <c r="U279" s="255"/>
      <c r="V279" s="255"/>
      <c r="W279" s="255"/>
      <c r="X279" s="255"/>
      <c r="Y279" s="255"/>
      <c r="Z279" s="255"/>
      <c r="AA279" s="255"/>
      <c r="AB279" s="255"/>
      <c r="AC279" s="225">
        <v>-6240</v>
      </c>
      <c r="AD279" s="225">
        <v>-3995</v>
      </c>
      <c r="AE279" s="255"/>
      <c r="AF279" s="225">
        <f t="shared" si="145"/>
        <v>0</v>
      </c>
      <c r="AG279" s="225"/>
      <c r="AH279" s="225">
        <v>15230</v>
      </c>
      <c r="AI279" s="225"/>
      <c r="AJ279" s="255"/>
      <c r="AK279" s="255"/>
      <c r="AL279" s="255"/>
      <c r="AM279" s="255"/>
      <c r="AN279" s="225">
        <v>-500</v>
      </c>
      <c r="AO279" s="255">
        <v>0</v>
      </c>
      <c r="AP279" s="255"/>
      <c r="AQ279" s="255"/>
      <c r="AR279" s="225">
        <v>-8871.36</v>
      </c>
      <c r="AS279" s="225"/>
      <c r="AT279" s="248">
        <v>0</v>
      </c>
      <c r="AU279" s="248">
        <v>0</v>
      </c>
      <c r="AV279" s="248">
        <v>0</v>
      </c>
      <c r="AW279" s="227">
        <f t="shared" si="146"/>
        <v>5858.6399999999994</v>
      </c>
      <c r="AX279" s="249">
        <v>11310</v>
      </c>
      <c r="AY279" s="225">
        <v>0</v>
      </c>
      <c r="AZ279" s="227"/>
      <c r="BA279" s="250">
        <v>0</v>
      </c>
      <c r="BB279" s="225">
        <v>-5858.64</v>
      </c>
      <c r="BC279" s="255">
        <v>0</v>
      </c>
      <c r="BD279" s="225">
        <v>0</v>
      </c>
      <c r="BE279" s="255"/>
      <c r="BF279" s="255"/>
      <c r="BG279" s="255">
        <v>0</v>
      </c>
      <c r="BH279" s="225">
        <v>-897</v>
      </c>
      <c r="BI279" s="225">
        <v>-4802.74</v>
      </c>
      <c r="BJ279" s="248"/>
      <c r="BK279" s="248"/>
      <c r="BL279" s="248"/>
      <c r="BM279" s="248">
        <f t="shared" si="138"/>
        <v>5610.26</v>
      </c>
      <c r="BN279" s="249"/>
      <c r="BO279" s="225"/>
      <c r="BP279" s="248"/>
      <c r="BQ279" s="249"/>
      <c r="BR279" s="225"/>
      <c r="BS279" s="225"/>
      <c r="BT279" s="225"/>
      <c r="BU279" s="225"/>
      <c r="BV279" s="225"/>
      <c r="BW279" s="225"/>
      <c r="BX279" s="225"/>
      <c r="BY279" s="225"/>
      <c r="BZ279" s="225"/>
      <c r="CA279" s="225"/>
      <c r="CB279" s="225"/>
      <c r="CC279" s="227">
        <f t="shared" si="148"/>
        <v>5610.26</v>
      </c>
      <c r="CD279" s="244"/>
      <c r="CE279" s="244"/>
      <c r="CF279" s="244"/>
    </row>
    <row r="280" spans="1:84" x14ac:dyDescent="0.2">
      <c r="A280" s="245" t="s">
        <v>18</v>
      </c>
      <c r="B280" s="247" t="s">
        <v>43</v>
      </c>
      <c r="C280" s="246" t="s">
        <v>613</v>
      </c>
      <c r="D280" s="246" t="s">
        <v>119</v>
      </c>
      <c r="E280" s="247" t="s">
        <v>213</v>
      </c>
      <c r="F280" s="247" t="s">
        <v>712</v>
      </c>
      <c r="G280" s="233" t="str">
        <f t="shared" si="139"/>
        <v>0</v>
      </c>
      <c r="H280" s="233" t="str">
        <f t="shared" si="140"/>
        <v>0</v>
      </c>
      <c r="I280" s="233" t="str">
        <f t="shared" si="141"/>
        <v>0</v>
      </c>
      <c r="J280" s="233" t="str">
        <f t="shared" si="142"/>
        <v>0</v>
      </c>
      <c r="K280" s="233" t="str">
        <f t="shared" si="143"/>
        <v>0000</v>
      </c>
      <c r="L280" s="247" t="str">
        <f t="shared" si="144"/>
        <v>23951438District Design and Led 18-21</v>
      </c>
      <c r="M280" s="255"/>
      <c r="N280" s="255"/>
      <c r="O280" s="255"/>
      <c r="P280" s="255"/>
      <c r="Q280" s="225">
        <f t="shared" si="147"/>
        <v>0</v>
      </c>
      <c r="R280" s="255"/>
      <c r="S280" s="255">
        <v>0</v>
      </c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25">
        <f t="shared" si="145"/>
        <v>0</v>
      </c>
      <c r="AG280" s="225"/>
      <c r="AH280" s="225">
        <v>22600</v>
      </c>
      <c r="AI280" s="225"/>
      <c r="AJ280" s="255"/>
      <c r="AK280" s="255"/>
      <c r="AL280" s="255"/>
      <c r="AM280" s="255"/>
      <c r="AN280" s="225">
        <v>-8292.89</v>
      </c>
      <c r="AO280" s="225">
        <v>-5550</v>
      </c>
      <c r="AP280" s="255"/>
      <c r="AQ280" s="255"/>
      <c r="AR280" s="255"/>
      <c r="AS280" s="255">
        <v>-2800</v>
      </c>
      <c r="AT280" s="256">
        <v>0</v>
      </c>
      <c r="AU280" s="256">
        <v>0</v>
      </c>
      <c r="AV280" s="256">
        <v>0</v>
      </c>
      <c r="AW280" s="227">
        <f t="shared" si="146"/>
        <v>5957.1100000000006</v>
      </c>
      <c r="AX280" s="249">
        <v>14365</v>
      </c>
      <c r="AY280" s="225">
        <v>0</v>
      </c>
      <c r="AZ280" s="227"/>
      <c r="BA280" s="259">
        <v>0</v>
      </c>
      <c r="BB280" s="225">
        <v>-4979.7299999999996</v>
      </c>
      <c r="BC280" s="255">
        <v>0</v>
      </c>
      <c r="BD280" s="225">
        <v>-8925</v>
      </c>
      <c r="BE280" s="225"/>
      <c r="BF280" s="255"/>
      <c r="BG280" s="255">
        <v>0</v>
      </c>
      <c r="BH280" s="255">
        <v>0</v>
      </c>
      <c r="BI280" s="255">
        <v>-2800</v>
      </c>
      <c r="BJ280" s="256"/>
      <c r="BK280" s="256"/>
      <c r="BL280" s="256"/>
      <c r="BM280" s="248">
        <f t="shared" si="138"/>
        <v>3617.380000000001</v>
      </c>
      <c r="BN280" s="249"/>
      <c r="BO280" s="225"/>
      <c r="BP280" s="248"/>
      <c r="BQ280" s="249"/>
      <c r="BR280" s="225"/>
      <c r="BS280" s="225"/>
      <c r="BT280" s="225"/>
      <c r="BU280" s="225"/>
      <c r="BV280" s="225"/>
      <c r="BW280" s="225"/>
      <c r="BX280" s="225"/>
      <c r="BY280" s="225"/>
      <c r="BZ280" s="225"/>
      <c r="CA280" s="225"/>
      <c r="CB280" s="225"/>
      <c r="CC280" s="227">
        <f t="shared" si="148"/>
        <v>3617.380000000001</v>
      </c>
      <c r="CD280" s="244"/>
      <c r="CE280" s="244"/>
      <c r="CF280" s="244"/>
    </row>
    <row r="281" spans="1:84" x14ac:dyDescent="0.2">
      <c r="A281" s="245" t="s">
        <v>18</v>
      </c>
      <c r="B281" s="246" t="s">
        <v>430</v>
      </c>
      <c r="C281" s="246" t="s">
        <v>613</v>
      </c>
      <c r="D281" s="246" t="s">
        <v>555</v>
      </c>
      <c r="E281" s="247" t="s">
        <v>213</v>
      </c>
      <c r="F281" s="247" t="s">
        <v>712</v>
      </c>
      <c r="G281" s="233" t="str">
        <f t="shared" si="139"/>
        <v>0</v>
      </c>
      <c r="H281" s="233" t="str">
        <f t="shared" si="140"/>
        <v>1</v>
      </c>
      <c r="I281" s="233" t="str">
        <f t="shared" si="141"/>
        <v>0</v>
      </c>
      <c r="J281" s="233" t="str">
        <f t="shared" si="142"/>
        <v>0</v>
      </c>
      <c r="K281" s="233" t="str">
        <f t="shared" si="143"/>
        <v>0100</v>
      </c>
      <c r="L281" s="247" t="str">
        <f t="shared" si="144"/>
        <v>23958832District Design and Led 18-21</v>
      </c>
      <c r="M281" s="255"/>
      <c r="N281" s="255"/>
      <c r="O281" s="255"/>
      <c r="P281" s="255"/>
      <c r="Q281" s="225">
        <f t="shared" si="147"/>
        <v>0</v>
      </c>
      <c r="R281" s="225"/>
      <c r="S281" s="225">
        <v>10000</v>
      </c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25">
        <v>-8445</v>
      </c>
      <c r="AE281" s="255"/>
      <c r="AF281" s="225">
        <f t="shared" si="145"/>
        <v>1555</v>
      </c>
      <c r="AG281" s="225"/>
      <c r="AH281" s="225">
        <v>26600</v>
      </c>
      <c r="AI281" s="225"/>
      <c r="AJ281" s="255"/>
      <c r="AK281" s="255"/>
      <c r="AL281" s="255"/>
      <c r="AM281" s="255"/>
      <c r="AN281" s="225">
        <v>-17301.54</v>
      </c>
      <c r="AO281" s="225">
        <v>-2975</v>
      </c>
      <c r="AP281" s="255"/>
      <c r="AQ281" s="255"/>
      <c r="AR281" s="225">
        <v>-2975</v>
      </c>
      <c r="AS281" s="225"/>
      <c r="AT281" s="248">
        <v>0</v>
      </c>
      <c r="AU281" s="248">
        <v>-2800</v>
      </c>
      <c r="AV281" s="248">
        <v>0</v>
      </c>
      <c r="AW281" s="227">
        <f t="shared" si="146"/>
        <v>2103.4599999999991</v>
      </c>
      <c r="AX281" s="249">
        <v>17791</v>
      </c>
      <c r="AY281" s="225">
        <v>0</v>
      </c>
      <c r="AZ281" s="227"/>
      <c r="BA281" s="250">
        <v>0</v>
      </c>
      <c r="BB281" s="225">
        <v>-1743.78</v>
      </c>
      <c r="BC281" s="255">
        <v>0</v>
      </c>
      <c r="BD281" s="225">
        <v>0</v>
      </c>
      <c r="BE281" s="225"/>
      <c r="BF281" s="255"/>
      <c r="BG281" s="255">
        <v>0</v>
      </c>
      <c r="BH281" s="225">
        <v>0</v>
      </c>
      <c r="BI281" s="225">
        <v>-2975</v>
      </c>
      <c r="BJ281" s="248"/>
      <c r="BK281" s="248"/>
      <c r="BL281" s="248"/>
      <c r="BM281" s="248">
        <f t="shared" si="138"/>
        <v>15175.68</v>
      </c>
      <c r="BN281" s="249"/>
      <c r="BO281" s="225"/>
      <c r="BP281" s="248"/>
      <c r="BQ281" s="249"/>
      <c r="BR281" s="225"/>
      <c r="BS281" s="225"/>
      <c r="BT281" s="225"/>
      <c r="BU281" s="225"/>
      <c r="BV281" s="225"/>
      <c r="BW281" s="225"/>
      <c r="BX281" s="225"/>
      <c r="BY281" s="225"/>
      <c r="BZ281" s="225"/>
      <c r="CA281" s="225"/>
      <c r="CB281" s="225"/>
      <c r="CC281" s="227">
        <f t="shared" si="148"/>
        <v>15175.68</v>
      </c>
      <c r="CD281" s="244"/>
      <c r="CE281" s="244"/>
      <c r="CF281" s="244"/>
    </row>
    <row r="282" spans="1:84" x14ac:dyDescent="0.2">
      <c r="A282" s="245" t="s">
        <v>18</v>
      </c>
      <c r="B282" s="246" t="s">
        <v>34</v>
      </c>
      <c r="C282" s="246" t="s">
        <v>613</v>
      </c>
      <c r="D282" s="246" t="s">
        <v>111</v>
      </c>
      <c r="E282" s="247" t="s">
        <v>213</v>
      </c>
      <c r="F282" s="247" t="s">
        <v>712</v>
      </c>
      <c r="G282" s="233" t="str">
        <f t="shared" si="139"/>
        <v>0</v>
      </c>
      <c r="H282" s="233" t="str">
        <f t="shared" si="140"/>
        <v>1</v>
      </c>
      <c r="I282" s="233" t="str">
        <f t="shared" si="141"/>
        <v>0</v>
      </c>
      <c r="J282" s="233" t="str">
        <f t="shared" si="142"/>
        <v>0</v>
      </c>
      <c r="K282" s="233" t="str">
        <f t="shared" si="143"/>
        <v>0100</v>
      </c>
      <c r="L282" s="247" t="str">
        <f t="shared" si="144"/>
        <v>2395N/ADistrict Design and Led 18-21</v>
      </c>
      <c r="M282" s="255"/>
      <c r="N282" s="255"/>
      <c r="O282" s="255"/>
      <c r="P282" s="255"/>
      <c r="Q282" s="225">
        <f t="shared" si="147"/>
        <v>0</v>
      </c>
      <c r="R282" s="225"/>
      <c r="S282" s="225">
        <v>24200</v>
      </c>
      <c r="T282" s="255"/>
      <c r="U282" s="255"/>
      <c r="V282" s="255"/>
      <c r="W282" s="255"/>
      <c r="X282" s="255"/>
      <c r="Y282" s="255"/>
      <c r="Z282" s="255"/>
      <c r="AA282" s="255"/>
      <c r="AB282" s="255"/>
      <c r="AC282" s="225">
        <v>-14000</v>
      </c>
      <c r="AD282" s="255"/>
      <c r="AE282" s="225">
        <v>-10000</v>
      </c>
      <c r="AF282" s="225">
        <f t="shared" si="145"/>
        <v>200</v>
      </c>
      <c r="AG282" s="225"/>
      <c r="AH282" s="225">
        <v>79800</v>
      </c>
      <c r="AI282" s="225"/>
      <c r="AJ282" s="255"/>
      <c r="AK282" s="255"/>
      <c r="AL282" s="255"/>
      <c r="AM282" s="255"/>
      <c r="AN282" s="225">
        <v>-48350</v>
      </c>
      <c r="AO282" s="225">
        <v>-175</v>
      </c>
      <c r="AP282" s="255"/>
      <c r="AQ282" s="255"/>
      <c r="AR282" s="225">
        <v>-28175</v>
      </c>
      <c r="AS282" s="225">
        <v>-175</v>
      </c>
      <c r="AT282" s="248">
        <v>0</v>
      </c>
      <c r="AU282" s="248">
        <v>-175</v>
      </c>
      <c r="AV282" s="248">
        <v>0</v>
      </c>
      <c r="AW282" s="227">
        <f t="shared" si="146"/>
        <v>2950</v>
      </c>
      <c r="AX282" s="249">
        <v>88179</v>
      </c>
      <c r="AY282" s="225">
        <v>0</v>
      </c>
      <c r="AZ282" s="227"/>
      <c r="BA282" s="250">
        <v>0</v>
      </c>
      <c r="BB282" s="225">
        <v>-20551.36</v>
      </c>
      <c r="BC282" s="255">
        <v>0</v>
      </c>
      <c r="BD282" s="225">
        <v>-30000</v>
      </c>
      <c r="BE282" s="225"/>
      <c r="BF282" s="255"/>
      <c r="BG282" s="255">
        <v>-30000</v>
      </c>
      <c r="BH282" s="225">
        <v>0</v>
      </c>
      <c r="BI282" s="225">
        <v>-6000</v>
      </c>
      <c r="BJ282" s="248"/>
      <c r="BK282" s="248"/>
      <c r="BL282" s="248"/>
      <c r="BM282" s="248">
        <f t="shared" si="138"/>
        <v>4577.6399999999994</v>
      </c>
      <c r="BN282" s="249"/>
      <c r="BO282" s="225"/>
      <c r="BP282" s="248"/>
      <c r="BQ282" s="249"/>
      <c r="BR282" s="225"/>
      <c r="BS282" s="225"/>
      <c r="BT282" s="225"/>
      <c r="BU282" s="225"/>
      <c r="BV282" s="225"/>
      <c r="BW282" s="225"/>
      <c r="BX282" s="225"/>
      <c r="BY282" s="225"/>
      <c r="BZ282" s="225"/>
      <c r="CA282" s="225"/>
      <c r="CB282" s="225"/>
      <c r="CC282" s="227">
        <f t="shared" si="148"/>
        <v>4577.6399999999994</v>
      </c>
      <c r="CD282" s="244"/>
      <c r="CE282" s="244"/>
      <c r="CF282" s="244"/>
    </row>
    <row r="283" spans="1:84" x14ac:dyDescent="0.2">
      <c r="A283" s="245" t="s">
        <v>19</v>
      </c>
      <c r="B283" s="246" t="s">
        <v>666</v>
      </c>
      <c r="C283" s="246" t="s">
        <v>98</v>
      </c>
      <c r="D283" s="246" t="s">
        <v>676</v>
      </c>
      <c r="E283" s="247" t="s">
        <v>214</v>
      </c>
      <c r="F283" s="247" t="s">
        <v>712</v>
      </c>
      <c r="G283" s="233" t="str">
        <f t="shared" si="139"/>
        <v>0</v>
      </c>
      <c r="H283" s="233" t="str">
        <f t="shared" si="140"/>
        <v>0</v>
      </c>
      <c r="I283" s="233" t="str">
        <f t="shared" si="141"/>
        <v>1</v>
      </c>
      <c r="J283" s="233" t="str">
        <f t="shared" si="142"/>
        <v>0</v>
      </c>
      <c r="K283" s="233" t="str">
        <f t="shared" si="143"/>
        <v>0010</v>
      </c>
      <c r="L283" s="247" t="str">
        <f t="shared" si="144"/>
        <v>26900756District Design and Led 19-22</v>
      </c>
      <c r="M283" s="255"/>
      <c r="N283" s="255"/>
      <c r="O283" s="255"/>
      <c r="P283" s="255"/>
      <c r="Q283" s="225">
        <f t="shared" si="147"/>
        <v>0</v>
      </c>
      <c r="R283" s="225"/>
      <c r="S283" s="225">
        <v>0</v>
      </c>
      <c r="T283" s="255"/>
      <c r="U283" s="255"/>
      <c r="V283" s="255"/>
      <c r="W283" s="255"/>
      <c r="X283" s="255"/>
      <c r="Y283" s="255"/>
      <c r="Z283" s="255"/>
      <c r="AA283" s="255"/>
      <c r="AB283" s="255"/>
      <c r="AC283" s="255"/>
      <c r="AD283" s="255"/>
      <c r="AE283" s="255"/>
      <c r="AF283" s="225">
        <f t="shared" si="145"/>
        <v>0</v>
      </c>
      <c r="AG283" s="225"/>
      <c r="AH283" s="225">
        <v>0</v>
      </c>
      <c r="AI283" s="225">
        <v>4790.7</v>
      </c>
      <c r="AJ283" s="255"/>
      <c r="AK283" s="255"/>
      <c r="AL283" s="255"/>
      <c r="AM283" s="255"/>
      <c r="AN283" s="255">
        <v>0</v>
      </c>
      <c r="AO283" s="225">
        <v>0</v>
      </c>
      <c r="AP283" s="255"/>
      <c r="AQ283" s="255"/>
      <c r="AR283" s="255"/>
      <c r="AS283" s="255"/>
      <c r="AT283" s="256">
        <v>0</v>
      </c>
      <c r="AU283" s="256">
        <v>0</v>
      </c>
      <c r="AV283" s="256">
        <v>0</v>
      </c>
      <c r="AW283" s="227">
        <f t="shared" si="146"/>
        <v>4790.7</v>
      </c>
      <c r="AX283" s="249">
        <v>0</v>
      </c>
      <c r="AY283" s="225">
        <v>38500</v>
      </c>
      <c r="AZ283" s="227"/>
      <c r="BA283" s="259">
        <v>0</v>
      </c>
      <c r="BB283" s="225">
        <v>0</v>
      </c>
      <c r="BC283" s="255">
        <v>0</v>
      </c>
      <c r="BD283" s="255">
        <v>0</v>
      </c>
      <c r="BE283" s="225">
        <v>-5445.98</v>
      </c>
      <c r="BF283" s="255">
        <v>-5112.03</v>
      </c>
      <c r="BG283" s="255">
        <v>-3093.66</v>
      </c>
      <c r="BH283" s="255">
        <v>-2670.47</v>
      </c>
      <c r="BI283" s="255">
        <v>-2441.56</v>
      </c>
      <c r="BJ283" s="256">
        <v>-3120.9</v>
      </c>
      <c r="BK283" s="256">
        <v>-2441.56</v>
      </c>
      <c r="BL283" s="256">
        <v>-386</v>
      </c>
      <c r="BM283" s="248">
        <f t="shared" si="138"/>
        <v>18578.539999999997</v>
      </c>
      <c r="BN283" s="249"/>
      <c r="BO283" s="225">
        <v>11395</v>
      </c>
      <c r="BP283" s="248"/>
      <c r="BQ283" s="249"/>
      <c r="BR283" s="225"/>
      <c r="BS283" s="225"/>
      <c r="BT283" s="225">
        <v>-5265.1</v>
      </c>
      <c r="BU283" s="225"/>
      <c r="BV283" s="225"/>
      <c r="BW283" s="225"/>
      <c r="BX283" s="225"/>
      <c r="BY283" s="225"/>
      <c r="BZ283" s="225"/>
      <c r="CA283" s="225"/>
      <c r="CB283" s="225"/>
      <c r="CC283" s="227">
        <f t="shared" si="148"/>
        <v>24708.439999999995</v>
      </c>
      <c r="CD283" s="244"/>
      <c r="CE283" s="244"/>
      <c r="CF283" s="244"/>
    </row>
    <row r="284" spans="1:84" x14ac:dyDescent="0.2">
      <c r="A284" s="245" t="s">
        <v>19</v>
      </c>
      <c r="B284" s="246" t="s">
        <v>665</v>
      </c>
      <c r="C284" s="246" t="s">
        <v>98</v>
      </c>
      <c r="D284" s="246" t="s">
        <v>675</v>
      </c>
      <c r="E284" s="247" t="s">
        <v>214</v>
      </c>
      <c r="F284" s="247" t="s">
        <v>712</v>
      </c>
      <c r="G284" s="233" t="str">
        <f t="shared" si="139"/>
        <v>0</v>
      </c>
      <c r="H284" s="233" t="str">
        <f t="shared" si="140"/>
        <v>0</v>
      </c>
      <c r="I284" s="233" t="str">
        <f t="shared" si="141"/>
        <v>1</v>
      </c>
      <c r="J284" s="233" t="str">
        <f t="shared" si="142"/>
        <v>0</v>
      </c>
      <c r="K284" s="233" t="str">
        <f t="shared" si="143"/>
        <v>0010</v>
      </c>
      <c r="L284" s="247" t="str">
        <f t="shared" si="144"/>
        <v>26900822District Design and Led 19-22</v>
      </c>
      <c r="M284" s="255"/>
      <c r="N284" s="255"/>
      <c r="O284" s="255"/>
      <c r="P284" s="255"/>
      <c r="Q284" s="225">
        <f t="shared" si="147"/>
        <v>0</v>
      </c>
      <c r="R284" s="225"/>
      <c r="S284" s="225">
        <v>0</v>
      </c>
      <c r="T284" s="255"/>
      <c r="U284" s="255"/>
      <c r="V284" s="255"/>
      <c r="W284" s="255"/>
      <c r="X284" s="255"/>
      <c r="Y284" s="255"/>
      <c r="Z284" s="255"/>
      <c r="AA284" s="255"/>
      <c r="AB284" s="255"/>
      <c r="AC284" s="255"/>
      <c r="AD284" s="255"/>
      <c r="AE284" s="255"/>
      <c r="AF284" s="225">
        <f t="shared" si="145"/>
        <v>0</v>
      </c>
      <c r="AG284" s="225"/>
      <c r="AH284" s="225">
        <v>0</v>
      </c>
      <c r="AI284" s="225">
        <v>4790.7</v>
      </c>
      <c r="AJ284" s="255"/>
      <c r="AK284" s="255"/>
      <c r="AL284" s="255"/>
      <c r="AM284" s="255"/>
      <c r="AN284" s="255">
        <v>0</v>
      </c>
      <c r="AO284" s="255">
        <v>0</v>
      </c>
      <c r="AP284" s="255"/>
      <c r="AQ284" s="255"/>
      <c r="AR284" s="255"/>
      <c r="AS284" s="255"/>
      <c r="AT284" s="256">
        <v>0</v>
      </c>
      <c r="AU284" s="256">
        <v>0</v>
      </c>
      <c r="AV284" s="256">
        <v>0</v>
      </c>
      <c r="AW284" s="227">
        <f t="shared" si="146"/>
        <v>4790.7</v>
      </c>
      <c r="AX284" s="249">
        <v>0</v>
      </c>
      <c r="AY284" s="225">
        <v>38500</v>
      </c>
      <c r="AZ284" s="227"/>
      <c r="BA284" s="259">
        <v>0</v>
      </c>
      <c r="BB284" s="225">
        <v>0</v>
      </c>
      <c r="BC284" s="255">
        <v>0</v>
      </c>
      <c r="BD284" s="255">
        <v>0</v>
      </c>
      <c r="BE284" s="255">
        <v>-5625.13</v>
      </c>
      <c r="BF284" s="255">
        <v>-5188.37</v>
      </c>
      <c r="BG284" s="255">
        <v>-3099.85</v>
      </c>
      <c r="BH284" s="255">
        <v>-2899.72</v>
      </c>
      <c r="BI284" s="255">
        <v>-2594.5</v>
      </c>
      <c r="BJ284" s="256">
        <v>-3728.5</v>
      </c>
      <c r="BK284" s="256">
        <v>-2517.88</v>
      </c>
      <c r="BL284" s="256">
        <v>-392</v>
      </c>
      <c r="BM284" s="248">
        <f t="shared" si="138"/>
        <v>17244.75</v>
      </c>
      <c r="BN284" s="249"/>
      <c r="BO284" s="225">
        <v>11395</v>
      </c>
      <c r="BP284" s="248">
        <v>10400</v>
      </c>
      <c r="BQ284" s="249"/>
      <c r="BR284" s="225"/>
      <c r="BS284" s="225"/>
      <c r="BT284" s="225">
        <v>-5271.09</v>
      </c>
      <c r="BU284" s="225"/>
      <c r="BV284" s="225"/>
      <c r="BW284" s="225"/>
      <c r="BX284" s="225"/>
      <c r="BY284" s="225"/>
      <c r="BZ284" s="225"/>
      <c r="CA284" s="225"/>
      <c r="CB284" s="225"/>
      <c r="CC284" s="227">
        <f t="shared" si="148"/>
        <v>33768.660000000003</v>
      </c>
      <c r="CD284" s="244"/>
      <c r="CE284" s="244"/>
      <c r="CF284" s="244"/>
    </row>
    <row r="285" spans="1:84" x14ac:dyDescent="0.2">
      <c r="A285" s="245" t="s">
        <v>19</v>
      </c>
      <c r="B285" s="246" t="s">
        <v>440</v>
      </c>
      <c r="C285" s="246" t="s">
        <v>98</v>
      </c>
      <c r="D285" s="246" t="s">
        <v>503</v>
      </c>
      <c r="E285" s="247" t="s">
        <v>213</v>
      </c>
      <c r="F285" s="247" t="s">
        <v>712</v>
      </c>
      <c r="G285" s="233" t="str">
        <f t="shared" si="139"/>
        <v>0</v>
      </c>
      <c r="H285" s="233" t="str">
        <f t="shared" si="140"/>
        <v>0</v>
      </c>
      <c r="I285" s="233" t="str">
        <f t="shared" si="141"/>
        <v>0</v>
      </c>
      <c r="J285" s="233" t="str">
        <f t="shared" si="142"/>
        <v>0</v>
      </c>
      <c r="K285" s="233" t="str">
        <f t="shared" si="143"/>
        <v>0000</v>
      </c>
      <c r="L285" s="247" t="str">
        <f t="shared" si="144"/>
        <v>26901454District Design and Led 18-21</v>
      </c>
      <c r="M285" s="225"/>
      <c r="N285" s="225"/>
      <c r="O285" s="225"/>
      <c r="P285" s="225"/>
      <c r="Q285" s="225"/>
      <c r="R285" s="225"/>
      <c r="S285" s="225">
        <v>0</v>
      </c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5"/>
      <c r="AE285" s="225"/>
      <c r="AF285" s="225">
        <f t="shared" si="145"/>
        <v>0</v>
      </c>
      <c r="AG285" s="225"/>
      <c r="AH285" s="225">
        <v>72000</v>
      </c>
      <c r="AI285" s="225"/>
      <c r="AJ285" s="225"/>
      <c r="AK285" s="225"/>
      <c r="AL285" s="225"/>
      <c r="AM285" s="225"/>
      <c r="AN285" s="225">
        <v>0</v>
      </c>
      <c r="AO285" s="225">
        <v>0</v>
      </c>
      <c r="AP285" s="225"/>
      <c r="AQ285" s="225"/>
      <c r="AR285" s="225"/>
      <c r="AS285" s="225"/>
      <c r="AT285" s="248"/>
      <c r="AU285" s="248"/>
      <c r="AV285" s="248"/>
      <c r="AW285" s="227">
        <f t="shared" si="146"/>
        <v>72000</v>
      </c>
      <c r="AX285" s="249"/>
      <c r="AY285" s="225"/>
      <c r="AZ285" s="227"/>
      <c r="BA285" s="250"/>
      <c r="BB285" s="225"/>
      <c r="BC285" s="225"/>
      <c r="BD285" s="225"/>
      <c r="BE285" s="225"/>
      <c r="BF285" s="225"/>
      <c r="BG285" s="225">
        <v>0</v>
      </c>
      <c r="BH285" s="225">
        <v>0</v>
      </c>
      <c r="BI285" s="225">
        <v>0</v>
      </c>
      <c r="BJ285" s="248"/>
      <c r="BK285" s="248"/>
      <c r="BL285" s="248"/>
      <c r="BM285" s="248">
        <f t="shared" ref="BM285:BM316" si="149">SUM(AW285:BL285)</f>
        <v>72000</v>
      </c>
      <c r="BN285" s="249"/>
      <c r="BO285" s="225"/>
      <c r="BP285" s="248"/>
      <c r="BQ285" s="249"/>
      <c r="BR285" s="225"/>
      <c r="BS285" s="225"/>
      <c r="BT285" s="225"/>
      <c r="BU285" s="225"/>
      <c r="BV285" s="225"/>
      <c r="BW285" s="225"/>
      <c r="BX285" s="225"/>
      <c r="BY285" s="225"/>
      <c r="BZ285" s="225"/>
      <c r="CA285" s="225"/>
      <c r="CB285" s="225"/>
      <c r="CC285" s="227">
        <f t="shared" si="148"/>
        <v>72000</v>
      </c>
      <c r="CD285" s="244"/>
      <c r="CE285" s="244"/>
      <c r="CF285" s="244"/>
    </row>
    <row r="286" spans="1:84" x14ac:dyDescent="0.2">
      <c r="A286" s="245" t="s">
        <v>19</v>
      </c>
      <c r="B286" s="246" t="s">
        <v>667</v>
      </c>
      <c r="C286" s="246" t="s">
        <v>98</v>
      </c>
      <c r="D286" s="246" t="s">
        <v>677</v>
      </c>
      <c r="E286" s="247" t="s">
        <v>214</v>
      </c>
      <c r="F286" s="247" t="s">
        <v>712</v>
      </c>
      <c r="G286" s="233" t="str">
        <f t="shared" si="139"/>
        <v>0</v>
      </c>
      <c r="H286" s="233" t="str">
        <f t="shared" si="140"/>
        <v>0</v>
      </c>
      <c r="I286" s="233" t="str">
        <f t="shared" si="141"/>
        <v>1</v>
      </c>
      <c r="J286" s="233" t="str">
        <f t="shared" si="142"/>
        <v>0</v>
      </c>
      <c r="K286" s="233" t="str">
        <f t="shared" si="143"/>
        <v>0010</v>
      </c>
      <c r="L286" s="247" t="str">
        <f t="shared" si="144"/>
        <v>26905916District Design and Led 19-22</v>
      </c>
      <c r="M286" s="255"/>
      <c r="N286" s="255"/>
      <c r="O286" s="255"/>
      <c r="P286" s="255"/>
      <c r="Q286" s="225">
        <f t="shared" ref="Q286:Q300" si="150">SUM(M286:P286)</f>
        <v>0</v>
      </c>
      <c r="R286" s="225"/>
      <c r="S286" s="225">
        <v>0</v>
      </c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25">
        <f t="shared" si="145"/>
        <v>0</v>
      </c>
      <c r="AG286" s="225"/>
      <c r="AH286" s="225">
        <v>0</v>
      </c>
      <c r="AI286" s="225">
        <v>4790.7</v>
      </c>
      <c r="AJ286" s="255"/>
      <c r="AK286" s="255"/>
      <c r="AL286" s="255"/>
      <c r="AM286" s="255"/>
      <c r="AN286" s="255">
        <v>0</v>
      </c>
      <c r="AO286" s="225">
        <v>0</v>
      </c>
      <c r="AP286" s="255"/>
      <c r="AQ286" s="255"/>
      <c r="AR286" s="255"/>
      <c r="AS286" s="255"/>
      <c r="AT286" s="256">
        <v>0</v>
      </c>
      <c r="AU286" s="256">
        <v>0</v>
      </c>
      <c r="AV286" s="256">
        <v>0</v>
      </c>
      <c r="AW286" s="227">
        <f t="shared" si="146"/>
        <v>4790.7</v>
      </c>
      <c r="AX286" s="249">
        <v>0</v>
      </c>
      <c r="AY286" s="225">
        <v>38500</v>
      </c>
      <c r="AZ286" s="227"/>
      <c r="BA286" s="259">
        <v>0</v>
      </c>
      <c r="BB286" s="225">
        <v>0</v>
      </c>
      <c r="BC286" s="255">
        <v>0</v>
      </c>
      <c r="BD286" s="255">
        <v>0</v>
      </c>
      <c r="BE286" s="225">
        <v>-6061.29</v>
      </c>
      <c r="BF286" s="255">
        <v>-5107.96</v>
      </c>
      <c r="BG286" s="255">
        <v>-3087.91</v>
      </c>
      <c r="BH286" s="255">
        <v>-2666.7</v>
      </c>
      <c r="BI286" s="255">
        <v>-2441.56</v>
      </c>
      <c r="BJ286" s="256">
        <v>-3364.72</v>
      </c>
      <c r="BK286" s="256">
        <v>-2441.56</v>
      </c>
      <c r="BL286" s="256">
        <v>-386</v>
      </c>
      <c r="BM286" s="248">
        <f t="shared" si="149"/>
        <v>17732.999999999993</v>
      </c>
      <c r="BN286" s="249"/>
      <c r="BO286" s="225">
        <v>11395</v>
      </c>
      <c r="BP286" s="248">
        <v>10400</v>
      </c>
      <c r="BQ286" s="249"/>
      <c r="BR286" s="225"/>
      <c r="BS286" s="225"/>
      <c r="BT286" s="225">
        <v>-5271.07</v>
      </c>
      <c r="BU286" s="225"/>
      <c r="BV286" s="225"/>
      <c r="BW286" s="225"/>
      <c r="BX286" s="225"/>
      <c r="BY286" s="225"/>
      <c r="BZ286" s="225"/>
      <c r="CA286" s="225"/>
      <c r="CB286" s="225"/>
      <c r="CC286" s="227">
        <f t="shared" si="148"/>
        <v>34256.929999999993</v>
      </c>
      <c r="CD286" s="244"/>
      <c r="CE286" s="244"/>
      <c r="CF286" s="244"/>
    </row>
    <row r="287" spans="1:84" x14ac:dyDescent="0.2">
      <c r="A287" s="245" t="s">
        <v>19</v>
      </c>
      <c r="B287" s="246" t="s">
        <v>668</v>
      </c>
      <c r="C287" s="246" t="s">
        <v>98</v>
      </c>
      <c r="D287" s="246" t="s">
        <v>678</v>
      </c>
      <c r="E287" s="247" t="s">
        <v>214</v>
      </c>
      <c r="F287" s="247" t="s">
        <v>712</v>
      </c>
      <c r="G287" s="233" t="str">
        <f t="shared" si="139"/>
        <v>0</v>
      </c>
      <c r="H287" s="233" t="str">
        <f t="shared" si="140"/>
        <v>0</v>
      </c>
      <c r="I287" s="233" t="str">
        <f t="shared" si="141"/>
        <v>1</v>
      </c>
      <c r="J287" s="233" t="str">
        <f t="shared" si="142"/>
        <v>0</v>
      </c>
      <c r="K287" s="233" t="str">
        <f t="shared" si="143"/>
        <v>0010</v>
      </c>
      <c r="L287" s="247" t="str">
        <f t="shared" si="144"/>
        <v>26907481District Design and Led 19-22</v>
      </c>
      <c r="M287" s="255"/>
      <c r="N287" s="255"/>
      <c r="O287" s="255"/>
      <c r="P287" s="255"/>
      <c r="Q287" s="225">
        <f t="shared" si="150"/>
        <v>0</v>
      </c>
      <c r="R287" s="225"/>
      <c r="S287" s="225">
        <v>0</v>
      </c>
      <c r="T287" s="255"/>
      <c r="U287" s="255"/>
      <c r="V287" s="255"/>
      <c r="W287" s="255"/>
      <c r="X287" s="255"/>
      <c r="Y287" s="255"/>
      <c r="Z287" s="255"/>
      <c r="AA287" s="255"/>
      <c r="AB287" s="255"/>
      <c r="AC287" s="225"/>
      <c r="AD287" s="255"/>
      <c r="AE287" s="225"/>
      <c r="AF287" s="225">
        <f t="shared" si="145"/>
        <v>0</v>
      </c>
      <c r="AG287" s="255"/>
      <c r="AH287" s="255">
        <v>0</v>
      </c>
      <c r="AI287" s="225">
        <v>4790.7</v>
      </c>
      <c r="AJ287" s="225"/>
      <c r="AK287" s="255"/>
      <c r="AL287" s="255"/>
      <c r="AM287" s="255"/>
      <c r="AN287" s="255">
        <v>0</v>
      </c>
      <c r="AO287" s="255">
        <v>0</v>
      </c>
      <c r="AP287" s="255"/>
      <c r="AQ287" s="255"/>
      <c r="AR287" s="255"/>
      <c r="AS287" s="255"/>
      <c r="AT287" s="256">
        <v>0</v>
      </c>
      <c r="AU287" s="256">
        <v>0</v>
      </c>
      <c r="AV287" s="256">
        <v>0</v>
      </c>
      <c r="AW287" s="227">
        <f t="shared" si="146"/>
        <v>4790.7</v>
      </c>
      <c r="AX287" s="257">
        <v>0</v>
      </c>
      <c r="AY287" s="255">
        <v>38500</v>
      </c>
      <c r="AZ287" s="227"/>
      <c r="BA287" s="259">
        <v>0</v>
      </c>
      <c r="BB287" s="225">
        <v>0</v>
      </c>
      <c r="BC287" s="255">
        <v>0</v>
      </c>
      <c r="BD287" s="255">
        <v>0</v>
      </c>
      <c r="BE287" s="255">
        <v>-5269.1399999999994</v>
      </c>
      <c r="BF287" s="255">
        <v>-4883.12</v>
      </c>
      <c r="BG287" s="255">
        <v>-2828.56</v>
      </c>
      <c r="BH287" s="255">
        <v>-2441.56</v>
      </c>
      <c r="BI287" s="255">
        <v>-2441.56</v>
      </c>
      <c r="BJ287" s="256">
        <v>-3020.43</v>
      </c>
      <c r="BK287" s="256">
        <v>-2441.56</v>
      </c>
      <c r="BL287" s="256">
        <v>-386</v>
      </c>
      <c r="BM287" s="248">
        <f t="shared" si="149"/>
        <v>19578.76999999999</v>
      </c>
      <c r="BN287" s="257"/>
      <c r="BO287" s="255">
        <v>11395</v>
      </c>
      <c r="BP287" s="248">
        <v>10400</v>
      </c>
      <c r="BQ287" s="249"/>
      <c r="BR287" s="225"/>
      <c r="BS287" s="225"/>
      <c r="BT287" s="225">
        <v>-10092.27</v>
      </c>
      <c r="BU287" s="225"/>
      <c r="BV287" s="225"/>
      <c r="BW287" s="225"/>
      <c r="BX287" s="225"/>
      <c r="BY287" s="225"/>
      <c r="BZ287" s="225"/>
      <c r="CA287" s="225"/>
      <c r="CB287" s="225"/>
      <c r="CC287" s="227">
        <f t="shared" si="148"/>
        <v>31281.499999999989</v>
      </c>
      <c r="CD287" s="244"/>
      <c r="CE287" s="244"/>
      <c r="CF287" s="244"/>
    </row>
    <row r="288" spans="1:84" x14ac:dyDescent="0.2">
      <c r="A288" s="245" t="s">
        <v>19</v>
      </c>
      <c r="B288" s="246" t="s">
        <v>34</v>
      </c>
      <c r="C288" s="246" t="s">
        <v>98</v>
      </c>
      <c r="D288" s="246" t="s">
        <v>111</v>
      </c>
      <c r="E288" s="247" t="s">
        <v>211</v>
      </c>
      <c r="F288" s="247" t="s">
        <v>712</v>
      </c>
      <c r="G288" s="233" t="str">
        <f t="shared" si="139"/>
        <v>1</v>
      </c>
      <c r="H288" s="233" t="str">
        <f t="shared" si="140"/>
        <v>0</v>
      </c>
      <c r="I288" s="233" t="str">
        <f t="shared" si="141"/>
        <v>0</v>
      </c>
      <c r="J288" s="233" t="str">
        <f t="shared" si="142"/>
        <v>0</v>
      </c>
      <c r="K288" s="233" t="str">
        <f t="shared" si="143"/>
        <v>1000</v>
      </c>
      <c r="L288" s="247" t="str">
        <f t="shared" si="144"/>
        <v>2690N/ADistrict Design and Led 17-20</v>
      </c>
      <c r="M288" s="225">
        <v>281696</v>
      </c>
      <c r="N288" s="255"/>
      <c r="O288" s="255"/>
      <c r="P288" s="255"/>
      <c r="Q288" s="225">
        <f t="shared" si="150"/>
        <v>281696</v>
      </c>
      <c r="R288" s="255"/>
      <c r="S288" s="255">
        <v>0</v>
      </c>
      <c r="T288" s="255"/>
      <c r="U288" s="255"/>
      <c r="V288" s="255"/>
      <c r="W288" s="225">
        <v>-114000</v>
      </c>
      <c r="X288" s="255"/>
      <c r="Y288" s="255"/>
      <c r="Z288" s="225">
        <v>-1088</v>
      </c>
      <c r="AA288" s="255"/>
      <c r="AB288" s="255"/>
      <c r="AC288" s="255"/>
      <c r="AD288" s="255"/>
      <c r="AE288" s="225">
        <v>-40800</v>
      </c>
      <c r="AF288" s="225">
        <f t="shared" si="145"/>
        <v>125808</v>
      </c>
      <c r="AG288" s="255"/>
      <c r="AH288" s="255">
        <v>0</v>
      </c>
      <c r="AI288" s="255"/>
      <c r="AJ288" s="255"/>
      <c r="AK288" s="255"/>
      <c r="AL288" s="255"/>
      <c r="AM288" s="255"/>
      <c r="AN288" s="255">
        <v>0</v>
      </c>
      <c r="AO288" s="255">
        <v>0</v>
      </c>
      <c r="AP288" s="255"/>
      <c r="AQ288" s="255"/>
      <c r="AR288" s="255"/>
      <c r="AS288" s="255">
        <v>-27097.23</v>
      </c>
      <c r="AT288" s="256">
        <v>0</v>
      </c>
      <c r="AU288" s="256">
        <v>0</v>
      </c>
      <c r="AV288" s="256">
        <v>-98710.77</v>
      </c>
      <c r="AW288" s="227">
        <f t="shared" si="146"/>
        <v>0</v>
      </c>
      <c r="AX288" s="257">
        <v>0</v>
      </c>
      <c r="AY288" s="255">
        <v>0</v>
      </c>
      <c r="AZ288" s="258"/>
      <c r="BA288" s="259">
        <v>0</v>
      </c>
      <c r="BB288" s="225">
        <v>0</v>
      </c>
      <c r="BC288" s="255">
        <v>0</v>
      </c>
      <c r="BD288" s="255">
        <v>0</v>
      </c>
      <c r="BE288" s="255"/>
      <c r="BF288" s="255"/>
      <c r="BG288" s="255">
        <v>0</v>
      </c>
      <c r="BH288" s="255">
        <v>0</v>
      </c>
      <c r="BI288" s="255">
        <v>0</v>
      </c>
      <c r="BJ288" s="256"/>
      <c r="BK288" s="256"/>
      <c r="BL288" s="256"/>
      <c r="BM288" s="248">
        <f t="shared" si="149"/>
        <v>0</v>
      </c>
      <c r="BN288" s="257"/>
      <c r="BO288" s="255"/>
      <c r="BP288" s="256"/>
      <c r="BQ288" s="249"/>
      <c r="BR288" s="225"/>
      <c r="BS288" s="225"/>
      <c r="BT288" s="225"/>
      <c r="BU288" s="225"/>
      <c r="BV288" s="225"/>
      <c r="BW288" s="225"/>
      <c r="BX288" s="225"/>
      <c r="BY288" s="225"/>
      <c r="BZ288" s="225"/>
      <c r="CA288" s="225"/>
      <c r="CB288" s="225"/>
      <c r="CC288" s="227">
        <f t="shared" si="148"/>
        <v>0</v>
      </c>
      <c r="CD288" s="244"/>
      <c r="CE288" s="244"/>
      <c r="CF288" s="244"/>
    </row>
    <row r="289" spans="1:16267" x14ac:dyDescent="0.2">
      <c r="A289" s="245" t="s">
        <v>19</v>
      </c>
      <c r="B289" s="246" t="s">
        <v>34</v>
      </c>
      <c r="C289" s="246" t="s">
        <v>98</v>
      </c>
      <c r="D289" s="246" t="s">
        <v>111</v>
      </c>
      <c r="E289" s="247" t="s">
        <v>213</v>
      </c>
      <c r="F289" s="247" t="s">
        <v>712</v>
      </c>
      <c r="G289" s="233" t="str">
        <f t="shared" si="139"/>
        <v>0</v>
      </c>
      <c r="H289" s="233" t="str">
        <f t="shared" si="140"/>
        <v>1</v>
      </c>
      <c r="I289" s="233" t="str">
        <f t="shared" si="141"/>
        <v>0</v>
      </c>
      <c r="J289" s="233" t="str">
        <f t="shared" si="142"/>
        <v>0</v>
      </c>
      <c r="K289" s="233" t="str">
        <f t="shared" si="143"/>
        <v>0100</v>
      </c>
      <c r="L289" s="247" t="str">
        <f t="shared" si="144"/>
        <v>2690N/ADistrict Design and Led 18-21</v>
      </c>
      <c r="M289" s="255"/>
      <c r="N289" s="255"/>
      <c r="O289" s="255"/>
      <c r="P289" s="255"/>
      <c r="Q289" s="225">
        <f t="shared" si="150"/>
        <v>0</v>
      </c>
      <c r="R289" s="225"/>
      <c r="S289" s="225">
        <v>12846</v>
      </c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55"/>
      <c r="AE289" s="255"/>
      <c r="AF289" s="225">
        <f t="shared" si="145"/>
        <v>12846</v>
      </c>
      <c r="AG289" s="225"/>
      <c r="AH289" s="225">
        <v>256200</v>
      </c>
      <c r="AI289" s="225"/>
      <c r="AJ289" s="255"/>
      <c r="AK289" s="255"/>
      <c r="AL289" s="255"/>
      <c r="AM289" s="255"/>
      <c r="AN289" s="255">
        <v>0</v>
      </c>
      <c r="AO289" s="255">
        <v>0</v>
      </c>
      <c r="AP289" s="255"/>
      <c r="AQ289" s="255"/>
      <c r="AR289" s="225">
        <v>-51339.61</v>
      </c>
      <c r="AS289" s="225">
        <v>-23923</v>
      </c>
      <c r="AT289" s="248">
        <v>0</v>
      </c>
      <c r="AU289" s="248">
        <v>0</v>
      </c>
      <c r="AV289" s="248">
        <v>-17181.91</v>
      </c>
      <c r="AW289" s="227">
        <f t="shared" si="146"/>
        <v>176601.48</v>
      </c>
      <c r="AX289" s="249">
        <v>0</v>
      </c>
      <c r="AY289" s="225">
        <v>0</v>
      </c>
      <c r="AZ289" s="227"/>
      <c r="BA289" s="250">
        <v>0</v>
      </c>
      <c r="BB289" s="225">
        <v>0</v>
      </c>
      <c r="BC289" s="255">
        <v>0</v>
      </c>
      <c r="BD289" s="255">
        <v>-100543.03999999999</v>
      </c>
      <c r="BE289" s="255"/>
      <c r="BF289" s="255"/>
      <c r="BG289" s="255">
        <v>0</v>
      </c>
      <c r="BH289" s="225">
        <v>0</v>
      </c>
      <c r="BI289" s="225">
        <v>0</v>
      </c>
      <c r="BJ289" s="248"/>
      <c r="BK289" s="248"/>
      <c r="BL289" s="248">
        <v>-694</v>
      </c>
      <c r="BM289" s="248">
        <f t="shared" si="149"/>
        <v>75364.440000000017</v>
      </c>
      <c r="BN289" s="249"/>
      <c r="BO289" s="225"/>
      <c r="BP289" s="248"/>
      <c r="BQ289" s="249"/>
      <c r="BR289" s="225"/>
      <c r="BS289" s="225"/>
      <c r="BT289" s="225">
        <v>-39114</v>
      </c>
      <c r="BU289" s="225"/>
      <c r="BV289" s="225"/>
      <c r="BW289" s="225">
        <v>-32975.519999999997</v>
      </c>
      <c r="BX289" s="225"/>
      <c r="BY289" s="225"/>
      <c r="BZ289" s="225"/>
      <c r="CA289" s="225"/>
      <c r="CB289" s="225"/>
      <c r="CC289" s="227">
        <f t="shared" si="148"/>
        <v>3274.9200000000201</v>
      </c>
      <c r="CD289" s="244"/>
      <c r="CE289" s="244"/>
      <c r="CF289" s="244"/>
    </row>
    <row r="290" spans="1:16267" x14ac:dyDescent="0.2">
      <c r="A290" s="245" t="s">
        <v>25</v>
      </c>
      <c r="B290" s="247" t="s">
        <v>34</v>
      </c>
      <c r="C290" s="246" t="s">
        <v>103</v>
      </c>
      <c r="D290" s="246" t="s">
        <v>111</v>
      </c>
      <c r="E290" s="247" t="s">
        <v>228</v>
      </c>
      <c r="F290" s="247" t="s">
        <v>716</v>
      </c>
      <c r="G290" s="233" t="str">
        <f t="shared" si="139"/>
        <v>1</v>
      </c>
      <c r="H290" s="233" t="str">
        <f t="shared" si="140"/>
        <v>0</v>
      </c>
      <c r="I290" s="233" t="str">
        <f t="shared" si="141"/>
        <v>0</v>
      </c>
      <c r="J290" s="233" t="str">
        <f t="shared" si="142"/>
        <v>0</v>
      </c>
      <c r="K290" s="233" t="str">
        <f t="shared" si="143"/>
        <v>1000</v>
      </c>
      <c r="L290" s="247" t="str">
        <f t="shared" si="144"/>
        <v>1420N/ATurnaround Network</v>
      </c>
      <c r="M290" s="225">
        <v>50438</v>
      </c>
      <c r="N290" s="225"/>
      <c r="O290" s="225"/>
      <c r="P290" s="225"/>
      <c r="Q290" s="225">
        <f t="shared" si="150"/>
        <v>50438</v>
      </c>
      <c r="R290" s="225"/>
      <c r="S290" s="225">
        <v>0</v>
      </c>
      <c r="T290" s="225"/>
      <c r="U290" s="225"/>
      <c r="V290" s="225"/>
      <c r="W290" s="225">
        <v>-39630</v>
      </c>
      <c r="X290" s="225">
        <v>-1098</v>
      </c>
      <c r="Y290" s="225">
        <v>-811</v>
      </c>
      <c r="Z290" s="225">
        <v>-1080</v>
      </c>
      <c r="AA290" s="225">
        <v>-1295</v>
      </c>
      <c r="AB290" s="225">
        <v>-789</v>
      </c>
      <c r="AC290" s="225"/>
      <c r="AD290" s="225"/>
      <c r="AE290" s="225">
        <v>-5735</v>
      </c>
      <c r="AF290" s="225">
        <f t="shared" si="145"/>
        <v>0</v>
      </c>
      <c r="AG290" s="225">
        <v>70000</v>
      </c>
      <c r="AH290" s="225">
        <v>0</v>
      </c>
      <c r="AI290" s="225"/>
      <c r="AJ290" s="225"/>
      <c r="AK290" s="225"/>
      <c r="AL290" s="225"/>
      <c r="AM290" s="225"/>
      <c r="AN290" s="225">
        <v>0</v>
      </c>
      <c r="AO290" s="225">
        <v>0</v>
      </c>
      <c r="AP290" s="225"/>
      <c r="AQ290" s="225"/>
      <c r="AR290" s="225"/>
      <c r="AS290" s="225"/>
      <c r="AT290" s="248">
        <v>0</v>
      </c>
      <c r="AU290" s="248">
        <v>0</v>
      </c>
      <c r="AV290" s="248">
        <v>0</v>
      </c>
      <c r="AW290" s="227">
        <f t="shared" si="146"/>
        <v>70000</v>
      </c>
      <c r="AX290" s="249">
        <v>73479</v>
      </c>
      <c r="AY290" s="225">
        <v>0</v>
      </c>
      <c r="AZ290" s="227"/>
      <c r="BA290" s="250">
        <v>0</v>
      </c>
      <c r="BB290" s="225">
        <v>0</v>
      </c>
      <c r="BC290" s="225">
        <v>0</v>
      </c>
      <c r="BD290" s="225">
        <v>-48178.48</v>
      </c>
      <c r="BE290" s="225"/>
      <c r="BF290" s="225"/>
      <c r="BG290" s="225">
        <v>0</v>
      </c>
      <c r="BH290" s="225">
        <v>0</v>
      </c>
      <c r="BI290" s="225">
        <v>0</v>
      </c>
      <c r="BJ290" s="248"/>
      <c r="BK290" s="248"/>
      <c r="BL290" s="248"/>
      <c r="BM290" s="248">
        <f t="shared" si="149"/>
        <v>95300.51999999999</v>
      </c>
      <c r="BN290" s="249"/>
      <c r="BO290" s="225"/>
      <c r="BP290" s="248"/>
      <c r="BQ290" s="249"/>
      <c r="BR290" s="225"/>
      <c r="BS290" s="225"/>
      <c r="BT290" s="225"/>
      <c r="BU290" s="252">
        <v>-29613.79</v>
      </c>
      <c r="BV290" s="252">
        <v>-4513.18</v>
      </c>
      <c r="BW290" s="225"/>
      <c r="BX290" s="225">
        <v>-6833.5</v>
      </c>
      <c r="BY290" s="225">
        <v>-4046.88</v>
      </c>
      <c r="BZ290" s="225"/>
      <c r="CA290" s="225"/>
      <c r="CB290" s="225"/>
      <c r="CC290" s="227">
        <f t="shared" si="148"/>
        <v>50293.169999999984</v>
      </c>
      <c r="CD290" s="244"/>
      <c r="CE290" s="244"/>
      <c r="CF290" s="244"/>
    </row>
    <row r="291" spans="1:16267" x14ac:dyDescent="0.2">
      <c r="A291" s="245" t="s">
        <v>32</v>
      </c>
      <c r="B291" s="246" t="s">
        <v>88</v>
      </c>
      <c r="C291" s="246" t="s">
        <v>109</v>
      </c>
      <c r="D291" s="246" t="s">
        <v>159</v>
      </c>
      <c r="E291" s="247" t="s">
        <v>211</v>
      </c>
      <c r="F291" s="247" t="s">
        <v>712</v>
      </c>
      <c r="G291" s="233" t="str">
        <f t="shared" si="139"/>
        <v>1</v>
      </c>
      <c r="H291" s="233" t="str">
        <f t="shared" si="140"/>
        <v>0</v>
      </c>
      <c r="I291" s="233" t="str">
        <f t="shared" si="141"/>
        <v>0</v>
      </c>
      <c r="J291" s="233" t="str">
        <f t="shared" si="142"/>
        <v>0</v>
      </c>
      <c r="K291" s="233" t="str">
        <f t="shared" si="143"/>
        <v>1000</v>
      </c>
      <c r="L291" s="247" t="str">
        <f t="shared" si="144"/>
        <v>30506582District Design and Led 17-20</v>
      </c>
      <c r="M291" s="225">
        <v>50000</v>
      </c>
      <c r="N291" s="225">
        <v>-15210</v>
      </c>
      <c r="O291" s="225">
        <v>-6376</v>
      </c>
      <c r="P291" s="225">
        <v>-2700</v>
      </c>
      <c r="Q291" s="225">
        <f t="shared" si="150"/>
        <v>25714</v>
      </c>
      <c r="R291" s="225">
        <v>52626</v>
      </c>
      <c r="S291" s="225">
        <v>0</v>
      </c>
      <c r="T291" s="225"/>
      <c r="U291" s="225"/>
      <c r="V291" s="225">
        <v>-25714</v>
      </c>
      <c r="W291" s="225"/>
      <c r="X291" s="225"/>
      <c r="Y291" s="225"/>
      <c r="Z291" s="225"/>
      <c r="AA291" s="225"/>
      <c r="AB291" s="225">
        <v>-35822</v>
      </c>
      <c r="AC291" s="225"/>
      <c r="AD291" s="225"/>
      <c r="AE291" s="225"/>
      <c r="AF291" s="225">
        <f t="shared" si="145"/>
        <v>16804</v>
      </c>
      <c r="AG291" s="225"/>
      <c r="AH291" s="225">
        <v>0</v>
      </c>
      <c r="AI291" s="225"/>
      <c r="AJ291" s="225"/>
      <c r="AK291" s="225"/>
      <c r="AL291" s="225"/>
      <c r="AM291" s="225"/>
      <c r="AN291" s="225">
        <v>-2310.13</v>
      </c>
      <c r="AO291" s="225">
        <v>-8626.18</v>
      </c>
      <c r="AP291" s="225">
        <v>-5867.69</v>
      </c>
      <c r="AQ291" s="225"/>
      <c r="AR291" s="225"/>
      <c r="AS291" s="225"/>
      <c r="AT291" s="248">
        <v>0</v>
      </c>
      <c r="AU291" s="248">
        <v>0</v>
      </c>
      <c r="AV291" s="248">
        <v>0</v>
      </c>
      <c r="AW291" s="227">
        <f t="shared" si="146"/>
        <v>-9.0949470177292824E-13</v>
      </c>
      <c r="AX291" s="249">
        <v>0</v>
      </c>
      <c r="AY291" s="225">
        <v>0</v>
      </c>
      <c r="AZ291" s="227"/>
      <c r="BA291" s="250">
        <v>0</v>
      </c>
      <c r="BB291" s="225">
        <v>0</v>
      </c>
      <c r="BC291" s="225">
        <v>0</v>
      </c>
      <c r="BD291" s="225">
        <v>0</v>
      </c>
      <c r="BE291" s="225"/>
      <c r="BF291" s="225"/>
      <c r="BG291" s="225">
        <v>0</v>
      </c>
      <c r="BH291" s="225">
        <v>0</v>
      </c>
      <c r="BI291" s="225">
        <v>0</v>
      </c>
      <c r="BJ291" s="248"/>
      <c r="BK291" s="248"/>
      <c r="BL291" s="248"/>
      <c r="BM291" s="248">
        <f t="shared" si="149"/>
        <v>-9.0949470177292824E-13</v>
      </c>
      <c r="BN291" s="249"/>
      <c r="BO291" s="225"/>
      <c r="BP291" s="248"/>
      <c r="BQ291" s="249"/>
      <c r="BR291" s="225"/>
      <c r="BS291" s="225"/>
      <c r="BT291" s="225"/>
      <c r="BU291" s="225"/>
      <c r="BV291" s="225"/>
      <c r="BW291" s="225"/>
      <c r="BX291" s="225"/>
      <c r="BY291" s="225"/>
      <c r="BZ291" s="225"/>
      <c r="CA291" s="225"/>
      <c r="CB291" s="225"/>
      <c r="CC291" s="227">
        <f t="shared" si="148"/>
        <v>-9.0949470177292824E-13</v>
      </c>
      <c r="CD291" s="244"/>
      <c r="CE291" s="244"/>
      <c r="CF291" s="244"/>
    </row>
    <row r="292" spans="1:16267" x14ac:dyDescent="0.2">
      <c r="A292" s="245" t="s">
        <v>32</v>
      </c>
      <c r="B292" s="246" t="s">
        <v>34</v>
      </c>
      <c r="C292" s="246" t="s">
        <v>109</v>
      </c>
      <c r="D292" s="246" t="s">
        <v>111</v>
      </c>
      <c r="E292" s="247" t="s">
        <v>213</v>
      </c>
      <c r="F292" s="247" t="s">
        <v>712</v>
      </c>
      <c r="G292" s="233" t="str">
        <f t="shared" si="139"/>
        <v>0</v>
      </c>
      <c r="H292" s="233" t="str">
        <f t="shared" si="140"/>
        <v>0</v>
      </c>
      <c r="I292" s="233" t="str">
        <f t="shared" si="141"/>
        <v>0</v>
      </c>
      <c r="J292" s="233" t="str">
        <f t="shared" si="142"/>
        <v>0</v>
      </c>
      <c r="K292" s="233" t="str">
        <f t="shared" si="143"/>
        <v>0000</v>
      </c>
      <c r="L292" s="247" t="str">
        <f t="shared" si="144"/>
        <v>3050N/ADistrict Design and Led 18-21</v>
      </c>
      <c r="M292" s="255"/>
      <c r="N292" s="255"/>
      <c r="O292" s="255"/>
      <c r="P292" s="255"/>
      <c r="Q292" s="225">
        <f t="shared" si="150"/>
        <v>0</v>
      </c>
      <c r="R292" s="225"/>
      <c r="S292" s="225">
        <v>0</v>
      </c>
      <c r="T292" s="255"/>
      <c r="U292" s="255"/>
      <c r="V292" s="255"/>
      <c r="W292" s="255"/>
      <c r="X292" s="255"/>
      <c r="Y292" s="255"/>
      <c r="Z292" s="255"/>
      <c r="AA292" s="255"/>
      <c r="AB292" s="255"/>
      <c r="AC292" s="255"/>
      <c r="AD292" s="255"/>
      <c r="AE292" s="255"/>
      <c r="AF292" s="225">
        <f t="shared" si="145"/>
        <v>0</v>
      </c>
      <c r="AG292" s="225"/>
      <c r="AH292" s="225">
        <v>57750</v>
      </c>
      <c r="AI292" s="225"/>
      <c r="AJ292" s="255"/>
      <c r="AK292" s="255"/>
      <c r="AL292" s="255"/>
      <c r="AM292" s="255"/>
      <c r="AN292" s="255">
        <v>0</v>
      </c>
      <c r="AO292" s="255">
        <v>0</v>
      </c>
      <c r="AP292" s="255"/>
      <c r="AQ292" s="255"/>
      <c r="AR292" s="255"/>
      <c r="AS292" s="255"/>
      <c r="AT292" s="256">
        <v>-17279.400000000001</v>
      </c>
      <c r="AU292" s="256">
        <v>0</v>
      </c>
      <c r="AV292" s="256">
        <v>0</v>
      </c>
      <c r="AW292" s="227">
        <f t="shared" si="146"/>
        <v>40470.6</v>
      </c>
      <c r="AX292" s="249">
        <v>0</v>
      </c>
      <c r="AY292" s="225">
        <v>0</v>
      </c>
      <c r="AZ292" s="227"/>
      <c r="BA292" s="259">
        <v>0</v>
      </c>
      <c r="BB292" s="225">
        <v>0</v>
      </c>
      <c r="BC292" s="255">
        <v>0</v>
      </c>
      <c r="BD292" s="255">
        <v>0</v>
      </c>
      <c r="BE292" s="255"/>
      <c r="BF292" s="255"/>
      <c r="BG292" s="255">
        <v>0</v>
      </c>
      <c r="BH292" s="255">
        <v>0</v>
      </c>
      <c r="BI292" s="255">
        <v>0</v>
      </c>
      <c r="BJ292" s="256"/>
      <c r="BK292" s="256"/>
      <c r="BL292" s="256"/>
      <c r="BM292" s="248">
        <f t="shared" si="149"/>
        <v>40470.6</v>
      </c>
      <c r="BN292" s="249"/>
      <c r="BO292" s="225"/>
      <c r="BP292" s="248"/>
      <c r="BQ292" s="249"/>
      <c r="BR292" s="225"/>
      <c r="BS292" s="225"/>
      <c r="BT292" s="225"/>
      <c r="BU292" s="225"/>
      <c r="BV292" s="225"/>
      <c r="BW292" s="225"/>
      <c r="BX292" s="225"/>
      <c r="BY292" s="225"/>
      <c r="BZ292" s="225"/>
      <c r="CA292" s="225"/>
      <c r="CB292" s="225"/>
      <c r="CC292" s="227">
        <f t="shared" si="148"/>
        <v>40470.6</v>
      </c>
      <c r="CD292" s="244"/>
      <c r="CE292" s="244"/>
      <c r="CF292" s="244"/>
    </row>
    <row r="293" spans="1:16267" x14ac:dyDescent="0.2">
      <c r="A293" s="245" t="s">
        <v>21</v>
      </c>
      <c r="B293" s="246" t="s">
        <v>46</v>
      </c>
      <c r="C293" s="246" t="s">
        <v>100</v>
      </c>
      <c r="D293" s="246" t="s">
        <v>122</v>
      </c>
      <c r="E293" s="247" t="s">
        <v>213</v>
      </c>
      <c r="F293" s="247" t="s">
        <v>712</v>
      </c>
      <c r="G293" s="233" t="str">
        <f t="shared" si="139"/>
        <v>0</v>
      </c>
      <c r="H293" s="233" t="str">
        <f t="shared" si="140"/>
        <v>1</v>
      </c>
      <c r="I293" s="233" t="str">
        <f t="shared" si="141"/>
        <v>0</v>
      </c>
      <c r="J293" s="233" t="str">
        <f t="shared" si="142"/>
        <v>0</v>
      </c>
      <c r="K293" s="233" t="str">
        <f t="shared" si="143"/>
        <v>0100</v>
      </c>
      <c r="L293" s="247" t="str">
        <f t="shared" si="144"/>
        <v>31200052District Design and Led 18-21</v>
      </c>
      <c r="M293" s="255"/>
      <c r="N293" s="255"/>
      <c r="O293" s="255"/>
      <c r="P293" s="255"/>
      <c r="Q293" s="225">
        <f t="shared" si="150"/>
        <v>0</v>
      </c>
      <c r="R293" s="225"/>
      <c r="S293" s="225">
        <v>25000</v>
      </c>
      <c r="T293" s="255"/>
      <c r="U293" s="255"/>
      <c r="V293" s="255"/>
      <c r="W293" s="255"/>
      <c r="X293" s="255"/>
      <c r="Y293" s="255"/>
      <c r="Z293" s="255"/>
      <c r="AA293" s="255"/>
      <c r="AB293" s="255"/>
      <c r="AC293" s="225">
        <v>-13115</v>
      </c>
      <c r="AD293" s="225">
        <v>-6815.53</v>
      </c>
      <c r="AE293" s="225">
        <v>-441.86</v>
      </c>
      <c r="AF293" s="225">
        <f t="shared" si="145"/>
        <v>4627.6100000000006</v>
      </c>
      <c r="AG293" s="225"/>
      <c r="AH293" s="225">
        <v>50000</v>
      </c>
      <c r="AI293" s="225"/>
      <c r="AJ293" s="255"/>
      <c r="AK293" s="255"/>
      <c r="AL293" s="255"/>
      <c r="AM293" s="225">
        <v>-4627.6099999999997</v>
      </c>
      <c r="AN293" s="225">
        <v>-7954.63</v>
      </c>
      <c r="AO293" s="255">
        <v>0</v>
      </c>
      <c r="AP293" s="255"/>
      <c r="AQ293" s="255"/>
      <c r="AR293" s="255"/>
      <c r="AS293" s="255"/>
      <c r="AT293" s="256">
        <v>0</v>
      </c>
      <c r="AU293" s="256">
        <v>0</v>
      </c>
      <c r="AV293" s="256">
        <v>0</v>
      </c>
      <c r="AW293" s="227">
        <f t="shared" si="146"/>
        <v>42045.37</v>
      </c>
      <c r="AX293" s="249">
        <v>55160</v>
      </c>
      <c r="AY293" s="225">
        <v>0</v>
      </c>
      <c r="AZ293" s="227"/>
      <c r="BA293" s="259">
        <v>0</v>
      </c>
      <c r="BB293" s="225">
        <v>0</v>
      </c>
      <c r="BC293" s="225">
        <v>0</v>
      </c>
      <c r="BD293" s="225">
        <v>0</v>
      </c>
      <c r="BE293" s="255">
        <v>-12312.06</v>
      </c>
      <c r="BF293" s="255">
        <v>-500</v>
      </c>
      <c r="BG293" s="255">
        <v>-51.6</v>
      </c>
      <c r="BH293" s="255">
        <v>0</v>
      </c>
      <c r="BI293" s="255">
        <v>0</v>
      </c>
      <c r="BJ293" s="256">
        <v>-3782.61</v>
      </c>
      <c r="BK293" s="256"/>
      <c r="BL293" s="256">
        <v>-10299.67</v>
      </c>
      <c r="BM293" s="248">
        <f t="shared" si="149"/>
        <v>70259.429999999993</v>
      </c>
      <c r="BN293" s="249"/>
      <c r="BO293" s="225"/>
      <c r="BP293" s="248"/>
      <c r="BQ293" s="249">
        <v>-7626.37</v>
      </c>
      <c r="BR293" s="225"/>
      <c r="BS293" s="225"/>
      <c r="BT293" s="225"/>
      <c r="BU293" s="225">
        <v>-41984.67</v>
      </c>
      <c r="BV293" s="225"/>
      <c r="BW293" s="225"/>
      <c r="BX293" s="225"/>
      <c r="BY293" s="225"/>
      <c r="BZ293" s="225"/>
      <c r="CA293" s="225"/>
      <c r="CB293" s="225"/>
      <c r="CC293" s="227">
        <f t="shared" si="148"/>
        <v>20648.389999999992</v>
      </c>
      <c r="CD293" s="244"/>
      <c r="CE293" s="244"/>
      <c r="CF293" s="244"/>
    </row>
    <row r="294" spans="1:16267" x14ac:dyDescent="0.2">
      <c r="A294" s="245" t="s">
        <v>21</v>
      </c>
      <c r="B294" s="246" t="s">
        <v>48</v>
      </c>
      <c r="C294" s="246" t="s">
        <v>100</v>
      </c>
      <c r="D294" s="246" t="s">
        <v>124</v>
      </c>
      <c r="E294" s="247" t="s">
        <v>213</v>
      </c>
      <c r="F294" s="247" t="s">
        <v>712</v>
      </c>
      <c r="G294" s="233" t="str">
        <f t="shared" si="139"/>
        <v>0</v>
      </c>
      <c r="H294" s="233" t="str">
        <f t="shared" si="140"/>
        <v>1</v>
      </c>
      <c r="I294" s="233" t="str">
        <f t="shared" si="141"/>
        <v>0</v>
      </c>
      <c r="J294" s="233" t="str">
        <f t="shared" si="142"/>
        <v>0</v>
      </c>
      <c r="K294" s="233" t="str">
        <f t="shared" si="143"/>
        <v>0100</v>
      </c>
      <c r="L294" s="247" t="str">
        <f t="shared" si="144"/>
        <v>31201384District Design and Led 18-21</v>
      </c>
      <c r="M294" s="255"/>
      <c r="N294" s="255"/>
      <c r="O294" s="255"/>
      <c r="P294" s="255"/>
      <c r="Q294" s="225">
        <f t="shared" si="150"/>
        <v>0</v>
      </c>
      <c r="R294" s="225"/>
      <c r="S294" s="225">
        <v>25000</v>
      </c>
      <c r="T294" s="255"/>
      <c r="U294" s="255"/>
      <c r="V294" s="255"/>
      <c r="W294" s="255"/>
      <c r="X294" s="255"/>
      <c r="Y294" s="255"/>
      <c r="Z294" s="255"/>
      <c r="AA294" s="255"/>
      <c r="AB294" s="255"/>
      <c r="AC294" s="225">
        <v>-5005</v>
      </c>
      <c r="AD294" s="225">
        <v>-5416.12</v>
      </c>
      <c r="AE294" s="225">
        <v>-3637.09</v>
      </c>
      <c r="AF294" s="225">
        <f t="shared" si="145"/>
        <v>10941.79</v>
      </c>
      <c r="AG294" s="225"/>
      <c r="AH294" s="225">
        <v>50000</v>
      </c>
      <c r="AI294" s="225"/>
      <c r="AJ294" s="255"/>
      <c r="AK294" s="255"/>
      <c r="AL294" s="255"/>
      <c r="AM294" s="225">
        <v>-10941.79</v>
      </c>
      <c r="AN294" s="225">
        <v>-28355.64</v>
      </c>
      <c r="AO294" s="255">
        <v>0</v>
      </c>
      <c r="AP294" s="255"/>
      <c r="AQ294" s="255"/>
      <c r="AR294" s="255"/>
      <c r="AS294" s="255"/>
      <c r="AT294" s="256">
        <v>0</v>
      </c>
      <c r="AU294" s="256">
        <v>0</v>
      </c>
      <c r="AV294" s="256">
        <v>0</v>
      </c>
      <c r="AW294" s="227">
        <f t="shared" si="146"/>
        <v>21644.36</v>
      </c>
      <c r="AX294" s="249">
        <v>55160</v>
      </c>
      <c r="AY294" s="225">
        <v>0</v>
      </c>
      <c r="AZ294" s="227"/>
      <c r="BA294" s="259">
        <v>0</v>
      </c>
      <c r="BB294" s="225">
        <v>0</v>
      </c>
      <c r="BC294" s="225">
        <v>0</v>
      </c>
      <c r="BD294" s="225">
        <v>0</v>
      </c>
      <c r="BE294" s="255">
        <v>-35687.07</v>
      </c>
      <c r="BF294" s="255">
        <v>-555.79</v>
      </c>
      <c r="BG294" s="255">
        <v>-1839.4</v>
      </c>
      <c r="BH294" s="255">
        <v>-4353.47</v>
      </c>
      <c r="BI294" s="255">
        <v>0</v>
      </c>
      <c r="BJ294" s="256">
        <v>-10808.66</v>
      </c>
      <c r="BK294" s="256"/>
      <c r="BL294" s="256">
        <v>-16139.84</v>
      </c>
      <c r="BM294" s="248">
        <f t="shared" si="149"/>
        <v>7420.1299999999974</v>
      </c>
      <c r="BN294" s="249"/>
      <c r="BO294" s="225"/>
      <c r="BP294" s="248"/>
      <c r="BQ294" s="249">
        <v>-1593.16</v>
      </c>
      <c r="BR294" s="225"/>
      <c r="BS294" s="225"/>
      <c r="BT294" s="225"/>
      <c r="BU294" s="225">
        <v>-666.49</v>
      </c>
      <c r="BV294" s="225"/>
      <c r="BW294" s="225"/>
      <c r="BX294" s="225"/>
      <c r="BY294" s="225"/>
      <c r="BZ294" s="225"/>
      <c r="CA294" s="225"/>
      <c r="CB294" s="225"/>
      <c r="CC294" s="227">
        <f t="shared" si="148"/>
        <v>5160.4799999999977</v>
      </c>
      <c r="CD294" s="244"/>
      <c r="CE294" s="244"/>
      <c r="CF294" s="244"/>
    </row>
    <row r="295" spans="1:16267" x14ac:dyDescent="0.2">
      <c r="A295" s="245" t="s">
        <v>21</v>
      </c>
      <c r="B295" s="246" t="s">
        <v>34</v>
      </c>
      <c r="C295" s="246" t="s">
        <v>100</v>
      </c>
      <c r="D295" s="246" t="s">
        <v>111</v>
      </c>
      <c r="E295" s="247" t="s">
        <v>213</v>
      </c>
      <c r="F295" s="247" t="s">
        <v>712</v>
      </c>
      <c r="G295" s="233" t="str">
        <f t="shared" si="139"/>
        <v>0</v>
      </c>
      <c r="H295" s="233" t="str">
        <f t="shared" si="140"/>
        <v>1</v>
      </c>
      <c r="I295" s="233" t="str">
        <f t="shared" si="141"/>
        <v>0</v>
      </c>
      <c r="J295" s="233" t="str">
        <f t="shared" si="142"/>
        <v>0</v>
      </c>
      <c r="K295" s="233" t="str">
        <f t="shared" si="143"/>
        <v>0100</v>
      </c>
      <c r="L295" s="247" t="str">
        <f t="shared" si="144"/>
        <v>3120N/ADistrict Design and Led 18-21</v>
      </c>
      <c r="M295" s="255"/>
      <c r="N295" s="255"/>
      <c r="O295" s="255"/>
      <c r="P295" s="255"/>
      <c r="Q295" s="225">
        <f t="shared" si="150"/>
        <v>0</v>
      </c>
      <c r="R295" s="225"/>
      <c r="S295" s="225">
        <v>184749</v>
      </c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25">
        <v>-485.42</v>
      </c>
      <c r="AE295" s="225">
        <v>-77000</v>
      </c>
      <c r="AF295" s="225">
        <f t="shared" si="145"/>
        <v>107263.57999999999</v>
      </c>
      <c r="AG295" s="225"/>
      <c r="AH295" s="225">
        <v>1285203</v>
      </c>
      <c r="AI295" s="225"/>
      <c r="AJ295" s="255"/>
      <c r="AK295" s="255"/>
      <c r="AL295" s="255"/>
      <c r="AM295" s="225">
        <v>-21293.39</v>
      </c>
      <c r="AN295" s="225">
        <v>-140338.26</v>
      </c>
      <c r="AO295" s="255">
        <v>0</v>
      </c>
      <c r="AP295" s="255"/>
      <c r="AQ295" s="255"/>
      <c r="AR295" s="255"/>
      <c r="AS295" s="255"/>
      <c r="AT295" s="256">
        <v>-503030.47</v>
      </c>
      <c r="AU295" s="256">
        <v>0</v>
      </c>
      <c r="AV295" s="256">
        <v>0</v>
      </c>
      <c r="AW295" s="227">
        <f t="shared" si="146"/>
        <v>727804.4600000002</v>
      </c>
      <c r="AX295" s="249">
        <v>1371003</v>
      </c>
      <c r="AY295" s="225">
        <v>0</v>
      </c>
      <c r="AZ295" s="227"/>
      <c r="BA295" s="259">
        <v>0</v>
      </c>
      <c r="BB295" s="225">
        <v>0</v>
      </c>
      <c r="BC295" s="225">
        <v>0</v>
      </c>
      <c r="BD295" s="225">
        <v>0</v>
      </c>
      <c r="BE295" s="255">
        <v>-508178.54</v>
      </c>
      <c r="BF295" s="255"/>
      <c r="BG295" s="255">
        <v>0</v>
      </c>
      <c r="BH295" s="255">
        <v>0</v>
      </c>
      <c r="BI295" s="255">
        <v>0</v>
      </c>
      <c r="BJ295" s="256"/>
      <c r="BK295" s="256"/>
      <c r="BL295" s="256" t="s">
        <v>701</v>
      </c>
      <c r="BM295" s="248">
        <f t="shared" si="149"/>
        <v>1590628.92</v>
      </c>
      <c r="BN295" s="249"/>
      <c r="BO295" s="225"/>
      <c r="BP295" s="248"/>
      <c r="BQ295" s="249">
        <v>-1057811.7</v>
      </c>
      <c r="BR295" s="225"/>
      <c r="BS295" s="225"/>
      <c r="BT295" s="225"/>
      <c r="BU295" s="225">
        <v>-431783.23</v>
      </c>
      <c r="BV295" s="225"/>
      <c r="BW295" s="225"/>
      <c r="BX295" s="225"/>
      <c r="BY295" s="225"/>
      <c r="BZ295" s="225"/>
      <c r="CA295" s="225"/>
      <c r="CB295" s="225"/>
      <c r="CC295" s="227">
        <f t="shared" si="148"/>
        <v>101033.98999999999</v>
      </c>
      <c r="CD295" s="244"/>
      <c r="CE295" s="244"/>
      <c r="CF295" s="244"/>
    </row>
    <row r="296" spans="1:16267" x14ac:dyDescent="0.2">
      <c r="A296" s="245" t="s">
        <v>33</v>
      </c>
      <c r="B296" s="246" t="s">
        <v>27</v>
      </c>
      <c r="C296" s="246" t="s">
        <v>204</v>
      </c>
      <c r="D296" s="246" t="s">
        <v>672</v>
      </c>
      <c r="E296" s="247" t="s">
        <v>214</v>
      </c>
      <c r="F296" s="247" t="s">
        <v>712</v>
      </c>
      <c r="G296" s="233" t="str">
        <f t="shared" si="139"/>
        <v>0</v>
      </c>
      <c r="H296" s="233" t="str">
        <f t="shared" si="140"/>
        <v>0</v>
      </c>
      <c r="I296" s="233" t="str">
        <f t="shared" si="141"/>
        <v>1</v>
      </c>
      <c r="J296" s="233" t="str">
        <f t="shared" si="142"/>
        <v>0</v>
      </c>
      <c r="K296" s="233" t="str">
        <f t="shared" si="143"/>
        <v>0010</v>
      </c>
      <c r="L296" s="247" t="str">
        <f t="shared" si="144"/>
        <v>91701550District Design and Led 19-22</v>
      </c>
      <c r="M296" s="255"/>
      <c r="N296" s="255"/>
      <c r="O296" s="255"/>
      <c r="P296" s="255"/>
      <c r="Q296" s="225">
        <f t="shared" si="150"/>
        <v>0</v>
      </c>
      <c r="R296" s="225"/>
      <c r="S296" s="225">
        <v>0</v>
      </c>
      <c r="T296" s="255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25">
        <f t="shared" si="145"/>
        <v>0</v>
      </c>
      <c r="AG296" s="225"/>
      <c r="AH296" s="225">
        <v>0</v>
      </c>
      <c r="AI296" s="225">
        <v>28333.33</v>
      </c>
      <c r="AJ296" s="255"/>
      <c r="AK296" s="255"/>
      <c r="AL296" s="255"/>
      <c r="AM296" s="255"/>
      <c r="AN296" s="255">
        <v>0</v>
      </c>
      <c r="AO296" s="225">
        <v>0</v>
      </c>
      <c r="AP296" s="255"/>
      <c r="AQ296" s="255"/>
      <c r="AR296" s="255"/>
      <c r="AS296" s="255"/>
      <c r="AT296" s="256">
        <v>0</v>
      </c>
      <c r="AU296" s="256">
        <v>0</v>
      </c>
      <c r="AV296" s="256">
        <v>0</v>
      </c>
      <c r="AW296" s="227">
        <f t="shared" si="146"/>
        <v>28333.33</v>
      </c>
      <c r="AX296" s="249">
        <v>0</v>
      </c>
      <c r="AY296" s="225">
        <v>20500</v>
      </c>
      <c r="AZ296" s="227"/>
      <c r="BA296" s="259">
        <v>0</v>
      </c>
      <c r="BB296" s="225">
        <v>-3250</v>
      </c>
      <c r="BC296" s="255">
        <v>0</v>
      </c>
      <c r="BD296" s="255">
        <v>0</v>
      </c>
      <c r="BE296" s="225"/>
      <c r="BF296" s="255"/>
      <c r="BG296" s="255">
        <v>0</v>
      </c>
      <c r="BH296" s="255">
        <v>0</v>
      </c>
      <c r="BI296" s="255">
        <v>0</v>
      </c>
      <c r="BJ296" s="256"/>
      <c r="BK296" s="256" t="s">
        <v>701</v>
      </c>
      <c r="BL296" s="256"/>
      <c r="BM296" s="248">
        <f t="shared" si="149"/>
        <v>45583.33</v>
      </c>
      <c r="BN296" s="249"/>
      <c r="BO296" s="249">
        <v>19273</v>
      </c>
      <c r="BP296" s="248"/>
      <c r="BQ296" s="249">
        <v>-8000</v>
      </c>
      <c r="BR296" s="225"/>
      <c r="BS296" s="225"/>
      <c r="BT296" s="225"/>
      <c r="BU296" s="225"/>
      <c r="BV296" s="225"/>
      <c r="BW296" s="225"/>
      <c r="BX296" s="225"/>
      <c r="BY296" s="225"/>
      <c r="BZ296" s="225"/>
      <c r="CA296" s="225"/>
      <c r="CB296" s="225"/>
      <c r="CC296" s="227">
        <f t="shared" si="148"/>
        <v>56856.33</v>
      </c>
      <c r="CD296" s="244"/>
      <c r="CE296" s="244"/>
      <c r="CF296" s="244"/>
    </row>
    <row r="297" spans="1:16267" x14ac:dyDescent="0.2">
      <c r="A297" s="245" t="s">
        <v>33</v>
      </c>
      <c r="B297" s="246" t="s">
        <v>473</v>
      </c>
      <c r="C297" s="246" t="s">
        <v>204</v>
      </c>
      <c r="D297" s="246" t="s">
        <v>673</v>
      </c>
      <c r="E297" s="247" t="s">
        <v>214</v>
      </c>
      <c r="F297" s="247" t="s">
        <v>712</v>
      </c>
      <c r="G297" s="233" t="str">
        <f t="shared" si="139"/>
        <v>0</v>
      </c>
      <c r="H297" s="233" t="str">
        <f t="shared" si="140"/>
        <v>0</v>
      </c>
      <c r="I297" s="233" t="str">
        <f t="shared" si="141"/>
        <v>1</v>
      </c>
      <c r="J297" s="233" t="str">
        <f t="shared" si="142"/>
        <v>0</v>
      </c>
      <c r="K297" s="233" t="str">
        <f t="shared" si="143"/>
        <v>0010</v>
      </c>
      <c r="L297" s="247" t="str">
        <f t="shared" si="144"/>
        <v>91706971District Design and Led 19-22</v>
      </c>
      <c r="M297" s="255"/>
      <c r="N297" s="255"/>
      <c r="O297" s="255"/>
      <c r="P297" s="255"/>
      <c r="Q297" s="225">
        <f t="shared" si="150"/>
        <v>0</v>
      </c>
      <c r="R297" s="225"/>
      <c r="S297" s="225">
        <v>0</v>
      </c>
      <c r="T297" s="255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55"/>
      <c r="AE297" s="255"/>
      <c r="AF297" s="225">
        <f t="shared" si="145"/>
        <v>0</v>
      </c>
      <c r="AG297" s="225"/>
      <c r="AH297" s="225">
        <v>0</v>
      </c>
      <c r="AI297" s="225">
        <v>28333.34</v>
      </c>
      <c r="AJ297" s="255"/>
      <c r="AK297" s="255"/>
      <c r="AL297" s="255"/>
      <c r="AM297" s="255"/>
      <c r="AN297" s="255">
        <v>0</v>
      </c>
      <c r="AO297" s="225">
        <v>0</v>
      </c>
      <c r="AP297" s="255"/>
      <c r="AQ297" s="255"/>
      <c r="AR297" s="255"/>
      <c r="AS297" s="255"/>
      <c r="AT297" s="256">
        <v>0</v>
      </c>
      <c r="AU297" s="256">
        <v>0</v>
      </c>
      <c r="AV297" s="256">
        <v>0</v>
      </c>
      <c r="AW297" s="227">
        <f t="shared" si="146"/>
        <v>28333.34</v>
      </c>
      <c r="AX297" s="249">
        <v>0</v>
      </c>
      <c r="AY297" s="225">
        <v>20500</v>
      </c>
      <c r="AZ297" s="227"/>
      <c r="BA297" s="259">
        <v>0</v>
      </c>
      <c r="BB297" s="225">
        <v>-250</v>
      </c>
      <c r="BC297" s="255">
        <v>0</v>
      </c>
      <c r="BD297" s="255">
        <v>0</v>
      </c>
      <c r="BE297" s="225"/>
      <c r="BF297" s="255"/>
      <c r="BG297" s="255">
        <v>0</v>
      </c>
      <c r="BH297" s="255">
        <v>0</v>
      </c>
      <c r="BI297" s="255">
        <v>0</v>
      </c>
      <c r="BJ297" s="256"/>
      <c r="BK297" s="256"/>
      <c r="BL297" s="256"/>
      <c r="BM297" s="248">
        <f t="shared" si="149"/>
        <v>48583.34</v>
      </c>
      <c r="BN297" s="249"/>
      <c r="BO297" s="249">
        <v>19273</v>
      </c>
      <c r="BP297" s="248"/>
      <c r="BQ297" s="249">
        <v>-11000</v>
      </c>
      <c r="BR297" s="225"/>
      <c r="BS297" s="225"/>
      <c r="BT297" s="225"/>
      <c r="BU297" s="225"/>
      <c r="BV297" s="225"/>
      <c r="BW297" s="225"/>
      <c r="BX297" s="225"/>
      <c r="BY297" s="225"/>
      <c r="BZ297" s="225"/>
      <c r="CA297" s="225"/>
      <c r="CB297" s="225"/>
      <c r="CC297" s="227">
        <f t="shared" si="148"/>
        <v>56856.34</v>
      </c>
      <c r="CD297" s="244"/>
      <c r="CE297" s="244"/>
      <c r="CF297" s="244"/>
    </row>
    <row r="298" spans="1:16267" x14ac:dyDescent="0.2">
      <c r="A298" s="245" t="s">
        <v>33</v>
      </c>
      <c r="B298" s="246" t="s">
        <v>34</v>
      </c>
      <c r="C298" s="246" t="s">
        <v>204</v>
      </c>
      <c r="D298" s="246" t="s">
        <v>111</v>
      </c>
      <c r="E298" s="247" t="s">
        <v>211</v>
      </c>
      <c r="F298" s="247" t="s">
        <v>712</v>
      </c>
      <c r="G298" s="233" t="str">
        <f t="shared" si="139"/>
        <v>1</v>
      </c>
      <c r="H298" s="233" t="str">
        <f t="shared" si="140"/>
        <v>0</v>
      </c>
      <c r="I298" s="233" t="str">
        <f t="shared" si="141"/>
        <v>0</v>
      </c>
      <c r="J298" s="233" t="str">
        <f t="shared" si="142"/>
        <v>0</v>
      </c>
      <c r="K298" s="233" t="str">
        <f t="shared" si="143"/>
        <v>1000</v>
      </c>
      <c r="L298" s="247" t="str">
        <f t="shared" si="144"/>
        <v>9170N/ADistrict Design and Led 17-20</v>
      </c>
      <c r="M298" s="225">
        <v>41517</v>
      </c>
      <c r="N298" s="255"/>
      <c r="O298" s="255"/>
      <c r="P298" s="225">
        <v>-25686</v>
      </c>
      <c r="Q298" s="225">
        <f t="shared" si="150"/>
        <v>15831</v>
      </c>
      <c r="R298" s="255"/>
      <c r="S298" s="255">
        <v>0</v>
      </c>
      <c r="T298" s="255"/>
      <c r="U298" s="255"/>
      <c r="V298" s="255"/>
      <c r="W298" s="255"/>
      <c r="X298" s="255"/>
      <c r="Y298" s="255"/>
      <c r="Z298" s="255"/>
      <c r="AA298" s="255"/>
      <c r="AB298" s="255"/>
      <c r="AC298" s="255"/>
      <c r="AD298" s="255"/>
      <c r="AE298" s="255"/>
      <c r="AF298" s="225">
        <f t="shared" si="145"/>
        <v>15831</v>
      </c>
      <c r="AG298" s="255"/>
      <c r="AH298" s="255">
        <v>0</v>
      </c>
      <c r="AI298" s="255"/>
      <c r="AJ298" s="255"/>
      <c r="AK298" s="255"/>
      <c r="AL298" s="255"/>
      <c r="AM298" s="255"/>
      <c r="AN298" s="255">
        <v>0</v>
      </c>
      <c r="AO298" s="255">
        <v>0</v>
      </c>
      <c r="AP298" s="255"/>
      <c r="AQ298" s="255"/>
      <c r="AR298" s="255"/>
      <c r="AS298" s="255"/>
      <c r="AT298" s="256">
        <v>0</v>
      </c>
      <c r="AU298" s="256">
        <v>0</v>
      </c>
      <c r="AV298" s="256">
        <v>0</v>
      </c>
      <c r="AW298" s="227">
        <f t="shared" si="146"/>
        <v>15831</v>
      </c>
      <c r="AX298" s="257">
        <v>0</v>
      </c>
      <c r="AY298" s="255">
        <v>0</v>
      </c>
      <c r="AZ298" s="258"/>
      <c r="BA298" s="259">
        <v>0</v>
      </c>
      <c r="BB298" s="225">
        <v>0</v>
      </c>
      <c r="BC298" s="255">
        <v>0</v>
      </c>
      <c r="BD298" s="255">
        <v>0</v>
      </c>
      <c r="BE298" s="255"/>
      <c r="BF298" s="255"/>
      <c r="BG298" s="255">
        <v>0</v>
      </c>
      <c r="BH298" s="255">
        <v>0</v>
      </c>
      <c r="BI298" s="255">
        <v>0</v>
      </c>
      <c r="BJ298" s="256"/>
      <c r="BK298" s="256"/>
      <c r="BL298" s="256"/>
      <c r="BM298" s="248">
        <f t="shared" si="149"/>
        <v>15831</v>
      </c>
      <c r="BN298" s="257"/>
      <c r="BO298" s="255"/>
      <c r="BP298" s="256"/>
      <c r="BQ298" s="249"/>
      <c r="BR298" s="225"/>
      <c r="BS298" s="225"/>
      <c r="BT298" s="225"/>
      <c r="BU298" s="225"/>
      <c r="BV298" s="225"/>
      <c r="BW298" s="225"/>
      <c r="BX298" s="225"/>
      <c r="BY298" s="225"/>
      <c r="BZ298" s="225"/>
      <c r="CA298" s="225"/>
      <c r="CB298" s="225"/>
      <c r="CC298" s="227">
        <f t="shared" si="148"/>
        <v>15831</v>
      </c>
      <c r="CD298" s="244"/>
      <c r="CE298" s="244"/>
      <c r="CF298" s="244"/>
    </row>
    <row r="299" spans="1:16267" x14ac:dyDescent="0.2">
      <c r="A299" s="245" t="s">
        <v>15</v>
      </c>
      <c r="B299" s="246" t="s">
        <v>34</v>
      </c>
      <c r="C299" s="246" t="s">
        <v>296</v>
      </c>
      <c r="D299" s="246" t="s">
        <v>111</v>
      </c>
      <c r="E299" s="246" t="s">
        <v>524</v>
      </c>
      <c r="F299" s="246" t="s">
        <v>713</v>
      </c>
      <c r="G299" s="233" t="str">
        <f t="shared" si="139"/>
        <v>0</v>
      </c>
      <c r="H299" s="233" t="str">
        <f t="shared" si="140"/>
        <v>1</v>
      </c>
      <c r="I299" s="233" t="str">
        <f t="shared" si="141"/>
        <v>0</v>
      </c>
      <c r="J299" s="233" t="str">
        <f t="shared" si="142"/>
        <v>0</v>
      </c>
      <c r="K299" s="233" t="str">
        <f t="shared" si="143"/>
        <v>0100</v>
      </c>
      <c r="L299" s="246" t="str">
        <f t="shared" si="144"/>
        <v>0180N/AEASI MTSS</v>
      </c>
      <c r="M299" s="225"/>
      <c r="N299" s="225"/>
      <c r="O299" s="225"/>
      <c r="P299" s="225"/>
      <c r="Q299" s="225">
        <f t="shared" si="150"/>
        <v>0</v>
      </c>
      <c r="R299" s="225"/>
      <c r="S299" s="225">
        <v>59854</v>
      </c>
      <c r="T299" s="225"/>
      <c r="U299" s="225"/>
      <c r="V299" s="225"/>
      <c r="W299" s="225"/>
      <c r="X299" s="225"/>
      <c r="Y299" s="225"/>
      <c r="Z299" s="225"/>
      <c r="AA299" s="225"/>
      <c r="AB299" s="225"/>
      <c r="AC299" s="225"/>
      <c r="AD299" s="225"/>
      <c r="AE299" s="225"/>
      <c r="AF299" s="225">
        <f t="shared" si="145"/>
        <v>59854</v>
      </c>
      <c r="AG299" s="225"/>
      <c r="AH299" s="225">
        <v>65000</v>
      </c>
      <c r="AI299" s="225"/>
      <c r="AJ299" s="225"/>
      <c r="AK299" s="225"/>
      <c r="AL299" s="225"/>
      <c r="AM299" s="225"/>
      <c r="AN299" s="225">
        <v>0</v>
      </c>
      <c r="AO299" s="225">
        <v>0</v>
      </c>
      <c r="AP299" s="225"/>
      <c r="AQ299" s="225"/>
      <c r="AR299" s="225"/>
      <c r="AS299" s="225"/>
      <c r="AT299" s="248">
        <v>0</v>
      </c>
      <c r="AU299" s="248">
        <v>0</v>
      </c>
      <c r="AV299" s="248">
        <v>0</v>
      </c>
      <c r="AW299" s="227">
        <f t="shared" si="146"/>
        <v>124854</v>
      </c>
      <c r="AX299" s="249">
        <v>68790</v>
      </c>
      <c r="AY299" s="225">
        <v>0</v>
      </c>
      <c r="AZ299" s="227"/>
      <c r="BA299" s="250">
        <v>0</v>
      </c>
      <c r="BB299" s="225">
        <v>0</v>
      </c>
      <c r="BC299" s="225">
        <v>-26163.94</v>
      </c>
      <c r="BD299" s="225">
        <v>0</v>
      </c>
      <c r="BE299" s="225"/>
      <c r="BF299" s="225"/>
      <c r="BG299" s="225">
        <v>0</v>
      </c>
      <c r="BH299" s="225">
        <v>0</v>
      </c>
      <c r="BI299" s="225">
        <v>0</v>
      </c>
      <c r="BJ299" s="248"/>
      <c r="BK299" s="248"/>
      <c r="BL299" s="248">
        <v>-41706.43</v>
      </c>
      <c r="BM299" s="248">
        <f t="shared" si="149"/>
        <v>125773.63</v>
      </c>
      <c r="BN299" s="249"/>
      <c r="BO299" s="225"/>
      <c r="BP299" s="248"/>
      <c r="BQ299" s="249"/>
      <c r="BR299" s="225"/>
      <c r="BS299" s="225"/>
      <c r="BT299" s="225"/>
      <c r="BU299" s="147">
        <v>-3850</v>
      </c>
      <c r="BV299" s="225"/>
      <c r="BW299" s="225"/>
      <c r="BX299" s="225"/>
      <c r="BY299" s="225"/>
      <c r="BZ299" s="225"/>
      <c r="CA299" s="225"/>
      <c r="CB299" s="225"/>
      <c r="CC299" s="227">
        <f t="shared" si="148"/>
        <v>121923.63</v>
      </c>
      <c r="CD299" s="244">
        <v>15831</v>
      </c>
      <c r="CE299" s="244"/>
      <c r="CF299" s="244"/>
    </row>
    <row r="300" spans="1:16267" x14ac:dyDescent="0.2">
      <c r="A300" s="264" t="s">
        <v>431</v>
      </c>
      <c r="B300" s="266" t="s">
        <v>34</v>
      </c>
      <c r="C300" s="266" t="s">
        <v>508</v>
      </c>
      <c r="D300" s="266" t="s">
        <v>111</v>
      </c>
      <c r="E300" s="266" t="s">
        <v>524</v>
      </c>
      <c r="F300" s="266" t="s">
        <v>713</v>
      </c>
      <c r="G300" s="267" t="str">
        <f t="shared" si="139"/>
        <v>0</v>
      </c>
      <c r="H300" s="267" t="str">
        <f t="shared" si="140"/>
        <v>1</v>
      </c>
      <c r="I300" s="267" t="str">
        <f t="shared" si="141"/>
        <v>0</v>
      </c>
      <c r="J300" s="267" t="str">
        <f t="shared" si="142"/>
        <v>0</v>
      </c>
      <c r="K300" s="267" t="str">
        <f t="shared" si="143"/>
        <v>0100</v>
      </c>
      <c r="L300" s="266" t="str">
        <f t="shared" si="144"/>
        <v>0900N/AEASI MTSS</v>
      </c>
      <c r="M300" s="268"/>
      <c r="N300" s="268"/>
      <c r="O300" s="268"/>
      <c r="P300" s="268"/>
      <c r="Q300" s="268">
        <f t="shared" si="150"/>
        <v>0</v>
      </c>
      <c r="R300" s="268"/>
      <c r="S300" s="268">
        <v>26073</v>
      </c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>
        <v>-4490</v>
      </c>
      <c r="AD300" s="268"/>
      <c r="AE300" s="268"/>
      <c r="AF300" s="268">
        <f t="shared" si="145"/>
        <v>21583</v>
      </c>
      <c r="AG300" s="268"/>
      <c r="AH300" s="268">
        <v>44508</v>
      </c>
      <c r="AI300" s="268"/>
      <c r="AJ300" s="268"/>
      <c r="AK300" s="268"/>
      <c r="AL300" s="268"/>
      <c r="AM300" s="268"/>
      <c r="AN300" s="268">
        <v>0</v>
      </c>
      <c r="AO300" s="268">
        <v>-2107.34</v>
      </c>
      <c r="AP300" s="268">
        <v>-616.13</v>
      </c>
      <c r="AQ300" s="268">
        <v>-5217.2700000000004</v>
      </c>
      <c r="AR300" s="268"/>
      <c r="AS300" s="268">
        <v>-10396.870000000001</v>
      </c>
      <c r="AT300" s="269">
        <v>-6695.76</v>
      </c>
      <c r="AU300" s="269">
        <v>-7593.26</v>
      </c>
      <c r="AV300" s="269">
        <v>-21155.09</v>
      </c>
      <c r="AW300" s="270">
        <f t="shared" si="146"/>
        <v>12309.280000000002</v>
      </c>
      <c r="AX300" s="260">
        <v>43971</v>
      </c>
      <c r="AY300" s="268">
        <v>0</v>
      </c>
      <c r="AZ300" s="270"/>
      <c r="BA300" s="271">
        <v>0</v>
      </c>
      <c r="BB300" s="268">
        <v>0</v>
      </c>
      <c r="BC300" s="268">
        <v>0</v>
      </c>
      <c r="BD300" s="268">
        <v>-4361.41</v>
      </c>
      <c r="BE300" s="268">
        <v>-1654.37</v>
      </c>
      <c r="BF300" s="268">
        <v>-1565.1</v>
      </c>
      <c r="BG300" s="268">
        <v>-22399.39</v>
      </c>
      <c r="BH300" s="268">
        <v>-1321.18</v>
      </c>
      <c r="BI300" s="268">
        <v>-136.79</v>
      </c>
      <c r="BJ300" s="269">
        <v>-6585.94</v>
      </c>
      <c r="BK300" s="269"/>
      <c r="BL300" s="269">
        <v>-18143.240000000002</v>
      </c>
      <c r="BM300" s="269">
        <f t="shared" si="149"/>
        <v>112.85999999999331</v>
      </c>
      <c r="BN300" s="260"/>
      <c r="BO300" s="268"/>
      <c r="BP300" s="269"/>
      <c r="BQ300" s="260">
        <v>-112.86</v>
      </c>
      <c r="BR300" s="268"/>
      <c r="BS300" s="268"/>
      <c r="BT300" s="268"/>
      <c r="BU300" s="268"/>
      <c r="BV300" s="268"/>
      <c r="BW300" s="268"/>
      <c r="BX300" s="268"/>
      <c r="BY300" s="268"/>
      <c r="BZ300" s="268"/>
      <c r="CA300" s="268"/>
      <c r="CB300" s="268"/>
      <c r="CC300" s="270">
        <f t="shared" si="148"/>
        <v>-6.6933125708601438E-12</v>
      </c>
      <c r="CD300" s="244"/>
      <c r="CE300" s="244"/>
      <c r="CF300" s="244"/>
    </row>
    <row r="301" spans="1:16267" x14ac:dyDescent="0.2">
      <c r="A301" s="246" t="s">
        <v>796</v>
      </c>
      <c r="B301" s="246" t="s">
        <v>797</v>
      </c>
      <c r="C301" s="246" t="s">
        <v>799</v>
      </c>
      <c r="D301" s="246" t="s">
        <v>798</v>
      </c>
      <c r="E301" s="246" t="s">
        <v>509</v>
      </c>
      <c r="F301" s="246"/>
      <c r="G301" s="247"/>
      <c r="H301" s="247"/>
      <c r="I301" s="247"/>
      <c r="J301" s="247"/>
      <c r="K301" s="247"/>
      <c r="L301" s="246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  <c r="AA301" s="225"/>
      <c r="AB301" s="225"/>
      <c r="AC301" s="225"/>
      <c r="AD301" s="225"/>
      <c r="AE301" s="225"/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5"/>
      <c r="AX301" s="225"/>
      <c r="AY301" s="225"/>
      <c r="AZ301" s="225">
        <v>51000</v>
      </c>
      <c r="BA301" s="225"/>
      <c r="BB301" s="225"/>
      <c r="BC301" s="225"/>
      <c r="BD301" s="225"/>
      <c r="BE301" s="225"/>
      <c r="BF301" s="225"/>
      <c r="BG301" s="225"/>
      <c r="BH301" s="225"/>
      <c r="BI301" s="225"/>
      <c r="BJ301" s="225"/>
      <c r="BK301" s="225"/>
      <c r="BL301" s="225"/>
      <c r="BM301" s="225">
        <f t="shared" si="149"/>
        <v>51000</v>
      </c>
      <c r="BN301" s="225"/>
      <c r="BO301" s="225"/>
      <c r="BP301" s="225">
        <v>69000</v>
      </c>
      <c r="BQ301" s="225"/>
      <c r="BR301" s="225"/>
      <c r="BS301" s="225">
        <v>-30000</v>
      </c>
      <c r="BT301" s="225"/>
      <c r="BU301" s="225"/>
      <c r="BV301" s="225"/>
      <c r="BW301" s="225"/>
      <c r="BX301" s="225">
        <v>-36740</v>
      </c>
      <c r="BY301" s="225"/>
      <c r="BZ301" s="225"/>
      <c r="CA301" s="225"/>
      <c r="CB301" s="225"/>
      <c r="CC301" s="225">
        <f t="shared" si="148"/>
        <v>53260</v>
      </c>
      <c r="CD301" s="225"/>
      <c r="CE301" s="225"/>
      <c r="CF301" s="295"/>
      <c r="CG301" s="295"/>
      <c r="CH301" s="118"/>
      <c r="CI301" s="118"/>
      <c r="CJ301" s="118"/>
      <c r="CK301" s="118"/>
      <c r="CL301" s="118"/>
      <c r="CM301" s="118"/>
      <c r="CN301" s="118"/>
      <c r="CO301" s="118"/>
      <c r="CP301" s="118"/>
      <c r="CQ301" s="118"/>
      <c r="CR301" s="118"/>
      <c r="CS301" s="118"/>
      <c r="CT301" s="118"/>
      <c r="CU301" s="118"/>
      <c r="CV301" s="118"/>
      <c r="CW301" s="118"/>
      <c r="CX301" s="118"/>
      <c r="CY301" s="118"/>
      <c r="CZ301" s="118"/>
      <c r="DA301" s="118"/>
      <c r="DB301" s="118"/>
      <c r="DC301" s="118"/>
      <c r="DD301" s="118"/>
      <c r="DE301" s="118"/>
      <c r="DF301" s="118"/>
      <c r="DG301" s="118"/>
      <c r="DH301" s="118"/>
      <c r="DI301" s="118"/>
      <c r="DJ301" s="118"/>
      <c r="DK301" s="118"/>
      <c r="DL301" s="118"/>
      <c r="DM301" s="118"/>
      <c r="DN301" s="118"/>
      <c r="DO301" s="118"/>
      <c r="DP301" s="118"/>
      <c r="DQ301" s="118"/>
      <c r="DR301" s="118"/>
      <c r="DS301" s="118"/>
      <c r="DT301" s="118"/>
      <c r="DU301" s="118"/>
      <c r="DV301" s="118"/>
      <c r="DW301" s="118"/>
      <c r="DX301" s="118"/>
      <c r="DY301" s="118"/>
      <c r="DZ301" s="118"/>
      <c r="EA301" s="118"/>
      <c r="EB301" s="118"/>
      <c r="EC301" s="118"/>
      <c r="ED301" s="118"/>
      <c r="EE301" s="118"/>
      <c r="EF301" s="118"/>
      <c r="EG301" s="118"/>
      <c r="EH301" s="118"/>
      <c r="EI301" s="118"/>
      <c r="EJ301" s="118"/>
      <c r="EK301" s="118"/>
      <c r="EL301" s="118"/>
      <c r="EM301" s="118"/>
      <c r="EN301" s="118"/>
      <c r="EO301" s="118"/>
      <c r="EP301" s="118"/>
      <c r="EQ301" s="118"/>
      <c r="ER301" s="118"/>
      <c r="ES301" s="118"/>
      <c r="ET301" s="118"/>
      <c r="EU301" s="118"/>
      <c r="EV301" s="118"/>
      <c r="EW301" s="118"/>
      <c r="EX301" s="118"/>
      <c r="EY301" s="118"/>
      <c r="EZ301" s="118"/>
      <c r="FA301" s="118"/>
      <c r="FB301" s="118"/>
      <c r="FC301" s="118"/>
      <c r="FD301" s="118"/>
      <c r="FE301" s="118"/>
      <c r="FF301" s="118"/>
      <c r="FG301" s="118"/>
      <c r="FH301" s="118"/>
      <c r="FI301" s="118"/>
      <c r="FJ301" s="118"/>
      <c r="FK301" s="118"/>
      <c r="FL301" s="118"/>
      <c r="FM301" s="118"/>
      <c r="FN301" s="118"/>
      <c r="FO301" s="118"/>
      <c r="FP301" s="118"/>
      <c r="FQ301" s="118"/>
      <c r="FR301" s="118"/>
      <c r="FS301" s="118"/>
      <c r="FT301" s="118"/>
      <c r="FU301" s="118"/>
      <c r="FV301" s="118"/>
      <c r="FW301" s="118"/>
      <c r="FX301" s="118"/>
      <c r="FY301" s="118"/>
      <c r="FZ301" s="118"/>
      <c r="GA301" s="118"/>
      <c r="GB301" s="118"/>
      <c r="GC301" s="118"/>
      <c r="GD301" s="118"/>
      <c r="GE301" s="118"/>
      <c r="GF301" s="118"/>
      <c r="GG301" s="118"/>
      <c r="GH301" s="118"/>
      <c r="GI301" s="118"/>
      <c r="GJ301" s="118"/>
      <c r="GK301" s="118"/>
      <c r="GL301" s="118"/>
      <c r="GM301" s="118"/>
      <c r="GN301" s="118"/>
      <c r="GO301" s="118"/>
      <c r="GP301" s="118"/>
      <c r="GQ301" s="118"/>
      <c r="GR301" s="118"/>
      <c r="GS301" s="118"/>
      <c r="GT301" s="118"/>
      <c r="GU301" s="118"/>
      <c r="GV301" s="118"/>
      <c r="GW301" s="118"/>
      <c r="GX301" s="118"/>
      <c r="GY301" s="118"/>
      <c r="GZ301" s="118"/>
      <c r="HA301" s="118"/>
      <c r="HB301" s="118"/>
      <c r="HC301" s="118"/>
      <c r="HD301" s="118"/>
      <c r="HE301" s="118"/>
      <c r="HF301" s="118"/>
      <c r="HG301" s="118"/>
      <c r="HH301" s="118"/>
      <c r="HI301" s="118"/>
      <c r="HJ301" s="118"/>
      <c r="HK301" s="118"/>
      <c r="HL301" s="118"/>
      <c r="HM301" s="118"/>
      <c r="HN301" s="118"/>
      <c r="HO301" s="118"/>
      <c r="HP301" s="118"/>
      <c r="HQ301" s="118"/>
      <c r="HR301" s="118"/>
      <c r="HS301" s="118"/>
      <c r="HT301" s="118"/>
      <c r="HU301" s="118"/>
      <c r="HV301" s="118"/>
      <c r="HW301" s="118"/>
      <c r="HX301" s="118"/>
      <c r="HY301" s="118"/>
      <c r="HZ301" s="118"/>
      <c r="IA301" s="118"/>
      <c r="IB301" s="118"/>
      <c r="IC301" s="118"/>
      <c r="ID301" s="118"/>
      <c r="IE301" s="118"/>
      <c r="IF301" s="118"/>
      <c r="IG301" s="118"/>
      <c r="IH301" s="118"/>
      <c r="II301" s="118"/>
      <c r="IJ301" s="118"/>
      <c r="IK301" s="118"/>
      <c r="IL301" s="118"/>
      <c r="IM301" s="118"/>
      <c r="IN301" s="118"/>
      <c r="IO301" s="118"/>
      <c r="IP301" s="118"/>
      <c r="IQ301" s="118"/>
      <c r="IR301" s="118"/>
      <c r="IS301" s="118"/>
      <c r="IT301" s="118"/>
      <c r="IU301" s="118"/>
      <c r="IV301" s="118"/>
      <c r="IW301" s="118"/>
      <c r="IX301" s="118"/>
      <c r="IY301" s="118"/>
      <c r="IZ301" s="118"/>
      <c r="JA301" s="118"/>
      <c r="JB301" s="118"/>
      <c r="JC301" s="118"/>
      <c r="JD301" s="118"/>
      <c r="JE301" s="118"/>
      <c r="JF301" s="118"/>
      <c r="JG301" s="118"/>
      <c r="JH301" s="118"/>
      <c r="JI301" s="118"/>
      <c r="JJ301" s="118"/>
      <c r="JK301" s="118"/>
      <c r="JL301" s="118"/>
      <c r="JM301" s="118"/>
      <c r="JN301" s="118"/>
      <c r="JO301" s="118"/>
      <c r="JP301" s="118"/>
      <c r="JQ301" s="118"/>
      <c r="JR301" s="118"/>
      <c r="JS301" s="118"/>
      <c r="JT301" s="118"/>
      <c r="JU301" s="118"/>
      <c r="JV301" s="118"/>
      <c r="JW301" s="118"/>
      <c r="JX301" s="118"/>
      <c r="JY301" s="118"/>
      <c r="JZ301" s="118"/>
      <c r="KA301" s="118"/>
      <c r="KB301" s="118"/>
      <c r="KC301" s="118"/>
      <c r="KD301" s="118"/>
      <c r="KE301" s="118"/>
      <c r="KF301" s="118"/>
      <c r="KG301" s="118"/>
      <c r="KH301" s="118"/>
      <c r="KI301" s="118"/>
      <c r="KJ301" s="118"/>
      <c r="KK301" s="118"/>
      <c r="KL301" s="118"/>
      <c r="KM301" s="118"/>
      <c r="KN301" s="118"/>
      <c r="KO301" s="118"/>
      <c r="KP301" s="118"/>
      <c r="KQ301" s="118"/>
      <c r="KR301" s="118"/>
      <c r="KS301" s="118"/>
      <c r="KT301" s="118"/>
      <c r="KU301" s="118"/>
      <c r="KV301" s="118"/>
      <c r="KW301" s="118"/>
      <c r="KX301" s="118"/>
      <c r="KY301" s="118"/>
      <c r="KZ301" s="118"/>
      <c r="LA301" s="118"/>
      <c r="LB301" s="118"/>
      <c r="LC301" s="118"/>
      <c r="LD301" s="118"/>
      <c r="LE301" s="118"/>
      <c r="LF301" s="118"/>
      <c r="LG301" s="118"/>
      <c r="LH301" s="118"/>
      <c r="LI301" s="118"/>
      <c r="LJ301" s="118"/>
      <c r="LK301" s="118"/>
      <c r="LL301" s="118"/>
      <c r="LM301" s="118"/>
      <c r="LN301" s="118"/>
      <c r="LO301" s="118"/>
      <c r="LP301" s="118"/>
      <c r="LQ301" s="118"/>
      <c r="LR301" s="118"/>
      <c r="LS301" s="118"/>
      <c r="LT301" s="118"/>
      <c r="LU301" s="118"/>
      <c r="LV301" s="118"/>
      <c r="LW301" s="118"/>
      <c r="LX301" s="118"/>
      <c r="LY301" s="118"/>
      <c r="LZ301" s="118"/>
      <c r="MA301" s="118"/>
      <c r="MB301" s="118"/>
      <c r="MC301" s="118"/>
      <c r="MD301" s="118"/>
      <c r="ME301" s="118"/>
      <c r="MF301" s="118"/>
      <c r="MG301" s="118"/>
      <c r="MH301" s="118"/>
      <c r="MI301" s="118"/>
      <c r="MJ301" s="118"/>
      <c r="MK301" s="118"/>
      <c r="ML301" s="118"/>
      <c r="MM301" s="118"/>
      <c r="MN301" s="118"/>
      <c r="MO301" s="118"/>
      <c r="MP301" s="118"/>
      <c r="MQ301" s="118"/>
      <c r="MR301" s="118"/>
      <c r="MS301" s="118"/>
      <c r="MT301" s="118"/>
      <c r="MU301" s="118"/>
      <c r="MV301" s="118"/>
      <c r="MW301" s="118"/>
      <c r="MX301" s="118"/>
      <c r="MY301" s="118"/>
      <c r="MZ301" s="118"/>
      <c r="NA301" s="118"/>
      <c r="NB301" s="118"/>
      <c r="NC301" s="118"/>
      <c r="ND301" s="118"/>
      <c r="NE301" s="118"/>
      <c r="NF301" s="118"/>
      <c r="NG301" s="118"/>
      <c r="NH301" s="118"/>
      <c r="NI301" s="118"/>
      <c r="NJ301" s="118"/>
      <c r="NK301" s="118"/>
      <c r="NL301" s="118"/>
      <c r="NM301" s="118"/>
      <c r="NN301" s="118"/>
      <c r="NO301" s="118"/>
      <c r="NP301" s="118"/>
      <c r="NQ301" s="118"/>
      <c r="NR301" s="118"/>
      <c r="NS301" s="118"/>
      <c r="NT301" s="118"/>
      <c r="NU301" s="118"/>
      <c r="NV301" s="118"/>
      <c r="NW301" s="118"/>
      <c r="NX301" s="118"/>
      <c r="NY301" s="118"/>
      <c r="NZ301" s="118"/>
      <c r="OA301" s="118"/>
      <c r="OB301" s="118"/>
      <c r="OC301" s="118"/>
      <c r="OD301" s="118"/>
      <c r="OE301" s="118"/>
      <c r="OF301" s="118"/>
      <c r="OG301" s="118"/>
      <c r="OH301" s="118"/>
      <c r="OI301" s="118"/>
      <c r="OJ301" s="118"/>
      <c r="OK301" s="118"/>
      <c r="OL301" s="118"/>
      <c r="OM301" s="118"/>
      <c r="ON301" s="118"/>
      <c r="OO301" s="118"/>
      <c r="OP301" s="118"/>
      <c r="OQ301" s="118"/>
      <c r="OR301" s="118"/>
      <c r="OS301" s="118"/>
      <c r="OT301" s="118"/>
      <c r="OU301" s="118"/>
      <c r="OV301" s="118"/>
      <c r="OW301" s="118"/>
      <c r="OX301" s="118"/>
      <c r="OY301" s="118"/>
      <c r="OZ301" s="118"/>
      <c r="PA301" s="118"/>
      <c r="PB301" s="118"/>
      <c r="PC301" s="118"/>
      <c r="PD301" s="118"/>
      <c r="PE301" s="118"/>
      <c r="PF301" s="118"/>
      <c r="PG301" s="118"/>
      <c r="PH301" s="118"/>
      <c r="PI301" s="118"/>
      <c r="PJ301" s="118"/>
      <c r="PK301" s="118"/>
      <c r="PL301" s="118"/>
      <c r="PM301" s="118"/>
      <c r="PN301" s="118"/>
      <c r="PO301" s="118"/>
      <c r="PP301" s="118"/>
      <c r="PQ301" s="118"/>
      <c r="PR301" s="118"/>
      <c r="PS301" s="118"/>
      <c r="PT301" s="118"/>
      <c r="PU301" s="118"/>
      <c r="PV301" s="118"/>
      <c r="PW301" s="118"/>
      <c r="PX301" s="118"/>
      <c r="PY301" s="118"/>
      <c r="PZ301" s="118"/>
      <c r="QA301" s="118"/>
      <c r="QB301" s="118"/>
      <c r="QC301" s="118"/>
      <c r="QD301" s="118"/>
      <c r="QE301" s="118"/>
      <c r="QF301" s="118"/>
      <c r="QG301" s="118"/>
      <c r="QH301" s="118"/>
      <c r="QI301" s="118"/>
      <c r="QJ301" s="118"/>
      <c r="QK301" s="118"/>
      <c r="QL301" s="118"/>
      <c r="QM301" s="118"/>
      <c r="QN301" s="118"/>
      <c r="QO301" s="118"/>
      <c r="QP301" s="118"/>
      <c r="QQ301" s="118"/>
      <c r="QR301" s="118"/>
      <c r="QS301" s="118"/>
      <c r="QT301" s="118"/>
      <c r="QU301" s="118"/>
      <c r="QV301" s="118"/>
      <c r="QW301" s="118"/>
      <c r="QX301" s="118"/>
      <c r="QY301" s="118"/>
      <c r="QZ301" s="118"/>
      <c r="RA301" s="118"/>
      <c r="RB301" s="118"/>
      <c r="RC301" s="118"/>
      <c r="RD301" s="118"/>
      <c r="RE301" s="118"/>
      <c r="RF301" s="118"/>
      <c r="RG301" s="118"/>
      <c r="RH301" s="118"/>
      <c r="RI301" s="118"/>
      <c r="RJ301" s="118"/>
      <c r="RK301" s="118"/>
      <c r="RL301" s="118"/>
      <c r="RM301" s="118"/>
      <c r="RN301" s="118"/>
      <c r="RO301" s="118"/>
      <c r="RP301" s="118"/>
      <c r="RQ301" s="118"/>
      <c r="RR301" s="118"/>
      <c r="RS301" s="118"/>
      <c r="RT301" s="118"/>
      <c r="RU301" s="118"/>
      <c r="RV301" s="118"/>
      <c r="RW301" s="118"/>
      <c r="RX301" s="118"/>
      <c r="RY301" s="118"/>
      <c r="RZ301" s="118"/>
      <c r="SA301" s="118"/>
      <c r="SB301" s="118"/>
      <c r="SC301" s="118"/>
      <c r="SD301" s="118"/>
      <c r="SE301" s="118"/>
      <c r="SF301" s="118"/>
      <c r="SG301" s="118"/>
      <c r="SH301" s="118"/>
      <c r="SI301" s="118"/>
      <c r="SJ301" s="118"/>
      <c r="SK301" s="118"/>
      <c r="SL301" s="118"/>
      <c r="SM301" s="118"/>
      <c r="SN301" s="118"/>
      <c r="SO301" s="118"/>
      <c r="SP301" s="118"/>
      <c r="SQ301" s="118"/>
      <c r="SR301" s="118"/>
      <c r="SS301" s="118"/>
      <c r="ST301" s="118"/>
      <c r="SU301" s="118"/>
      <c r="SV301" s="118"/>
      <c r="SW301" s="118"/>
      <c r="SX301" s="118"/>
      <c r="SY301" s="118"/>
      <c r="SZ301" s="118"/>
      <c r="TA301" s="118"/>
      <c r="TB301" s="118"/>
      <c r="TC301" s="118"/>
      <c r="TD301" s="118"/>
      <c r="TE301" s="118"/>
      <c r="TF301" s="118"/>
      <c r="TG301" s="118"/>
      <c r="TH301" s="118"/>
      <c r="TI301" s="118"/>
      <c r="TJ301" s="118"/>
      <c r="TK301" s="118"/>
      <c r="TL301" s="118"/>
      <c r="TM301" s="118"/>
      <c r="TN301" s="118"/>
      <c r="TO301" s="118"/>
      <c r="TP301" s="118"/>
      <c r="TQ301" s="118"/>
      <c r="TR301" s="118"/>
      <c r="TS301" s="118"/>
      <c r="TT301" s="118"/>
      <c r="TU301" s="118"/>
      <c r="TV301" s="118"/>
      <c r="TW301" s="118"/>
      <c r="TX301" s="118"/>
      <c r="TY301" s="118"/>
      <c r="TZ301" s="118"/>
      <c r="UA301" s="118"/>
      <c r="UB301" s="118"/>
      <c r="UC301" s="118"/>
      <c r="UD301" s="118"/>
      <c r="UE301" s="118"/>
      <c r="UF301" s="118"/>
      <c r="UG301" s="118"/>
      <c r="UH301" s="118"/>
      <c r="UI301" s="118"/>
      <c r="UJ301" s="118"/>
      <c r="UK301" s="118"/>
      <c r="UL301" s="118"/>
      <c r="UM301" s="118"/>
      <c r="UN301" s="118"/>
      <c r="UO301" s="118"/>
      <c r="UP301" s="118"/>
      <c r="UQ301" s="118"/>
      <c r="UR301" s="118"/>
      <c r="US301" s="118"/>
      <c r="UT301" s="118"/>
      <c r="UU301" s="118"/>
      <c r="UV301" s="118"/>
      <c r="UW301" s="118"/>
      <c r="UX301" s="118"/>
      <c r="UY301" s="118"/>
      <c r="UZ301" s="118"/>
      <c r="VA301" s="118"/>
      <c r="VB301" s="118"/>
      <c r="VC301" s="118"/>
      <c r="VD301" s="118"/>
      <c r="VE301" s="118"/>
      <c r="VF301" s="118"/>
      <c r="VG301" s="118"/>
      <c r="VH301" s="118"/>
      <c r="VI301" s="118"/>
      <c r="VJ301" s="118"/>
      <c r="VK301" s="118"/>
      <c r="VL301" s="118"/>
      <c r="VM301" s="118"/>
      <c r="VN301" s="118"/>
      <c r="VO301" s="118"/>
      <c r="VP301" s="118"/>
      <c r="VQ301" s="118"/>
      <c r="VR301" s="118"/>
      <c r="VS301" s="118"/>
      <c r="VT301" s="118"/>
      <c r="VU301" s="118"/>
      <c r="VV301" s="118"/>
      <c r="VW301" s="118"/>
      <c r="VX301" s="118"/>
      <c r="VY301" s="118"/>
      <c r="VZ301" s="118"/>
      <c r="WA301" s="118"/>
      <c r="WB301" s="118"/>
      <c r="WC301" s="118"/>
      <c r="WD301" s="118"/>
      <c r="WE301" s="118"/>
      <c r="WF301" s="118"/>
      <c r="WG301" s="118"/>
      <c r="WH301" s="118"/>
      <c r="WI301" s="118"/>
      <c r="WJ301" s="118"/>
      <c r="WK301" s="118"/>
      <c r="WL301" s="118"/>
      <c r="WM301" s="118"/>
      <c r="WN301" s="118"/>
      <c r="WO301" s="118"/>
      <c r="WP301" s="118"/>
      <c r="WQ301" s="118"/>
      <c r="WR301" s="118"/>
      <c r="WS301" s="118"/>
      <c r="WT301" s="118"/>
      <c r="WU301" s="118"/>
      <c r="WV301" s="118"/>
      <c r="WW301" s="118"/>
      <c r="WX301" s="118"/>
      <c r="WY301" s="118"/>
      <c r="WZ301" s="118"/>
      <c r="XA301" s="118"/>
      <c r="XB301" s="118"/>
      <c r="XC301" s="118"/>
      <c r="XD301" s="118"/>
      <c r="XE301" s="118"/>
      <c r="XF301" s="118"/>
      <c r="XG301" s="118"/>
      <c r="XH301" s="118"/>
      <c r="XI301" s="118"/>
      <c r="XJ301" s="118"/>
      <c r="XK301" s="118"/>
      <c r="XL301" s="118"/>
      <c r="XM301" s="118"/>
      <c r="XN301" s="118"/>
      <c r="XO301" s="118"/>
      <c r="XP301" s="118"/>
      <c r="XQ301" s="118"/>
      <c r="XR301" s="118"/>
      <c r="XS301" s="118"/>
      <c r="XT301" s="118"/>
      <c r="XU301" s="118"/>
      <c r="XV301" s="118"/>
      <c r="XW301" s="118"/>
      <c r="XX301" s="118"/>
      <c r="XY301" s="118"/>
      <c r="XZ301" s="118"/>
      <c r="YA301" s="118"/>
      <c r="YB301" s="118"/>
      <c r="YC301" s="118"/>
      <c r="YD301" s="118"/>
      <c r="YE301" s="118"/>
      <c r="YF301" s="118"/>
      <c r="YG301" s="118"/>
      <c r="YH301" s="118"/>
      <c r="YI301" s="118"/>
      <c r="YJ301" s="118"/>
      <c r="YK301" s="118"/>
      <c r="YL301" s="118"/>
      <c r="YM301" s="118"/>
      <c r="YN301" s="118"/>
      <c r="YO301" s="118"/>
      <c r="YP301" s="118"/>
      <c r="YQ301" s="118"/>
      <c r="YR301" s="118"/>
      <c r="YS301" s="118"/>
      <c r="YT301" s="118"/>
      <c r="YU301" s="118"/>
      <c r="YV301" s="118"/>
      <c r="YW301" s="118"/>
      <c r="YX301" s="118"/>
      <c r="YY301" s="118"/>
      <c r="YZ301" s="118"/>
      <c r="ZA301" s="118"/>
      <c r="ZB301" s="118"/>
      <c r="ZC301" s="118"/>
      <c r="ZD301" s="118"/>
      <c r="ZE301" s="118"/>
      <c r="ZF301" s="118"/>
      <c r="ZG301" s="118"/>
      <c r="ZH301" s="118"/>
      <c r="ZI301" s="118"/>
      <c r="ZJ301" s="118"/>
      <c r="ZK301" s="118"/>
      <c r="ZL301" s="118"/>
      <c r="ZM301" s="118"/>
      <c r="ZN301" s="118"/>
      <c r="ZO301" s="118"/>
      <c r="ZP301" s="118"/>
      <c r="ZQ301" s="118"/>
      <c r="ZR301" s="118"/>
      <c r="ZS301" s="118"/>
      <c r="ZT301" s="118"/>
      <c r="ZU301" s="118"/>
      <c r="ZV301" s="118"/>
      <c r="ZW301" s="118"/>
      <c r="ZX301" s="118"/>
      <c r="ZY301" s="118"/>
      <c r="ZZ301" s="118"/>
      <c r="AAA301" s="118"/>
      <c r="AAB301" s="118"/>
      <c r="AAC301" s="118"/>
      <c r="AAD301" s="118"/>
      <c r="AAE301" s="118"/>
      <c r="AAF301" s="118"/>
      <c r="AAG301" s="118"/>
      <c r="AAH301" s="118"/>
      <c r="AAI301" s="118"/>
      <c r="AAJ301" s="118"/>
      <c r="AAK301" s="118"/>
      <c r="AAL301" s="118"/>
      <c r="AAM301" s="118"/>
      <c r="AAN301" s="118"/>
      <c r="AAO301" s="118"/>
      <c r="AAP301" s="118"/>
      <c r="AAQ301" s="118"/>
      <c r="AAR301" s="118"/>
      <c r="AAS301" s="118"/>
      <c r="AAT301" s="118"/>
      <c r="AAU301" s="118"/>
      <c r="AAV301" s="118"/>
      <c r="AAW301" s="118"/>
      <c r="AAX301" s="118"/>
      <c r="AAY301" s="118"/>
      <c r="AAZ301" s="118"/>
      <c r="ABA301" s="118"/>
      <c r="ABB301" s="118"/>
      <c r="ABC301" s="118"/>
      <c r="ABD301" s="118"/>
      <c r="ABE301" s="118"/>
      <c r="ABF301" s="118"/>
      <c r="ABG301" s="118"/>
      <c r="ABH301" s="118"/>
      <c r="ABI301" s="118"/>
      <c r="ABJ301" s="118"/>
      <c r="ABK301" s="118"/>
      <c r="ABL301" s="118"/>
      <c r="ABM301" s="118"/>
      <c r="ABN301" s="118"/>
      <c r="ABO301" s="118"/>
      <c r="ABP301" s="118"/>
      <c r="ABQ301" s="118"/>
      <c r="ABR301" s="118"/>
      <c r="ABS301" s="118"/>
      <c r="ABT301" s="118"/>
      <c r="ABU301" s="118"/>
      <c r="ABV301" s="118"/>
      <c r="ABW301" s="118"/>
      <c r="ABX301" s="118"/>
      <c r="ABY301" s="118"/>
      <c r="ABZ301" s="118"/>
      <c r="ACA301" s="118"/>
      <c r="ACB301" s="118"/>
      <c r="ACC301" s="118"/>
      <c r="ACD301" s="118"/>
      <c r="ACE301" s="118"/>
      <c r="ACF301" s="118"/>
      <c r="ACG301" s="118"/>
      <c r="ACH301" s="118"/>
      <c r="ACI301" s="118"/>
      <c r="ACJ301" s="118"/>
      <c r="ACK301" s="118"/>
      <c r="ACL301" s="118"/>
      <c r="ACM301" s="118"/>
      <c r="ACN301" s="118"/>
      <c r="ACO301" s="118"/>
      <c r="ACP301" s="118"/>
      <c r="ACQ301" s="118"/>
      <c r="ACR301" s="118"/>
      <c r="ACS301" s="118"/>
      <c r="ACT301" s="118"/>
      <c r="ACU301" s="118"/>
      <c r="ACV301" s="118"/>
      <c r="ACW301" s="118"/>
      <c r="ACX301" s="118"/>
      <c r="ACY301" s="118"/>
      <c r="ACZ301" s="118"/>
      <c r="ADA301" s="118"/>
      <c r="ADB301" s="118"/>
      <c r="ADC301" s="118"/>
      <c r="ADD301" s="118"/>
      <c r="ADE301" s="118"/>
      <c r="ADF301" s="118"/>
      <c r="ADG301" s="118"/>
      <c r="ADH301" s="118"/>
      <c r="ADI301" s="118"/>
      <c r="ADJ301" s="118"/>
      <c r="ADK301" s="118"/>
      <c r="ADL301" s="118"/>
      <c r="ADM301" s="118"/>
      <c r="ADN301" s="118"/>
      <c r="ADO301" s="118"/>
      <c r="ADP301" s="118"/>
      <c r="ADQ301" s="118"/>
      <c r="ADR301" s="118"/>
      <c r="ADS301" s="118"/>
      <c r="ADT301" s="118"/>
      <c r="ADU301" s="118"/>
      <c r="ADV301" s="118"/>
      <c r="ADW301" s="118"/>
      <c r="ADX301" s="118"/>
      <c r="ADY301" s="118"/>
      <c r="ADZ301" s="118"/>
      <c r="AEA301" s="118"/>
      <c r="AEB301" s="118"/>
      <c r="AEC301" s="118"/>
      <c r="AED301" s="118"/>
      <c r="AEE301" s="118"/>
      <c r="AEF301" s="118"/>
      <c r="AEG301" s="118"/>
      <c r="AEH301" s="118"/>
      <c r="AEI301" s="118"/>
      <c r="AEJ301" s="118"/>
      <c r="AEK301" s="118"/>
      <c r="AEL301" s="118"/>
      <c r="AEM301" s="118"/>
      <c r="AEN301" s="118"/>
      <c r="AEO301" s="118"/>
      <c r="AEP301" s="118"/>
      <c r="AEQ301" s="118"/>
      <c r="AER301" s="118"/>
      <c r="AES301" s="118"/>
      <c r="AET301" s="118"/>
      <c r="AEU301" s="118"/>
      <c r="AEV301" s="118"/>
      <c r="AEW301" s="118"/>
      <c r="AEX301" s="118"/>
      <c r="AEY301" s="118"/>
      <c r="AEZ301" s="118"/>
      <c r="AFA301" s="118"/>
      <c r="AFB301" s="118"/>
      <c r="AFC301" s="118"/>
      <c r="AFD301" s="118"/>
      <c r="AFE301" s="118"/>
      <c r="AFF301" s="118"/>
      <c r="AFG301" s="118"/>
      <c r="AFH301" s="118"/>
      <c r="AFI301" s="118"/>
      <c r="AFJ301" s="118"/>
      <c r="AFK301" s="118"/>
      <c r="AFL301" s="118"/>
      <c r="AFM301" s="118"/>
      <c r="AFN301" s="118"/>
      <c r="AFO301" s="118"/>
      <c r="AFP301" s="118"/>
      <c r="AFQ301" s="118"/>
      <c r="AFR301" s="118"/>
      <c r="AFS301" s="118"/>
      <c r="AFT301" s="118"/>
      <c r="AFU301" s="118"/>
      <c r="AFV301" s="118"/>
      <c r="AFW301" s="118"/>
      <c r="AFX301" s="118"/>
      <c r="AFY301" s="118"/>
      <c r="AFZ301" s="118"/>
      <c r="AGA301" s="118"/>
      <c r="AGB301" s="118"/>
      <c r="AGC301" s="118"/>
      <c r="AGD301" s="118"/>
      <c r="AGE301" s="118"/>
      <c r="AGF301" s="118"/>
      <c r="AGG301" s="118"/>
      <c r="AGH301" s="118"/>
      <c r="AGI301" s="118"/>
      <c r="AGJ301" s="118"/>
      <c r="AGK301" s="118"/>
      <c r="AGL301" s="118"/>
      <c r="AGM301" s="118"/>
      <c r="AGN301" s="118"/>
      <c r="AGO301" s="118"/>
      <c r="AGP301" s="118"/>
      <c r="AGQ301" s="118"/>
      <c r="AGR301" s="118"/>
      <c r="AGS301" s="118"/>
      <c r="AGT301" s="118"/>
      <c r="AGU301" s="118"/>
      <c r="AGV301" s="118"/>
      <c r="AGW301" s="118"/>
      <c r="AGX301" s="118"/>
      <c r="AGY301" s="118"/>
      <c r="AGZ301" s="118"/>
      <c r="AHA301" s="118"/>
      <c r="AHB301" s="118"/>
      <c r="AHC301" s="118"/>
      <c r="AHD301" s="118"/>
      <c r="AHE301" s="118"/>
      <c r="AHF301" s="118"/>
      <c r="AHG301" s="118"/>
      <c r="AHH301" s="118"/>
      <c r="AHI301" s="118"/>
      <c r="AHJ301" s="118"/>
      <c r="AHK301" s="118"/>
      <c r="AHL301" s="118"/>
      <c r="AHM301" s="118"/>
      <c r="AHN301" s="118"/>
      <c r="AHO301" s="118"/>
      <c r="AHP301" s="118"/>
      <c r="AHQ301" s="118"/>
      <c r="AHR301" s="118"/>
      <c r="AHS301" s="118"/>
      <c r="AHT301" s="118"/>
      <c r="AHU301" s="118"/>
      <c r="AHV301" s="118"/>
      <c r="AHW301" s="118"/>
      <c r="AHX301" s="118"/>
      <c r="AHY301" s="118"/>
      <c r="AHZ301" s="118"/>
      <c r="AIA301" s="118"/>
      <c r="AIB301" s="118"/>
      <c r="AIC301" s="118"/>
      <c r="AID301" s="118"/>
      <c r="AIE301" s="118"/>
      <c r="AIF301" s="118"/>
      <c r="AIG301" s="118"/>
      <c r="AIH301" s="118"/>
      <c r="AII301" s="118"/>
      <c r="AIJ301" s="118"/>
      <c r="AIK301" s="118"/>
      <c r="AIL301" s="118"/>
      <c r="AIM301" s="118"/>
      <c r="AIN301" s="118"/>
      <c r="AIO301" s="118"/>
      <c r="AIP301" s="118"/>
      <c r="AIQ301" s="118"/>
      <c r="AIR301" s="118"/>
      <c r="AIS301" s="118"/>
      <c r="AIT301" s="118"/>
      <c r="AIU301" s="118"/>
      <c r="AIV301" s="118"/>
      <c r="AIW301" s="118"/>
      <c r="AIX301" s="118"/>
      <c r="AIY301" s="118"/>
      <c r="AIZ301" s="118"/>
      <c r="AJA301" s="118"/>
      <c r="AJB301" s="118"/>
      <c r="AJC301" s="118"/>
      <c r="AJD301" s="118"/>
      <c r="AJE301" s="118"/>
      <c r="AJF301" s="118"/>
      <c r="AJG301" s="118"/>
      <c r="AJH301" s="118"/>
      <c r="AJI301" s="118"/>
      <c r="AJJ301" s="118"/>
      <c r="AJK301" s="118"/>
      <c r="AJL301" s="118"/>
      <c r="AJM301" s="118"/>
      <c r="AJN301" s="118"/>
      <c r="AJO301" s="118"/>
      <c r="AJP301" s="118"/>
      <c r="AJQ301" s="118"/>
      <c r="AJR301" s="118"/>
      <c r="AJS301" s="118"/>
      <c r="AJT301" s="118"/>
      <c r="AJU301" s="118"/>
      <c r="AJV301" s="118"/>
      <c r="AJW301" s="118"/>
      <c r="AJX301" s="118"/>
      <c r="AJY301" s="118"/>
      <c r="AJZ301" s="118"/>
      <c r="AKA301" s="118"/>
      <c r="AKB301" s="118"/>
      <c r="AKC301" s="118"/>
      <c r="AKD301" s="118"/>
      <c r="AKE301" s="118"/>
      <c r="AKF301" s="118"/>
      <c r="AKG301" s="118"/>
      <c r="AKH301" s="118"/>
      <c r="AKI301" s="118"/>
      <c r="AKJ301" s="118"/>
      <c r="AKK301" s="118"/>
      <c r="AKL301" s="118"/>
      <c r="AKM301" s="118"/>
      <c r="AKN301" s="118"/>
      <c r="AKO301" s="118"/>
      <c r="AKP301" s="118"/>
      <c r="AKQ301" s="118"/>
      <c r="AKR301" s="118"/>
      <c r="AKS301" s="118"/>
      <c r="AKT301" s="118"/>
      <c r="AKU301" s="118"/>
      <c r="AKV301" s="118"/>
      <c r="AKW301" s="118"/>
      <c r="AKX301" s="118"/>
      <c r="AKY301" s="118"/>
      <c r="AKZ301" s="118"/>
      <c r="ALA301" s="118"/>
      <c r="ALB301" s="118"/>
      <c r="ALC301" s="118"/>
      <c r="ALD301" s="118"/>
      <c r="ALE301" s="118"/>
      <c r="ALF301" s="118"/>
      <c r="ALG301" s="118"/>
      <c r="ALH301" s="118"/>
      <c r="ALI301" s="118"/>
      <c r="ALJ301" s="118"/>
      <c r="ALK301" s="118"/>
      <c r="ALL301" s="118"/>
      <c r="ALM301" s="118"/>
      <c r="ALN301" s="118"/>
      <c r="ALO301" s="118"/>
      <c r="ALP301" s="118"/>
      <c r="ALQ301" s="118"/>
      <c r="ALR301" s="118"/>
      <c r="ALS301" s="118"/>
      <c r="ALT301" s="118"/>
      <c r="ALU301" s="118"/>
      <c r="ALV301" s="118"/>
      <c r="ALW301" s="118"/>
      <c r="ALX301" s="118"/>
      <c r="ALY301" s="118"/>
      <c r="ALZ301" s="118"/>
      <c r="AMA301" s="118"/>
      <c r="AMB301" s="118"/>
      <c r="AMC301" s="118"/>
      <c r="AMD301" s="118"/>
      <c r="AME301" s="118"/>
      <c r="AMF301" s="118"/>
      <c r="AMG301" s="118"/>
      <c r="AMH301" s="118"/>
      <c r="AMI301" s="118"/>
      <c r="AMJ301" s="118"/>
      <c r="AMK301" s="118"/>
      <c r="AML301" s="118"/>
      <c r="AMM301" s="118"/>
      <c r="AMN301" s="118"/>
      <c r="AMO301" s="118"/>
      <c r="AMP301" s="118"/>
      <c r="AMQ301" s="118"/>
      <c r="AMR301" s="118"/>
      <c r="AMS301" s="118"/>
      <c r="AMT301" s="118"/>
      <c r="AMU301" s="118"/>
      <c r="AMV301" s="118"/>
      <c r="AMW301" s="118"/>
      <c r="AMX301" s="118"/>
      <c r="AMY301" s="118"/>
      <c r="AMZ301" s="118"/>
      <c r="ANA301" s="118"/>
      <c r="ANB301" s="118"/>
      <c r="ANC301" s="118"/>
      <c r="AND301" s="118"/>
      <c r="ANE301" s="118"/>
      <c r="ANF301" s="118"/>
      <c r="ANG301" s="118"/>
      <c r="ANH301" s="118"/>
      <c r="ANI301" s="118"/>
      <c r="ANJ301" s="118"/>
      <c r="ANK301" s="118"/>
      <c r="ANL301" s="118"/>
      <c r="ANM301" s="118"/>
      <c r="ANN301" s="118"/>
      <c r="ANO301" s="118"/>
      <c r="ANP301" s="118"/>
      <c r="ANQ301" s="118"/>
      <c r="ANR301" s="118"/>
      <c r="ANS301" s="118"/>
      <c r="ANT301" s="118"/>
      <c r="ANU301" s="118"/>
      <c r="ANV301" s="118"/>
      <c r="ANW301" s="118"/>
      <c r="ANX301" s="118"/>
      <c r="ANY301" s="118"/>
      <c r="ANZ301" s="118"/>
      <c r="AOA301" s="118"/>
      <c r="AOB301" s="118"/>
      <c r="AOC301" s="118"/>
      <c r="AOD301" s="118"/>
      <c r="AOE301" s="118"/>
      <c r="AOF301" s="118"/>
      <c r="AOG301" s="118"/>
      <c r="AOH301" s="118"/>
      <c r="AOI301" s="118"/>
      <c r="AOJ301" s="118"/>
      <c r="AOK301" s="118"/>
      <c r="AOL301" s="118"/>
      <c r="AOM301" s="118"/>
      <c r="AON301" s="118"/>
      <c r="AOO301" s="118"/>
      <c r="AOP301" s="118"/>
      <c r="AOQ301" s="118"/>
      <c r="AOR301" s="118"/>
      <c r="AOS301" s="118"/>
      <c r="AOT301" s="118"/>
      <c r="AOU301" s="118"/>
      <c r="AOV301" s="118"/>
      <c r="AOW301" s="118"/>
      <c r="AOX301" s="118"/>
      <c r="AOY301" s="118"/>
      <c r="AOZ301" s="118"/>
      <c r="APA301" s="118"/>
      <c r="APB301" s="118"/>
      <c r="APC301" s="118"/>
      <c r="APD301" s="118"/>
      <c r="APE301" s="118"/>
      <c r="APF301" s="118"/>
      <c r="APG301" s="118"/>
      <c r="APH301" s="118"/>
      <c r="API301" s="118"/>
      <c r="APJ301" s="118"/>
      <c r="APK301" s="118"/>
      <c r="APL301" s="118"/>
      <c r="APM301" s="118"/>
      <c r="APN301" s="118"/>
      <c r="APO301" s="118"/>
      <c r="APP301" s="118"/>
      <c r="APQ301" s="118"/>
      <c r="APR301" s="118"/>
      <c r="APS301" s="118"/>
      <c r="APT301" s="118"/>
      <c r="APU301" s="118"/>
      <c r="APV301" s="118"/>
      <c r="APW301" s="118"/>
      <c r="APX301" s="118"/>
      <c r="APY301" s="118"/>
      <c r="APZ301" s="118"/>
      <c r="AQA301" s="118"/>
      <c r="AQB301" s="118"/>
      <c r="AQC301" s="118"/>
      <c r="AQD301" s="118"/>
      <c r="AQE301" s="118"/>
      <c r="AQF301" s="118"/>
      <c r="AQG301" s="118"/>
      <c r="AQH301" s="118"/>
      <c r="AQI301" s="118"/>
      <c r="AQJ301" s="118"/>
      <c r="AQK301" s="118"/>
      <c r="AQL301" s="118"/>
      <c r="AQM301" s="118"/>
      <c r="AQN301" s="118"/>
      <c r="AQO301" s="118"/>
      <c r="AQP301" s="118"/>
      <c r="AQQ301" s="118"/>
      <c r="AQR301" s="118"/>
      <c r="AQS301" s="118"/>
      <c r="AQT301" s="118"/>
      <c r="AQU301" s="118"/>
      <c r="AQV301" s="118"/>
      <c r="AQW301" s="118"/>
      <c r="AQX301" s="118"/>
      <c r="AQY301" s="118"/>
      <c r="AQZ301" s="118"/>
      <c r="ARA301" s="118"/>
      <c r="ARB301" s="118"/>
      <c r="ARC301" s="118"/>
      <c r="ARD301" s="118"/>
      <c r="ARE301" s="118"/>
      <c r="ARF301" s="118"/>
      <c r="ARG301" s="118"/>
      <c r="ARH301" s="118"/>
      <c r="ARI301" s="118"/>
      <c r="ARJ301" s="118"/>
      <c r="ARK301" s="118"/>
      <c r="ARL301" s="118"/>
      <c r="ARM301" s="118"/>
      <c r="ARN301" s="118"/>
      <c r="ARO301" s="118"/>
      <c r="ARP301" s="118"/>
      <c r="ARQ301" s="118"/>
      <c r="ARR301" s="118"/>
      <c r="ARS301" s="118"/>
      <c r="ART301" s="118"/>
      <c r="ARU301" s="118"/>
      <c r="ARV301" s="118"/>
      <c r="ARW301" s="118"/>
      <c r="ARX301" s="118"/>
      <c r="ARY301" s="118"/>
      <c r="ARZ301" s="118"/>
      <c r="ASA301" s="118"/>
      <c r="ASB301" s="118"/>
      <c r="ASC301" s="118"/>
      <c r="ASD301" s="118"/>
      <c r="ASE301" s="118"/>
      <c r="ASF301" s="118"/>
      <c r="ASG301" s="118"/>
      <c r="ASH301" s="118"/>
      <c r="ASI301" s="118"/>
      <c r="ASJ301" s="118"/>
      <c r="ASK301" s="118"/>
      <c r="ASL301" s="118"/>
      <c r="ASM301" s="118"/>
      <c r="ASN301" s="118"/>
      <c r="ASO301" s="118"/>
      <c r="ASP301" s="118"/>
      <c r="ASQ301" s="118"/>
      <c r="ASR301" s="118"/>
      <c r="ASS301" s="118"/>
      <c r="AST301" s="118"/>
      <c r="ASU301" s="118"/>
      <c r="ASV301" s="118"/>
      <c r="ASW301" s="118"/>
      <c r="ASX301" s="118"/>
      <c r="ASY301" s="118"/>
      <c r="ASZ301" s="118"/>
      <c r="ATA301" s="118"/>
      <c r="ATB301" s="118"/>
      <c r="ATC301" s="118"/>
      <c r="ATD301" s="118"/>
      <c r="ATE301" s="118"/>
      <c r="ATF301" s="118"/>
      <c r="ATG301" s="118"/>
      <c r="ATH301" s="118"/>
      <c r="ATI301" s="118"/>
      <c r="ATJ301" s="118"/>
      <c r="ATK301" s="118"/>
      <c r="ATL301" s="118"/>
      <c r="ATM301" s="118"/>
      <c r="ATN301" s="118"/>
      <c r="ATO301" s="118"/>
      <c r="ATP301" s="118"/>
      <c r="ATQ301" s="118"/>
      <c r="ATR301" s="118"/>
      <c r="ATS301" s="118"/>
      <c r="ATT301" s="118"/>
      <c r="ATU301" s="118"/>
      <c r="ATV301" s="118"/>
      <c r="ATW301" s="118"/>
      <c r="ATX301" s="118"/>
      <c r="ATY301" s="118"/>
      <c r="ATZ301" s="118"/>
      <c r="AUA301" s="118"/>
      <c r="AUB301" s="118"/>
      <c r="AUC301" s="118"/>
      <c r="AUD301" s="118"/>
      <c r="AUE301" s="118"/>
      <c r="AUF301" s="118"/>
      <c r="AUG301" s="118"/>
      <c r="AUH301" s="118"/>
      <c r="AUI301" s="118"/>
      <c r="AUJ301" s="118"/>
      <c r="AUK301" s="118"/>
      <c r="AUL301" s="118"/>
      <c r="AUM301" s="118"/>
      <c r="AUN301" s="118"/>
      <c r="AUO301" s="118"/>
      <c r="AUP301" s="118"/>
      <c r="AUQ301" s="118"/>
      <c r="AUR301" s="118"/>
      <c r="AUS301" s="118"/>
      <c r="AUT301" s="118"/>
      <c r="AUU301" s="118"/>
      <c r="AUV301" s="118"/>
      <c r="AUW301" s="118"/>
      <c r="AUX301" s="118"/>
      <c r="AUY301" s="118"/>
      <c r="AUZ301" s="118"/>
      <c r="AVA301" s="118"/>
      <c r="AVB301" s="118"/>
      <c r="AVC301" s="118"/>
      <c r="AVD301" s="118"/>
      <c r="AVE301" s="118"/>
      <c r="AVF301" s="118"/>
      <c r="AVG301" s="118"/>
      <c r="AVH301" s="118"/>
      <c r="AVI301" s="118"/>
      <c r="AVJ301" s="118"/>
      <c r="AVK301" s="118"/>
      <c r="AVL301" s="118"/>
      <c r="AVM301" s="118"/>
      <c r="AVN301" s="118"/>
      <c r="AVO301" s="118"/>
      <c r="AVP301" s="118"/>
      <c r="AVQ301" s="118"/>
      <c r="AVR301" s="118"/>
      <c r="AVS301" s="118"/>
      <c r="AVT301" s="118"/>
      <c r="AVU301" s="118"/>
      <c r="AVV301" s="118"/>
      <c r="AVW301" s="118"/>
      <c r="AVX301" s="118"/>
      <c r="AVY301" s="118"/>
      <c r="AVZ301" s="118"/>
      <c r="AWA301" s="118"/>
      <c r="AWB301" s="118"/>
      <c r="AWC301" s="118"/>
      <c r="AWD301" s="118"/>
      <c r="AWE301" s="118"/>
      <c r="AWF301" s="118"/>
      <c r="AWG301" s="118"/>
      <c r="AWH301" s="118"/>
      <c r="AWI301" s="118"/>
      <c r="AWJ301" s="118"/>
      <c r="AWK301" s="118"/>
      <c r="AWL301" s="118"/>
      <c r="AWM301" s="118"/>
      <c r="AWN301" s="118"/>
      <c r="AWO301" s="118"/>
      <c r="AWP301" s="118"/>
      <c r="AWQ301" s="118"/>
      <c r="AWR301" s="118"/>
      <c r="AWS301" s="118"/>
      <c r="AWT301" s="118"/>
      <c r="AWU301" s="118"/>
      <c r="AWV301" s="118"/>
      <c r="AWW301" s="118"/>
      <c r="AWX301" s="118"/>
      <c r="AWY301" s="118"/>
      <c r="AWZ301" s="118"/>
      <c r="AXA301" s="118"/>
      <c r="AXB301" s="118"/>
      <c r="AXC301" s="118"/>
      <c r="AXD301" s="118"/>
      <c r="AXE301" s="118"/>
      <c r="AXF301" s="118"/>
      <c r="AXG301" s="118"/>
      <c r="AXH301" s="118"/>
      <c r="AXI301" s="118"/>
      <c r="AXJ301" s="118"/>
      <c r="AXK301" s="118"/>
      <c r="AXL301" s="118"/>
      <c r="AXM301" s="118"/>
      <c r="AXN301" s="118"/>
      <c r="AXO301" s="118"/>
      <c r="AXP301" s="118"/>
      <c r="AXQ301" s="118"/>
      <c r="AXR301" s="118"/>
      <c r="AXS301" s="118"/>
      <c r="AXT301" s="118"/>
      <c r="AXU301" s="118"/>
      <c r="AXV301" s="118"/>
      <c r="AXW301" s="118"/>
      <c r="AXX301" s="118"/>
      <c r="AXY301" s="118"/>
      <c r="AXZ301" s="118"/>
      <c r="AYA301" s="118"/>
      <c r="AYB301" s="118"/>
      <c r="AYC301" s="118"/>
      <c r="AYD301" s="118"/>
      <c r="AYE301" s="118"/>
      <c r="AYF301" s="118"/>
      <c r="AYG301" s="118"/>
      <c r="AYH301" s="118"/>
      <c r="AYI301" s="118"/>
      <c r="AYJ301" s="118"/>
      <c r="AYK301" s="118"/>
      <c r="AYL301" s="118"/>
      <c r="AYM301" s="118"/>
      <c r="AYN301" s="118"/>
      <c r="AYO301" s="118"/>
      <c r="AYP301" s="118"/>
      <c r="AYQ301" s="118"/>
      <c r="AYR301" s="118"/>
      <c r="AYS301" s="118"/>
      <c r="AYT301" s="118"/>
      <c r="AYU301" s="118"/>
      <c r="AYV301" s="118"/>
      <c r="AYW301" s="118"/>
      <c r="AYX301" s="118"/>
      <c r="AYY301" s="118"/>
      <c r="AYZ301" s="118"/>
      <c r="AZA301" s="118"/>
      <c r="AZB301" s="118"/>
      <c r="AZC301" s="118"/>
      <c r="AZD301" s="118"/>
      <c r="AZE301" s="118"/>
      <c r="AZF301" s="118"/>
      <c r="AZG301" s="118"/>
      <c r="AZH301" s="118"/>
      <c r="AZI301" s="118"/>
      <c r="AZJ301" s="118"/>
      <c r="AZK301" s="118"/>
      <c r="AZL301" s="118"/>
      <c r="AZM301" s="118"/>
      <c r="AZN301" s="118"/>
      <c r="AZO301" s="118"/>
      <c r="AZP301" s="118"/>
      <c r="AZQ301" s="118"/>
      <c r="AZR301" s="118"/>
      <c r="AZS301" s="118"/>
      <c r="AZT301" s="118"/>
      <c r="AZU301" s="118"/>
      <c r="AZV301" s="118"/>
      <c r="AZW301" s="118"/>
      <c r="AZX301" s="118"/>
      <c r="AZY301" s="118"/>
      <c r="AZZ301" s="118"/>
      <c r="BAA301" s="118"/>
      <c r="BAB301" s="118"/>
      <c r="BAC301" s="118"/>
      <c r="BAD301" s="118"/>
      <c r="BAE301" s="118"/>
      <c r="BAF301" s="118"/>
      <c r="BAG301" s="118"/>
      <c r="BAH301" s="118"/>
      <c r="BAI301" s="118"/>
      <c r="BAJ301" s="118"/>
      <c r="BAK301" s="118"/>
      <c r="BAL301" s="118"/>
      <c r="BAM301" s="118"/>
      <c r="BAN301" s="118"/>
      <c r="BAO301" s="118"/>
      <c r="BAP301" s="118"/>
      <c r="BAQ301" s="118"/>
      <c r="BAR301" s="118"/>
      <c r="BAS301" s="118"/>
      <c r="BAT301" s="118"/>
      <c r="BAU301" s="118"/>
      <c r="BAV301" s="118"/>
      <c r="BAW301" s="118"/>
      <c r="BAX301" s="118"/>
      <c r="BAY301" s="118"/>
      <c r="BAZ301" s="118"/>
      <c r="BBA301" s="118"/>
      <c r="BBB301" s="118"/>
      <c r="BBC301" s="118"/>
      <c r="BBD301" s="118"/>
      <c r="BBE301" s="118"/>
      <c r="BBF301" s="118"/>
      <c r="BBG301" s="118"/>
      <c r="BBH301" s="118"/>
      <c r="BBI301" s="118"/>
      <c r="BBJ301" s="118"/>
      <c r="BBK301" s="118"/>
      <c r="BBL301" s="118"/>
      <c r="BBM301" s="118"/>
      <c r="BBN301" s="118"/>
      <c r="BBO301" s="118"/>
      <c r="BBP301" s="118"/>
      <c r="BBQ301" s="118"/>
      <c r="BBR301" s="118"/>
      <c r="BBS301" s="118"/>
      <c r="BBT301" s="118"/>
      <c r="BBU301" s="118"/>
      <c r="BBV301" s="118"/>
      <c r="BBW301" s="118"/>
      <c r="BBX301" s="118"/>
      <c r="BBY301" s="118"/>
      <c r="BBZ301" s="118"/>
      <c r="BCA301" s="118"/>
      <c r="BCB301" s="118"/>
      <c r="BCC301" s="118"/>
      <c r="BCD301" s="118"/>
      <c r="BCE301" s="118"/>
      <c r="BCF301" s="118"/>
      <c r="BCG301" s="118"/>
      <c r="BCH301" s="118"/>
      <c r="BCI301" s="118"/>
      <c r="BCJ301" s="118"/>
      <c r="BCK301" s="118"/>
      <c r="BCL301" s="118"/>
      <c r="BCM301" s="118"/>
      <c r="BCN301" s="118"/>
      <c r="BCO301" s="118"/>
      <c r="BCP301" s="118"/>
      <c r="BCQ301" s="118"/>
      <c r="BCR301" s="118"/>
      <c r="BCS301" s="118"/>
      <c r="BCT301" s="118"/>
      <c r="BCU301" s="118"/>
      <c r="BCV301" s="118"/>
      <c r="BCW301" s="118"/>
      <c r="BCX301" s="118"/>
      <c r="BCY301" s="118"/>
      <c r="BCZ301" s="118"/>
      <c r="BDA301" s="118"/>
      <c r="BDB301" s="118"/>
      <c r="BDC301" s="118"/>
      <c r="BDD301" s="118"/>
      <c r="BDE301" s="118"/>
      <c r="BDF301" s="118"/>
      <c r="BDG301" s="118"/>
      <c r="BDH301" s="118"/>
      <c r="BDI301" s="118"/>
      <c r="BDJ301" s="118"/>
      <c r="BDK301" s="118"/>
      <c r="BDL301" s="118"/>
      <c r="BDM301" s="118"/>
      <c r="BDN301" s="118"/>
      <c r="BDO301" s="118"/>
      <c r="BDP301" s="118"/>
      <c r="BDQ301" s="118"/>
      <c r="BDR301" s="118"/>
      <c r="BDS301" s="118"/>
      <c r="BDT301" s="118"/>
      <c r="BDU301" s="118"/>
      <c r="BDV301" s="118"/>
      <c r="BDW301" s="118"/>
      <c r="BDX301" s="118"/>
      <c r="BDY301" s="118"/>
      <c r="BDZ301" s="118"/>
      <c r="BEA301" s="118"/>
      <c r="BEB301" s="118"/>
      <c r="BEC301" s="118"/>
      <c r="BED301" s="118"/>
      <c r="BEE301" s="118"/>
      <c r="BEF301" s="118"/>
      <c r="BEG301" s="118"/>
      <c r="BEH301" s="118"/>
      <c r="BEI301" s="118"/>
      <c r="BEJ301" s="118"/>
      <c r="BEK301" s="118"/>
      <c r="BEL301" s="118"/>
      <c r="BEM301" s="118"/>
      <c r="BEN301" s="118"/>
      <c r="BEO301" s="118"/>
      <c r="BEP301" s="118"/>
      <c r="BEQ301" s="118"/>
      <c r="BER301" s="118"/>
      <c r="BES301" s="118"/>
      <c r="BET301" s="118"/>
      <c r="BEU301" s="118"/>
      <c r="BEV301" s="118"/>
      <c r="BEW301" s="118"/>
      <c r="BEX301" s="118"/>
      <c r="BEY301" s="118"/>
      <c r="BEZ301" s="118"/>
      <c r="BFA301" s="118"/>
      <c r="BFB301" s="118"/>
      <c r="BFC301" s="118"/>
      <c r="BFD301" s="118"/>
      <c r="BFE301" s="118"/>
      <c r="BFF301" s="118"/>
      <c r="BFG301" s="118"/>
      <c r="BFH301" s="118"/>
      <c r="BFI301" s="118"/>
      <c r="BFJ301" s="118"/>
      <c r="BFK301" s="118"/>
      <c r="BFL301" s="118"/>
      <c r="BFM301" s="118"/>
      <c r="BFN301" s="118"/>
      <c r="BFO301" s="118"/>
      <c r="BFP301" s="118"/>
      <c r="BFQ301" s="118"/>
      <c r="BFR301" s="118"/>
      <c r="BFS301" s="118"/>
      <c r="BFT301" s="118"/>
      <c r="BFU301" s="118"/>
      <c r="BFV301" s="118"/>
      <c r="BFW301" s="118"/>
      <c r="BFX301" s="118"/>
      <c r="BFY301" s="118"/>
      <c r="BFZ301" s="118"/>
      <c r="BGA301" s="118"/>
      <c r="BGB301" s="118"/>
      <c r="BGC301" s="118"/>
      <c r="BGD301" s="118"/>
      <c r="BGE301" s="118"/>
      <c r="BGF301" s="118"/>
      <c r="BGG301" s="118"/>
      <c r="BGH301" s="118"/>
      <c r="BGI301" s="118"/>
      <c r="BGJ301" s="118"/>
      <c r="BGK301" s="118"/>
      <c r="BGL301" s="118"/>
      <c r="BGM301" s="118"/>
      <c r="BGN301" s="118"/>
      <c r="BGO301" s="118"/>
      <c r="BGP301" s="118"/>
      <c r="BGQ301" s="118"/>
      <c r="BGR301" s="118"/>
      <c r="BGS301" s="118"/>
      <c r="BGT301" s="118"/>
      <c r="BGU301" s="118"/>
      <c r="BGV301" s="118"/>
      <c r="BGW301" s="118"/>
      <c r="BGX301" s="118"/>
      <c r="BGY301" s="118"/>
      <c r="BGZ301" s="118"/>
      <c r="BHA301" s="118"/>
      <c r="BHB301" s="118"/>
      <c r="BHC301" s="118"/>
      <c r="BHD301" s="118"/>
      <c r="BHE301" s="118"/>
      <c r="BHF301" s="118"/>
      <c r="BHG301" s="118"/>
      <c r="BHH301" s="118"/>
      <c r="BHI301" s="118"/>
      <c r="BHJ301" s="118"/>
      <c r="BHK301" s="118"/>
      <c r="BHL301" s="118"/>
      <c r="BHM301" s="118"/>
      <c r="BHN301" s="118"/>
      <c r="BHO301" s="118"/>
      <c r="BHP301" s="118"/>
      <c r="BHQ301" s="118"/>
      <c r="BHR301" s="118"/>
      <c r="BHS301" s="118"/>
      <c r="BHT301" s="118"/>
      <c r="BHU301" s="118"/>
      <c r="BHV301" s="118"/>
      <c r="BHW301" s="118"/>
      <c r="BHX301" s="118"/>
      <c r="BHY301" s="118"/>
      <c r="BHZ301" s="118"/>
      <c r="BIA301" s="118"/>
      <c r="BIB301" s="118"/>
      <c r="BIC301" s="118"/>
      <c r="BID301" s="118"/>
      <c r="BIE301" s="118"/>
      <c r="BIF301" s="118"/>
      <c r="BIG301" s="118"/>
      <c r="BIH301" s="118"/>
      <c r="BII301" s="118"/>
      <c r="BIJ301" s="118"/>
      <c r="BIK301" s="118"/>
      <c r="BIL301" s="118"/>
      <c r="BIM301" s="118"/>
      <c r="BIN301" s="118"/>
      <c r="BIO301" s="118"/>
      <c r="BIP301" s="118"/>
      <c r="BIQ301" s="118"/>
      <c r="BIR301" s="118"/>
      <c r="BIS301" s="118"/>
      <c r="BIT301" s="118"/>
      <c r="BIU301" s="118"/>
      <c r="BIV301" s="118"/>
      <c r="BIW301" s="118"/>
      <c r="BIX301" s="118"/>
      <c r="BIY301" s="118"/>
      <c r="BIZ301" s="118"/>
      <c r="BJA301" s="118"/>
      <c r="BJB301" s="118"/>
      <c r="BJC301" s="118"/>
      <c r="BJD301" s="118"/>
      <c r="BJE301" s="118"/>
      <c r="BJF301" s="118"/>
      <c r="BJG301" s="118"/>
      <c r="BJH301" s="118"/>
      <c r="BJI301" s="118"/>
      <c r="BJJ301" s="118"/>
      <c r="BJK301" s="118"/>
      <c r="BJL301" s="118"/>
      <c r="BJM301" s="118"/>
      <c r="BJN301" s="118"/>
      <c r="BJO301" s="118"/>
      <c r="BJP301" s="118"/>
      <c r="BJQ301" s="118"/>
      <c r="BJR301" s="118"/>
      <c r="BJS301" s="118"/>
      <c r="BJT301" s="118"/>
      <c r="BJU301" s="118"/>
      <c r="BJV301" s="118"/>
      <c r="BJW301" s="118"/>
      <c r="BJX301" s="118"/>
      <c r="BJY301" s="118"/>
      <c r="BJZ301" s="118"/>
      <c r="BKA301" s="118"/>
      <c r="BKB301" s="118"/>
      <c r="BKC301" s="118"/>
      <c r="BKD301" s="118"/>
      <c r="BKE301" s="118"/>
      <c r="BKF301" s="118"/>
      <c r="BKG301" s="118"/>
      <c r="BKH301" s="118"/>
      <c r="BKI301" s="118"/>
      <c r="BKJ301" s="118"/>
      <c r="BKK301" s="118"/>
      <c r="BKL301" s="118"/>
      <c r="BKM301" s="118"/>
      <c r="BKN301" s="118"/>
      <c r="BKO301" s="118"/>
      <c r="BKP301" s="118"/>
      <c r="BKQ301" s="118"/>
      <c r="BKR301" s="118"/>
      <c r="BKS301" s="118"/>
      <c r="BKT301" s="118"/>
      <c r="BKU301" s="118"/>
      <c r="BKV301" s="118"/>
      <c r="BKW301" s="118"/>
      <c r="BKX301" s="118"/>
      <c r="BKY301" s="118"/>
      <c r="BKZ301" s="118"/>
      <c r="BLA301" s="118"/>
      <c r="BLB301" s="118"/>
      <c r="BLC301" s="118"/>
      <c r="BLD301" s="118"/>
      <c r="BLE301" s="118"/>
      <c r="BLF301" s="118"/>
      <c r="BLG301" s="118"/>
      <c r="BLH301" s="118"/>
      <c r="BLI301" s="118"/>
      <c r="BLJ301" s="118"/>
      <c r="BLK301" s="118"/>
      <c r="BLL301" s="118"/>
      <c r="BLM301" s="118"/>
      <c r="BLN301" s="118"/>
      <c r="BLO301" s="118"/>
      <c r="BLP301" s="118"/>
      <c r="BLQ301" s="118"/>
      <c r="BLR301" s="118"/>
      <c r="BLS301" s="118"/>
      <c r="BLT301" s="118"/>
      <c r="BLU301" s="118"/>
      <c r="BLV301" s="118"/>
      <c r="BLW301" s="118"/>
      <c r="BLX301" s="118"/>
      <c r="BLY301" s="118"/>
      <c r="BLZ301" s="118"/>
      <c r="BMA301" s="118"/>
      <c r="BMB301" s="118"/>
      <c r="BMC301" s="118"/>
      <c r="BMD301" s="118"/>
      <c r="BME301" s="118"/>
      <c r="BMF301" s="118"/>
      <c r="BMG301" s="118"/>
      <c r="BMH301" s="118"/>
      <c r="BMI301" s="118"/>
      <c r="BMJ301" s="118"/>
      <c r="BMK301" s="118"/>
      <c r="BML301" s="118"/>
      <c r="BMM301" s="118"/>
      <c r="BMN301" s="118"/>
      <c r="BMO301" s="118"/>
      <c r="BMP301" s="118"/>
      <c r="BMQ301" s="118"/>
      <c r="BMR301" s="118"/>
      <c r="BMS301" s="118"/>
      <c r="BMT301" s="118"/>
      <c r="BMU301" s="118"/>
      <c r="BMV301" s="118"/>
      <c r="BMW301" s="118"/>
      <c r="BMX301" s="118"/>
      <c r="BMY301" s="118"/>
      <c r="BMZ301" s="118"/>
      <c r="BNA301" s="118"/>
      <c r="BNB301" s="118"/>
      <c r="BNC301" s="118"/>
      <c r="BND301" s="118"/>
      <c r="BNE301" s="118"/>
      <c r="BNF301" s="118"/>
      <c r="BNG301" s="118"/>
      <c r="BNH301" s="118"/>
      <c r="BNI301" s="118"/>
      <c r="BNJ301" s="118"/>
      <c r="BNK301" s="118"/>
      <c r="BNL301" s="118"/>
      <c r="BNM301" s="118"/>
      <c r="BNN301" s="118"/>
      <c r="BNO301" s="118"/>
      <c r="BNP301" s="118"/>
      <c r="BNQ301" s="118"/>
      <c r="BNR301" s="118"/>
      <c r="BNS301" s="118"/>
      <c r="BNT301" s="118"/>
      <c r="BNU301" s="118"/>
      <c r="BNV301" s="118"/>
      <c r="BNW301" s="118"/>
      <c r="BNX301" s="118"/>
      <c r="BNY301" s="118"/>
      <c r="BNZ301" s="118"/>
      <c r="BOA301" s="118"/>
      <c r="BOB301" s="118"/>
      <c r="BOC301" s="118"/>
      <c r="BOD301" s="118"/>
      <c r="BOE301" s="118"/>
      <c r="BOF301" s="118"/>
      <c r="BOG301" s="118"/>
      <c r="BOH301" s="118"/>
      <c r="BOI301" s="118"/>
      <c r="BOJ301" s="118"/>
      <c r="BOK301" s="118"/>
      <c r="BOL301" s="118"/>
      <c r="BOM301" s="118"/>
      <c r="BON301" s="118"/>
      <c r="BOO301" s="118"/>
      <c r="BOP301" s="118"/>
      <c r="BOQ301" s="118"/>
      <c r="BOR301" s="118"/>
      <c r="BOS301" s="118"/>
      <c r="BOT301" s="118"/>
      <c r="BOU301" s="118"/>
      <c r="BOV301" s="118"/>
      <c r="BOW301" s="118"/>
      <c r="BOX301" s="118"/>
      <c r="BOY301" s="118"/>
      <c r="BOZ301" s="118"/>
      <c r="BPA301" s="118"/>
      <c r="BPB301" s="118"/>
      <c r="BPC301" s="118"/>
      <c r="BPD301" s="118"/>
      <c r="BPE301" s="118"/>
      <c r="BPF301" s="118"/>
      <c r="BPG301" s="118"/>
      <c r="BPH301" s="118"/>
      <c r="BPI301" s="118"/>
      <c r="BPJ301" s="118"/>
      <c r="BPK301" s="118"/>
      <c r="BPL301" s="118"/>
      <c r="BPM301" s="118"/>
      <c r="BPN301" s="118"/>
      <c r="BPO301" s="118"/>
      <c r="BPP301" s="118"/>
      <c r="BPQ301" s="118"/>
      <c r="BPR301" s="118"/>
      <c r="BPS301" s="118"/>
      <c r="BPT301" s="118"/>
      <c r="BPU301" s="118"/>
      <c r="BPV301" s="118"/>
      <c r="BPW301" s="118"/>
      <c r="BPX301" s="118"/>
      <c r="BPY301" s="118"/>
      <c r="BPZ301" s="118"/>
      <c r="BQA301" s="118"/>
      <c r="BQB301" s="118"/>
      <c r="BQC301" s="118"/>
      <c r="BQD301" s="118"/>
      <c r="BQE301" s="118"/>
      <c r="BQF301" s="118"/>
      <c r="BQG301" s="118"/>
      <c r="BQH301" s="118"/>
      <c r="BQI301" s="118"/>
      <c r="BQJ301" s="118"/>
      <c r="BQK301" s="118"/>
      <c r="BQL301" s="118"/>
      <c r="BQM301" s="118"/>
      <c r="BQN301" s="118"/>
      <c r="BQO301" s="118"/>
      <c r="BQP301" s="118"/>
      <c r="BQQ301" s="118"/>
      <c r="BQR301" s="118"/>
      <c r="BQS301" s="118"/>
      <c r="BQT301" s="118"/>
      <c r="BQU301" s="118"/>
      <c r="BQV301" s="118"/>
      <c r="BQW301" s="118"/>
      <c r="BQX301" s="118"/>
      <c r="BQY301" s="118"/>
      <c r="BQZ301" s="118"/>
      <c r="BRA301" s="118"/>
      <c r="BRB301" s="118"/>
      <c r="BRC301" s="118"/>
      <c r="BRD301" s="118"/>
      <c r="BRE301" s="118"/>
      <c r="BRF301" s="118"/>
      <c r="BRG301" s="118"/>
      <c r="BRH301" s="118"/>
      <c r="BRI301" s="118"/>
      <c r="BRJ301" s="118"/>
      <c r="BRK301" s="118"/>
      <c r="BRL301" s="118"/>
      <c r="BRM301" s="118"/>
      <c r="BRN301" s="118"/>
      <c r="BRO301" s="118"/>
      <c r="BRP301" s="118"/>
      <c r="BRQ301" s="118"/>
      <c r="BRR301" s="118"/>
      <c r="BRS301" s="118"/>
      <c r="BRT301" s="118"/>
      <c r="BRU301" s="118"/>
      <c r="BRV301" s="118"/>
      <c r="BRW301" s="118"/>
      <c r="BRX301" s="118"/>
      <c r="BRY301" s="118"/>
      <c r="BRZ301" s="118"/>
      <c r="BSA301" s="118"/>
      <c r="BSB301" s="118"/>
      <c r="BSC301" s="118"/>
      <c r="BSD301" s="118"/>
      <c r="BSE301" s="118"/>
      <c r="BSF301" s="118"/>
      <c r="BSG301" s="118"/>
      <c r="BSH301" s="118"/>
      <c r="BSI301" s="118"/>
      <c r="BSJ301" s="118"/>
      <c r="BSK301" s="118"/>
      <c r="BSL301" s="118"/>
      <c r="BSM301" s="118"/>
      <c r="BSN301" s="118"/>
      <c r="BSO301" s="118"/>
      <c r="BSP301" s="118"/>
      <c r="BSQ301" s="118"/>
      <c r="BSR301" s="118"/>
      <c r="BSS301" s="118"/>
      <c r="BST301" s="118"/>
      <c r="BSU301" s="118"/>
      <c r="BSV301" s="118"/>
      <c r="BSW301" s="118"/>
      <c r="BSX301" s="118"/>
      <c r="BSY301" s="118"/>
      <c r="BSZ301" s="118"/>
      <c r="BTA301" s="118"/>
      <c r="BTB301" s="118"/>
      <c r="BTC301" s="118"/>
      <c r="BTD301" s="118"/>
      <c r="BTE301" s="118"/>
      <c r="BTF301" s="118"/>
      <c r="BTG301" s="118"/>
      <c r="BTH301" s="118"/>
      <c r="BTI301" s="118"/>
      <c r="BTJ301" s="118"/>
      <c r="BTK301" s="118"/>
      <c r="BTL301" s="118"/>
      <c r="BTM301" s="118"/>
      <c r="BTN301" s="118"/>
      <c r="BTO301" s="118"/>
      <c r="BTP301" s="118"/>
      <c r="BTQ301" s="118"/>
      <c r="BTR301" s="118"/>
      <c r="BTS301" s="118"/>
      <c r="BTT301" s="118"/>
      <c r="BTU301" s="118"/>
      <c r="BTV301" s="118"/>
      <c r="BTW301" s="118"/>
      <c r="BTX301" s="118"/>
      <c r="BTY301" s="118"/>
      <c r="BTZ301" s="118"/>
      <c r="BUA301" s="118"/>
      <c r="BUB301" s="118"/>
      <c r="BUC301" s="118"/>
      <c r="BUD301" s="118"/>
      <c r="BUE301" s="118"/>
      <c r="BUF301" s="118"/>
      <c r="BUG301" s="118"/>
      <c r="BUH301" s="118"/>
      <c r="BUI301" s="118"/>
      <c r="BUJ301" s="118"/>
      <c r="BUK301" s="118"/>
      <c r="BUL301" s="118"/>
      <c r="BUM301" s="118"/>
      <c r="BUN301" s="118"/>
      <c r="BUO301" s="118"/>
      <c r="BUP301" s="118"/>
      <c r="BUQ301" s="118"/>
      <c r="BUR301" s="118"/>
      <c r="BUS301" s="118"/>
      <c r="BUT301" s="118"/>
      <c r="BUU301" s="118"/>
      <c r="BUV301" s="118"/>
      <c r="BUW301" s="118"/>
      <c r="BUX301" s="118"/>
      <c r="BUY301" s="118"/>
      <c r="BUZ301" s="118"/>
      <c r="BVA301" s="118"/>
      <c r="BVB301" s="118"/>
      <c r="BVC301" s="118"/>
      <c r="BVD301" s="118"/>
      <c r="BVE301" s="118"/>
      <c r="BVF301" s="118"/>
      <c r="BVG301" s="118"/>
      <c r="BVH301" s="118"/>
      <c r="BVI301" s="118"/>
      <c r="BVJ301" s="118"/>
      <c r="BVK301" s="118"/>
      <c r="BVL301" s="118"/>
      <c r="BVM301" s="118"/>
      <c r="BVN301" s="118"/>
      <c r="BVO301" s="118"/>
      <c r="BVP301" s="118"/>
      <c r="BVQ301" s="118"/>
      <c r="BVR301" s="118"/>
      <c r="BVS301" s="118"/>
      <c r="BVT301" s="118"/>
      <c r="BVU301" s="118"/>
      <c r="BVV301" s="118"/>
      <c r="BVW301" s="118"/>
      <c r="BVX301" s="118"/>
      <c r="BVY301" s="118"/>
      <c r="BVZ301" s="118"/>
      <c r="BWA301" s="118"/>
      <c r="BWB301" s="118"/>
      <c r="BWC301" s="118"/>
      <c r="BWD301" s="118"/>
      <c r="BWE301" s="118"/>
      <c r="BWF301" s="118"/>
      <c r="BWG301" s="118"/>
      <c r="BWH301" s="118"/>
      <c r="BWI301" s="118"/>
      <c r="BWJ301" s="118"/>
      <c r="BWK301" s="118"/>
      <c r="BWL301" s="118"/>
      <c r="BWM301" s="118"/>
      <c r="BWN301" s="118"/>
      <c r="BWO301" s="118"/>
      <c r="BWP301" s="118"/>
      <c r="BWQ301" s="118"/>
      <c r="BWR301" s="118"/>
      <c r="BWS301" s="118"/>
      <c r="BWT301" s="118"/>
      <c r="BWU301" s="118"/>
      <c r="BWV301" s="118"/>
      <c r="BWW301" s="118"/>
      <c r="BWX301" s="118"/>
      <c r="BWY301" s="118"/>
      <c r="BWZ301" s="118"/>
      <c r="BXA301" s="118"/>
      <c r="BXB301" s="118"/>
      <c r="BXC301" s="118"/>
      <c r="BXD301" s="118"/>
      <c r="BXE301" s="118"/>
      <c r="BXF301" s="118"/>
      <c r="BXG301" s="118"/>
      <c r="BXH301" s="118"/>
      <c r="BXI301" s="118"/>
      <c r="BXJ301" s="118"/>
      <c r="BXK301" s="118"/>
      <c r="BXL301" s="118"/>
      <c r="BXM301" s="118"/>
      <c r="BXN301" s="118"/>
      <c r="BXO301" s="118"/>
      <c r="BXP301" s="118"/>
      <c r="BXQ301" s="118"/>
      <c r="BXR301" s="118"/>
      <c r="BXS301" s="118"/>
      <c r="BXT301" s="118"/>
      <c r="BXU301" s="118"/>
      <c r="BXV301" s="118"/>
      <c r="BXW301" s="118"/>
      <c r="BXX301" s="118"/>
      <c r="BXY301" s="118"/>
      <c r="BXZ301" s="118"/>
      <c r="BYA301" s="118"/>
      <c r="BYB301" s="118"/>
      <c r="BYC301" s="118"/>
      <c r="BYD301" s="118"/>
      <c r="BYE301" s="118"/>
      <c r="BYF301" s="118"/>
      <c r="BYG301" s="118"/>
      <c r="BYH301" s="118"/>
      <c r="BYI301" s="118"/>
      <c r="BYJ301" s="118"/>
      <c r="BYK301" s="118"/>
      <c r="BYL301" s="118"/>
      <c r="BYM301" s="118"/>
      <c r="BYN301" s="118"/>
      <c r="BYO301" s="118"/>
      <c r="BYP301" s="118"/>
      <c r="BYQ301" s="118"/>
      <c r="BYR301" s="118"/>
      <c r="BYS301" s="118"/>
      <c r="BYT301" s="118"/>
      <c r="BYU301" s="118"/>
      <c r="BYV301" s="118"/>
      <c r="BYW301" s="118"/>
      <c r="BYX301" s="118"/>
      <c r="BYY301" s="118"/>
      <c r="BYZ301" s="118"/>
      <c r="BZA301" s="118"/>
      <c r="BZB301" s="118"/>
      <c r="BZC301" s="118"/>
      <c r="BZD301" s="118"/>
      <c r="BZE301" s="118"/>
      <c r="BZF301" s="118"/>
      <c r="BZG301" s="118"/>
      <c r="BZH301" s="118"/>
      <c r="BZI301" s="118"/>
      <c r="BZJ301" s="118"/>
      <c r="BZK301" s="118"/>
      <c r="BZL301" s="118"/>
      <c r="BZM301" s="118"/>
      <c r="BZN301" s="118"/>
      <c r="BZO301" s="118"/>
      <c r="BZP301" s="118"/>
      <c r="BZQ301" s="118"/>
      <c r="BZR301" s="118"/>
      <c r="BZS301" s="118"/>
      <c r="BZT301" s="118"/>
      <c r="BZU301" s="118"/>
      <c r="BZV301" s="118"/>
      <c r="BZW301" s="118"/>
      <c r="BZX301" s="118"/>
      <c r="BZY301" s="118"/>
      <c r="BZZ301" s="118"/>
      <c r="CAA301" s="118"/>
      <c r="CAB301" s="118"/>
      <c r="CAC301" s="118"/>
      <c r="CAD301" s="118"/>
      <c r="CAE301" s="118"/>
      <c r="CAF301" s="118"/>
      <c r="CAG301" s="118"/>
      <c r="CAH301" s="118"/>
      <c r="CAI301" s="118"/>
      <c r="CAJ301" s="118"/>
      <c r="CAK301" s="118"/>
      <c r="CAL301" s="118"/>
      <c r="CAM301" s="118"/>
      <c r="CAN301" s="118"/>
      <c r="CAO301" s="118"/>
      <c r="CAP301" s="118"/>
      <c r="CAQ301" s="118"/>
      <c r="CAR301" s="118"/>
      <c r="CAS301" s="118"/>
      <c r="CAT301" s="118"/>
      <c r="CAU301" s="118"/>
      <c r="CAV301" s="118"/>
      <c r="CAW301" s="118"/>
      <c r="CAX301" s="118"/>
      <c r="CAY301" s="118"/>
      <c r="CAZ301" s="118"/>
      <c r="CBA301" s="118"/>
      <c r="CBB301" s="118"/>
      <c r="CBC301" s="118"/>
      <c r="CBD301" s="118"/>
      <c r="CBE301" s="118"/>
      <c r="CBF301" s="118"/>
      <c r="CBG301" s="118"/>
      <c r="CBH301" s="118"/>
      <c r="CBI301" s="118"/>
      <c r="CBJ301" s="118"/>
      <c r="CBK301" s="118"/>
      <c r="CBL301" s="118"/>
      <c r="CBM301" s="118"/>
      <c r="CBN301" s="118"/>
      <c r="CBO301" s="118"/>
      <c r="CBP301" s="118"/>
      <c r="CBQ301" s="118"/>
      <c r="CBR301" s="118"/>
      <c r="CBS301" s="118"/>
      <c r="CBT301" s="118"/>
      <c r="CBU301" s="118"/>
      <c r="CBV301" s="118"/>
      <c r="CBW301" s="118"/>
      <c r="CBX301" s="118"/>
      <c r="CBY301" s="118"/>
      <c r="CBZ301" s="118"/>
      <c r="CCA301" s="118"/>
      <c r="CCB301" s="118"/>
      <c r="CCC301" s="118"/>
      <c r="CCD301" s="118"/>
      <c r="CCE301" s="118"/>
      <c r="CCF301" s="118"/>
      <c r="CCG301" s="118"/>
      <c r="CCH301" s="118"/>
      <c r="CCI301" s="118"/>
      <c r="CCJ301" s="118"/>
      <c r="CCK301" s="118"/>
      <c r="CCL301" s="118"/>
      <c r="CCM301" s="118"/>
      <c r="CCN301" s="118"/>
      <c r="CCO301" s="118"/>
      <c r="CCP301" s="118"/>
      <c r="CCQ301" s="118"/>
      <c r="CCR301" s="118"/>
      <c r="CCS301" s="118"/>
      <c r="CCT301" s="118"/>
      <c r="CCU301" s="118"/>
      <c r="CCV301" s="118"/>
      <c r="CCW301" s="118"/>
      <c r="CCX301" s="118"/>
      <c r="CCY301" s="118"/>
      <c r="CCZ301" s="118"/>
      <c r="CDA301" s="118"/>
      <c r="CDB301" s="118"/>
      <c r="CDC301" s="118"/>
      <c r="CDD301" s="118"/>
      <c r="CDE301" s="118"/>
      <c r="CDF301" s="118"/>
      <c r="CDG301" s="118"/>
      <c r="CDH301" s="118"/>
      <c r="CDI301" s="118"/>
      <c r="CDJ301" s="118"/>
      <c r="CDK301" s="118"/>
      <c r="CDL301" s="118"/>
      <c r="CDM301" s="118"/>
      <c r="CDN301" s="118"/>
      <c r="CDO301" s="118"/>
      <c r="CDP301" s="118"/>
      <c r="CDQ301" s="118"/>
      <c r="CDR301" s="118"/>
      <c r="CDS301" s="118"/>
      <c r="CDT301" s="118"/>
      <c r="CDU301" s="118"/>
      <c r="CDV301" s="118"/>
      <c r="CDW301" s="118"/>
      <c r="CDX301" s="118"/>
      <c r="CDY301" s="118"/>
      <c r="CDZ301" s="118"/>
      <c r="CEA301" s="118"/>
      <c r="CEB301" s="118"/>
      <c r="CEC301" s="118"/>
      <c r="CED301" s="118"/>
      <c r="CEE301" s="118"/>
      <c r="CEF301" s="118"/>
      <c r="CEG301" s="118"/>
      <c r="CEH301" s="118"/>
      <c r="CEI301" s="118"/>
      <c r="CEJ301" s="118"/>
      <c r="CEK301" s="118"/>
      <c r="CEL301" s="118"/>
      <c r="CEM301" s="118"/>
      <c r="CEN301" s="118"/>
      <c r="CEO301" s="118"/>
      <c r="CEP301" s="118"/>
      <c r="CEQ301" s="118"/>
      <c r="CER301" s="118"/>
      <c r="CES301" s="118"/>
      <c r="CET301" s="118"/>
      <c r="CEU301" s="118"/>
      <c r="CEV301" s="118"/>
      <c r="CEW301" s="118"/>
      <c r="CEX301" s="118"/>
      <c r="CEY301" s="118"/>
      <c r="CEZ301" s="118"/>
      <c r="CFA301" s="118"/>
      <c r="CFB301" s="118"/>
      <c r="CFC301" s="118"/>
      <c r="CFD301" s="118"/>
      <c r="CFE301" s="118"/>
      <c r="CFF301" s="118"/>
      <c r="CFG301" s="118"/>
      <c r="CFH301" s="118"/>
      <c r="CFI301" s="118"/>
      <c r="CFJ301" s="118"/>
      <c r="CFK301" s="118"/>
      <c r="CFL301" s="118"/>
      <c r="CFM301" s="118"/>
      <c r="CFN301" s="118"/>
      <c r="CFO301" s="118"/>
      <c r="CFP301" s="118"/>
      <c r="CFQ301" s="118"/>
      <c r="CFR301" s="118"/>
      <c r="CFS301" s="118"/>
      <c r="CFT301" s="118"/>
      <c r="CFU301" s="118"/>
      <c r="CFV301" s="118"/>
      <c r="CFW301" s="118"/>
      <c r="CFX301" s="118"/>
      <c r="CFY301" s="118"/>
      <c r="CFZ301" s="118"/>
      <c r="CGA301" s="118"/>
      <c r="CGB301" s="118"/>
      <c r="CGC301" s="118"/>
      <c r="CGD301" s="118"/>
      <c r="CGE301" s="118"/>
      <c r="CGF301" s="118"/>
      <c r="CGG301" s="118"/>
      <c r="CGH301" s="118"/>
      <c r="CGI301" s="118"/>
      <c r="CGJ301" s="118"/>
      <c r="CGK301" s="118"/>
      <c r="CGL301" s="118"/>
      <c r="CGM301" s="118"/>
      <c r="CGN301" s="118"/>
      <c r="CGO301" s="118"/>
      <c r="CGP301" s="118"/>
      <c r="CGQ301" s="118"/>
      <c r="CGR301" s="118"/>
      <c r="CGS301" s="118"/>
      <c r="CGT301" s="118"/>
      <c r="CGU301" s="118"/>
      <c r="CGV301" s="118"/>
      <c r="CGW301" s="118"/>
      <c r="CGX301" s="118"/>
      <c r="CGY301" s="118"/>
      <c r="CGZ301" s="118"/>
      <c r="CHA301" s="118"/>
      <c r="CHB301" s="118"/>
      <c r="CHC301" s="118"/>
      <c r="CHD301" s="118"/>
      <c r="CHE301" s="118"/>
      <c r="CHF301" s="118"/>
      <c r="CHG301" s="118"/>
      <c r="CHH301" s="118"/>
      <c r="CHI301" s="118"/>
      <c r="CHJ301" s="118"/>
      <c r="CHK301" s="118"/>
      <c r="CHL301" s="118"/>
      <c r="CHM301" s="118"/>
      <c r="CHN301" s="118"/>
      <c r="CHO301" s="118"/>
      <c r="CHP301" s="118"/>
      <c r="CHQ301" s="118"/>
      <c r="CHR301" s="118"/>
      <c r="CHS301" s="118"/>
      <c r="CHT301" s="118"/>
      <c r="CHU301" s="118"/>
      <c r="CHV301" s="118"/>
      <c r="CHW301" s="118"/>
      <c r="CHX301" s="118"/>
      <c r="CHY301" s="118"/>
      <c r="CHZ301" s="118"/>
      <c r="CIA301" s="118"/>
      <c r="CIB301" s="118"/>
      <c r="CIC301" s="118"/>
      <c r="CID301" s="118"/>
      <c r="CIE301" s="118"/>
      <c r="CIF301" s="118"/>
      <c r="CIG301" s="118"/>
      <c r="CIH301" s="118"/>
      <c r="CII301" s="118"/>
      <c r="CIJ301" s="118"/>
      <c r="CIK301" s="118"/>
      <c r="CIL301" s="118"/>
      <c r="CIM301" s="118"/>
      <c r="CIN301" s="118"/>
      <c r="CIO301" s="118"/>
      <c r="CIP301" s="118"/>
      <c r="CIQ301" s="118"/>
      <c r="CIR301" s="118"/>
      <c r="CIS301" s="118"/>
      <c r="CIT301" s="118"/>
      <c r="CIU301" s="118"/>
      <c r="CIV301" s="118"/>
      <c r="CIW301" s="118"/>
      <c r="CIX301" s="118"/>
      <c r="CIY301" s="118"/>
      <c r="CIZ301" s="118"/>
      <c r="CJA301" s="118"/>
      <c r="CJB301" s="118"/>
      <c r="CJC301" s="118"/>
      <c r="CJD301" s="118"/>
      <c r="CJE301" s="118"/>
      <c r="CJF301" s="118"/>
      <c r="CJG301" s="118"/>
      <c r="CJH301" s="118"/>
      <c r="CJI301" s="118"/>
      <c r="CJJ301" s="118"/>
      <c r="CJK301" s="118"/>
      <c r="CJL301" s="118"/>
      <c r="CJM301" s="118"/>
      <c r="CJN301" s="118"/>
      <c r="CJO301" s="118"/>
      <c r="CJP301" s="118"/>
      <c r="CJQ301" s="118"/>
      <c r="CJR301" s="118"/>
      <c r="CJS301" s="118"/>
      <c r="CJT301" s="118"/>
      <c r="CJU301" s="118"/>
      <c r="CJV301" s="118"/>
      <c r="CJW301" s="118"/>
      <c r="CJX301" s="118"/>
      <c r="CJY301" s="118"/>
      <c r="CJZ301" s="118"/>
      <c r="CKA301" s="118"/>
      <c r="CKB301" s="118"/>
      <c r="CKC301" s="118"/>
      <c r="CKD301" s="118"/>
      <c r="CKE301" s="118"/>
      <c r="CKF301" s="118"/>
      <c r="CKG301" s="118"/>
      <c r="CKH301" s="118"/>
      <c r="CKI301" s="118"/>
      <c r="CKJ301" s="118"/>
      <c r="CKK301" s="118"/>
      <c r="CKL301" s="118"/>
      <c r="CKM301" s="118"/>
      <c r="CKN301" s="118"/>
      <c r="CKO301" s="118"/>
      <c r="CKP301" s="118"/>
      <c r="CKQ301" s="118"/>
      <c r="CKR301" s="118"/>
      <c r="CKS301" s="118"/>
      <c r="CKT301" s="118"/>
      <c r="CKU301" s="118"/>
      <c r="CKV301" s="118"/>
      <c r="CKW301" s="118"/>
      <c r="CKX301" s="118"/>
      <c r="CKY301" s="118"/>
      <c r="CKZ301" s="118"/>
      <c r="CLA301" s="118"/>
      <c r="CLB301" s="118"/>
      <c r="CLC301" s="118"/>
      <c r="CLD301" s="118"/>
      <c r="CLE301" s="118"/>
      <c r="CLF301" s="118"/>
      <c r="CLG301" s="118"/>
      <c r="CLH301" s="118"/>
      <c r="CLI301" s="118"/>
      <c r="CLJ301" s="118"/>
      <c r="CLK301" s="118"/>
      <c r="CLL301" s="118"/>
      <c r="CLM301" s="118"/>
      <c r="CLN301" s="118"/>
      <c r="CLO301" s="118"/>
      <c r="CLP301" s="118"/>
      <c r="CLQ301" s="118"/>
      <c r="CLR301" s="118"/>
      <c r="CLS301" s="118"/>
      <c r="CLT301" s="118"/>
      <c r="CLU301" s="118"/>
      <c r="CLV301" s="118"/>
      <c r="CLW301" s="118"/>
      <c r="CLX301" s="118"/>
      <c r="CLY301" s="118"/>
      <c r="CLZ301" s="118"/>
      <c r="CMA301" s="118"/>
      <c r="CMB301" s="118"/>
      <c r="CMC301" s="118"/>
      <c r="CMD301" s="118"/>
      <c r="CME301" s="118"/>
      <c r="CMF301" s="118"/>
      <c r="CMG301" s="118"/>
      <c r="CMH301" s="118"/>
      <c r="CMI301" s="118"/>
      <c r="CMJ301" s="118"/>
      <c r="CMK301" s="118"/>
      <c r="CML301" s="118"/>
      <c r="CMM301" s="118"/>
      <c r="CMN301" s="118"/>
      <c r="CMO301" s="118"/>
      <c r="CMP301" s="118"/>
      <c r="CMQ301" s="118"/>
      <c r="CMR301" s="118"/>
      <c r="CMS301" s="118"/>
      <c r="CMT301" s="118"/>
      <c r="CMU301" s="118"/>
      <c r="CMV301" s="118"/>
      <c r="CMW301" s="118"/>
      <c r="CMX301" s="118"/>
      <c r="CMY301" s="118"/>
      <c r="CMZ301" s="118"/>
      <c r="CNA301" s="118"/>
      <c r="CNB301" s="118"/>
      <c r="CNC301" s="118"/>
      <c r="CND301" s="118"/>
      <c r="CNE301" s="118"/>
      <c r="CNF301" s="118"/>
      <c r="CNG301" s="118"/>
      <c r="CNH301" s="118"/>
      <c r="CNI301" s="118"/>
      <c r="CNJ301" s="118"/>
      <c r="CNK301" s="118"/>
      <c r="CNL301" s="118"/>
      <c r="CNM301" s="118"/>
      <c r="CNN301" s="118"/>
      <c r="CNO301" s="118"/>
      <c r="CNP301" s="118"/>
      <c r="CNQ301" s="118"/>
      <c r="CNR301" s="118"/>
      <c r="CNS301" s="118"/>
      <c r="CNT301" s="118"/>
      <c r="CNU301" s="118"/>
      <c r="CNV301" s="118"/>
      <c r="CNW301" s="118"/>
      <c r="CNX301" s="118"/>
      <c r="CNY301" s="118"/>
      <c r="CNZ301" s="118"/>
      <c r="COA301" s="118"/>
      <c r="COB301" s="118"/>
      <c r="COC301" s="118"/>
      <c r="COD301" s="118"/>
      <c r="COE301" s="118"/>
      <c r="COF301" s="118"/>
      <c r="COG301" s="118"/>
      <c r="COH301" s="118"/>
      <c r="COI301" s="118"/>
      <c r="COJ301" s="118"/>
      <c r="COK301" s="118"/>
      <c r="COL301" s="118"/>
      <c r="COM301" s="118"/>
      <c r="CON301" s="118"/>
      <c r="COO301" s="118"/>
      <c r="COP301" s="118"/>
      <c r="COQ301" s="118"/>
      <c r="COR301" s="118"/>
      <c r="COS301" s="118"/>
      <c r="COT301" s="118"/>
      <c r="COU301" s="118"/>
      <c r="COV301" s="118"/>
      <c r="COW301" s="118"/>
      <c r="COX301" s="118"/>
      <c r="COY301" s="118"/>
      <c r="COZ301" s="118"/>
      <c r="CPA301" s="118"/>
      <c r="CPB301" s="118"/>
      <c r="CPC301" s="118"/>
      <c r="CPD301" s="118"/>
      <c r="CPE301" s="118"/>
      <c r="CPF301" s="118"/>
      <c r="CPG301" s="118"/>
      <c r="CPH301" s="118"/>
      <c r="CPI301" s="118"/>
      <c r="CPJ301" s="118"/>
      <c r="CPK301" s="118"/>
      <c r="CPL301" s="118"/>
      <c r="CPM301" s="118"/>
      <c r="CPN301" s="118"/>
      <c r="CPO301" s="118"/>
      <c r="CPP301" s="118"/>
      <c r="CPQ301" s="118"/>
      <c r="CPR301" s="118"/>
      <c r="CPS301" s="118"/>
      <c r="CPT301" s="118"/>
      <c r="CPU301" s="118"/>
      <c r="CPV301" s="118"/>
      <c r="CPW301" s="118"/>
      <c r="CPX301" s="118"/>
      <c r="CPY301" s="118"/>
      <c r="CPZ301" s="118"/>
      <c r="CQA301" s="118"/>
      <c r="CQB301" s="118"/>
      <c r="CQC301" s="118"/>
      <c r="CQD301" s="118"/>
      <c r="CQE301" s="118"/>
      <c r="CQF301" s="118"/>
      <c r="CQG301" s="118"/>
      <c r="CQH301" s="118"/>
      <c r="CQI301" s="118"/>
      <c r="CQJ301" s="118"/>
      <c r="CQK301" s="118"/>
      <c r="CQL301" s="118"/>
      <c r="CQM301" s="118"/>
      <c r="CQN301" s="118"/>
      <c r="CQO301" s="118"/>
      <c r="CQP301" s="118"/>
      <c r="CQQ301" s="118"/>
      <c r="CQR301" s="118"/>
      <c r="CQS301" s="118"/>
      <c r="CQT301" s="118"/>
      <c r="CQU301" s="118"/>
      <c r="CQV301" s="118"/>
      <c r="CQW301" s="118"/>
      <c r="CQX301" s="118"/>
      <c r="CQY301" s="118"/>
      <c r="CQZ301" s="118"/>
      <c r="CRA301" s="118"/>
      <c r="CRB301" s="118"/>
      <c r="CRC301" s="118"/>
      <c r="CRD301" s="118"/>
      <c r="CRE301" s="118"/>
      <c r="CRF301" s="118"/>
      <c r="CRG301" s="118"/>
      <c r="CRH301" s="118"/>
      <c r="CRI301" s="118"/>
      <c r="CRJ301" s="118"/>
      <c r="CRK301" s="118"/>
      <c r="CRL301" s="118"/>
      <c r="CRM301" s="118"/>
      <c r="CRN301" s="118"/>
      <c r="CRO301" s="118"/>
      <c r="CRP301" s="118"/>
      <c r="CRQ301" s="118"/>
      <c r="CRR301" s="118"/>
      <c r="CRS301" s="118"/>
      <c r="CRT301" s="118"/>
      <c r="CRU301" s="118"/>
      <c r="CRV301" s="118"/>
      <c r="CRW301" s="118"/>
      <c r="CRX301" s="118"/>
      <c r="CRY301" s="118"/>
      <c r="CRZ301" s="118"/>
      <c r="CSA301" s="118"/>
      <c r="CSB301" s="118"/>
      <c r="CSC301" s="118"/>
      <c r="CSD301" s="118"/>
      <c r="CSE301" s="118"/>
      <c r="CSF301" s="118"/>
      <c r="CSG301" s="118"/>
      <c r="CSH301" s="118"/>
      <c r="CSI301" s="118"/>
      <c r="CSJ301" s="118"/>
      <c r="CSK301" s="118"/>
      <c r="CSL301" s="118"/>
      <c r="CSM301" s="118"/>
      <c r="CSN301" s="118"/>
      <c r="CSO301" s="118"/>
      <c r="CSP301" s="118"/>
      <c r="CSQ301" s="118"/>
      <c r="CSR301" s="118"/>
      <c r="CSS301" s="118"/>
      <c r="CST301" s="118"/>
      <c r="CSU301" s="118"/>
      <c r="CSV301" s="118"/>
      <c r="CSW301" s="118"/>
      <c r="CSX301" s="118"/>
      <c r="CSY301" s="118"/>
      <c r="CSZ301" s="118"/>
      <c r="CTA301" s="118"/>
      <c r="CTB301" s="118"/>
      <c r="CTC301" s="118"/>
      <c r="CTD301" s="118"/>
      <c r="CTE301" s="118"/>
      <c r="CTF301" s="118"/>
      <c r="CTG301" s="118"/>
      <c r="CTH301" s="118"/>
      <c r="CTI301" s="118"/>
      <c r="CTJ301" s="118"/>
      <c r="CTK301" s="118"/>
      <c r="CTL301" s="118"/>
      <c r="CTM301" s="118"/>
      <c r="CTN301" s="118"/>
      <c r="CTO301" s="118"/>
      <c r="CTP301" s="118"/>
      <c r="CTQ301" s="118"/>
      <c r="CTR301" s="118"/>
      <c r="CTS301" s="118"/>
      <c r="CTT301" s="118"/>
      <c r="CTU301" s="118"/>
      <c r="CTV301" s="118"/>
      <c r="CTW301" s="118"/>
      <c r="CTX301" s="118"/>
      <c r="CTY301" s="118"/>
      <c r="CTZ301" s="118"/>
      <c r="CUA301" s="118"/>
      <c r="CUB301" s="118"/>
      <c r="CUC301" s="118"/>
      <c r="CUD301" s="118"/>
      <c r="CUE301" s="118"/>
      <c r="CUF301" s="118"/>
      <c r="CUG301" s="118"/>
      <c r="CUH301" s="118"/>
      <c r="CUI301" s="118"/>
      <c r="CUJ301" s="118"/>
      <c r="CUK301" s="118"/>
      <c r="CUL301" s="118"/>
      <c r="CUM301" s="118"/>
      <c r="CUN301" s="118"/>
      <c r="CUO301" s="118"/>
      <c r="CUP301" s="118"/>
      <c r="CUQ301" s="118"/>
      <c r="CUR301" s="118"/>
      <c r="CUS301" s="118"/>
      <c r="CUT301" s="118"/>
      <c r="CUU301" s="118"/>
      <c r="CUV301" s="118"/>
      <c r="CUW301" s="118"/>
      <c r="CUX301" s="118"/>
      <c r="CUY301" s="118"/>
      <c r="CUZ301" s="118"/>
      <c r="CVA301" s="118"/>
      <c r="CVB301" s="118"/>
      <c r="CVC301" s="118"/>
      <c r="CVD301" s="118"/>
      <c r="CVE301" s="118"/>
      <c r="CVF301" s="118"/>
      <c r="CVG301" s="118"/>
      <c r="CVH301" s="118"/>
      <c r="CVI301" s="118"/>
      <c r="CVJ301" s="118"/>
      <c r="CVK301" s="118"/>
      <c r="CVL301" s="118"/>
      <c r="CVM301" s="118"/>
      <c r="CVN301" s="118"/>
      <c r="CVO301" s="118"/>
      <c r="CVP301" s="118"/>
      <c r="CVQ301" s="118"/>
      <c r="CVR301" s="118"/>
      <c r="CVS301" s="118"/>
      <c r="CVT301" s="118"/>
      <c r="CVU301" s="118"/>
      <c r="CVV301" s="118"/>
      <c r="CVW301" s="118"/>
      <c r="CVX301" s="118"/>
      <c r="CVY301" s="118"/>
      <c r="CVZ301" s="118"/>
      <c r="CWA301" s="118"/>
      <c r="CWB301" s="118"/>
      <c r="CWC301" s="118"/>
      <c r="CWD301" s="118"/>
      <c r="CWE301" s="118"/>
      <c r="CWF301" s="118"/>
      <c r="CWG301" s="118"/>
      <c r="CWH301" s="118"/>
      <c r="CWI301" s="118"/>
      <c r="CWJ301" s="118"/>
      <c r="CWK301" s="118"/>
      <c r="CWL301" s="118"/>
      <c r="CWM301" s="118"/>
      <c r="CWN301" s="118"/>
      <c r="CWO301" s="118"/>
      <c r="CWP301" s="118"/>
      <c r="CWQ301" s="118"/>
      <c r="CWR301" s="118"/>
      <c r="CWS301" s="118"/>
      <c r="CWT301" s="118"/>
      <c r="CWU301" s="118"/>
      <c r="CWV301" s="118"/>
      <c r="CWW301" s="118"/>
      <c r="CWX301" s="118"/>
      <c r="CWY301" s="118"/>
      <c r="CWZ301" s="118"/>
      <c r="CXA301" s="118"/>
      <c r="CXB301" s="118"/>
      <c r="CXC301" s="118"/>
      <c r="CXD301" s="118"/>
      <c r="CXE301" s="118"/>
      <c r="CXF301" s="118"/>
      <c r="CXG301" s="118"/>
      <c r="CXH301" s="118"/>
      <c r="CXI301" s="118"/>
      <c r="CXJ301" s="118"/>
      <c r="CXK301" s="118"/>
      <c r="CXL301" s="118"/>
      <c r="CXM301" s="118"/>
      <c r="CXN301" s="118"/>
      <c r="CXO301" s="118"/>
      <c r="CXP301" s="118"/>
      <c r="CXQ301" s="118"/>
      <c r="CXR301" s="118"/>
      <c r="CXS301" s="118"/>
      <c r="CXT301" s="118"/>
      <c r="CXU301" s="118"/>
      <c r="CXV301" s="118"/>
      <c r="CXW301" s="118"/>
      <c r="CXX301" s="118"/>
      <c r="CXY301" s="118"/>
      <c r="CXZ301" s="118"/>
      <c r="CYA301" s="118"/>
      <c r="CYB301" s="118"/>
      <c r="CYC301" s="118"/>
      <c r="CYD301" s="118"/>
      <c r="CYE301" s="118"/>
      <c r="CYF301" s="118"/>
      <c r="CYG301" s="118"/>
      <c r="CYH301" s="118"/>
      <c r="CYI301" s="118"/>
      <c r="CYJ301" s="118"/>
      <c r="CYK301" s="118"/>
      <c r="CYL301" s="118"/>
      <c r="CYM301" s="118"/>
      <c r="CYN301" s="118"/>
      <c r="CYO301" s="118"/>
      <c r="CYP301" s="118"/>
      <c r="CYQ301" s="118"/>
      <c r="CYR301" s="118"/>
      <c r="CYS301" s="118"/>
      <c r="CYT301" s="118"/>
      <c r="CYU301" s="118"/>
      <c r="CYV301" s="118"/>
      <c r="CYW301" s="118"/>
      <c r="CYX301" s="118"/>
      <c r="CYY301" s="118"/>
      <c r="CYZ301" s="118"/>
      <c r="CZA301" s="118"/>
      <c r="CZB301" s="118"/>
      <c r="CZC301" s="118"/>
      <c r="CZD301" s="118"/>
      <c r="CZE301" s="118"/>
      <c r="CZF301" s="118"/>
      <c r="CZG301" s="118"/>
      <c r="CZH301" s="118"/>
      <c r="CZI301" s="118"/>
      <c r="CZJ301" s="118"/>
      <c r="CZK301" s="118"/>
      <c r="CZL301" s="118"/>
      <c r="CZM301" s="118"/>
      <c r="CZN301" s="118"/>
      <c r="CZO301" s="118"/>
      <c r="CZP301" s="118"/>
      <c r="CZQ301" s="118"/>
      <c r="CZR301" s="118"/>
      <c r="CZS301" s="118"/>
      <c r="CZT301" s="118"/>
      <c r="CZU301" s="118"/>
      <c r="CZV301" s="118"/>
      <c r="CZW301" s="118"/>
      <c r="CZX301" s="118"/>
      <c r="CZY301" s="118"/>
      <c r="CZZ301" s="118"/>
      <c r="DAA301" s="118"/>
      <c r="DAB301" s="118"/>
      <c r="DAC301" s="118"/>
      <c r="DAD301" s="118"/>
      <c r="DAE301" s="118"/>
      <c r="DAF301" s="118"/>
      <c r="DAG301" s="118"/>
      <c r="DAH301" s="118"/>
      <c r="DAI301" s="118"/>
      <c r="DAJ301" s="118"/>
      <c r="DAK301" s="118"/>
      <c r="DAL301" s="118"/>
      <c r="DAM301" s="118"/>
      <c r="DAN301" s="118"/>
      <c r="DAO301" s="118"/>
      <c r="DAP301" s="118"/>
      <c r="DAQ301" s="118"/>
      <c r="DAR301" s="118"/>
      <c r="DAS301" s="118"/>
      <c r="DAT301" s="118"/>
      <c r="DAU301" s="118"/>
      <c r="DAV301" s="118"/>
      <c r="DAW301" s="118"/>
      <c r="DAX301" s="118"/>
      <c r="DAY301" s="118"/>
      <c r="DAZ301" s="118"/>
      <c r="DBA301" s="118"/>
      <c r="DBB301" s="118"/>
      <c r="DBC301" s="118"/>
      <c r="DBD301" s="118"/>
      <c r="DBE301" s="118"/>
      <c r="DBF301" s="118"/>
      <c r="DBG301" s="118"/>
      <c r="DBH301" s="118"/>
      <c r="DBI301" s="118"/>
      <c r="DBJ301" s="118"/>
      <c r="DBK301" s="118"/>
      <c r="DBL301" s="118"/>
      <c r="DBM301" s="118"/>
      <c r="DBN301" s="118"/>
      <c r="DBO301" s="118"/>
      <c r="DBP301" s="118"/>
      <c r="DBQ301" s="118"/>
      <c r="DBR301" s="118"/>
      <c r="DBS301" s="118"/>
      <c r="DBT301" s="118"/>
      <c r="DBU301" s="118"/>
      <c r="DBV301" s="118"/>
      <c r="DBW301" s="118"/>
      <c r="DBX301" s="118"/>
      <c r="DBY301" s="118"/>
      <c r="DBZ301" s="118"/>
      <c r="DCA301" s="118"/>
      <c r="DCB301" s="118"/>
      <c r="DCC301" s="118"/>
      <c r="DCD301" s="118"/>
      <c r="DCE301" s="118"/>
      <c r="DCF301" s="118"/>
      <c r="DCG301" s="118"/>
      <c r="DCH301" s="118"/>
      <c r="DCI301" s="118"/>
      <c r="DCJ301" s="118"/>
      <c r="DCK301" s="118"/>
      <c r="DCL301" s="118"/>
      <c r="DCM301" s="118"/>
      <c r="DCN301" s="118"/>
      <c r="DCO301" s="118"/>
      <c r="DCP301" s="118"/>
      <c r="DCQ301" s="118"/>
      <c r="DCR301" s="118"/>
      <c r="DCS301" s="118"/>
      <c r="DCT301" s="118"/>
      <c r="DCU301" s="118"/>
      <c r="DCV301" s="118"/>
      <c r="DCW301" s="118"/>
      <c r="DCX301" s="118"/>
      <c r="DCY301" s="118"/>
      <c r="DCZ301" s="118"/>
      <c r="DDA301" s="118"/>
      <c r="DDB301" s="118"/>
      <c r="DDC301" s="118"/>
      <c r="DDD301" s="118"/>
      <c r="DDE301" s="118"/>
      <c r="DDF301" s="118"/>
      <c r="DDG301" s="118"/>
      <c r="DDH301" s="118"/>
      <c r="DDI301" s="118"/>
      <c r="DDJ301" s="118"/>
      <c r="DDK301" s="118"/>
      <c r="DDL301" s="118"/>
      <c r="DDM301" s="118"/>
      <c r="DDN301" s="118"/>
      <c r="DDO301" s="118"/>
      <c r="DDP301" s="118"/>
      <c r="DDQ301" s="118"/>
      <c r="DDR301" s="118"/>
      <c r="DDS301" s="118"/>
      <c r="DDT301" s="118"/>
      <c r="DDU301" s="118"/>
      <c r="DDV301" s="118"/>
      <c r="DDW301" s="118"/>
      <c r="DDX301" s="118"/>
      <c r="DDY301" s="118"/>
      <c r="DDZ301" s="118"/>
      <c r="DEA301" s="118"/>
      <c r="DEB301" s="118"/>
      <c r="DEC301" s="118"/>
      <c r="DED301" s="118"/>
      <c r="DEE301" s="118"/>
      <c r="DEF301" s="118"/>
      <c r="DEG301" s="118"/>
      <c r="DEH301" s="118"/>
      <c r="DEI301" s="118"/>
      <c r="DEJ301" s="118"/>
      <c r="DEK301" s="118"/>
      <c r="DEL301" s="118"/>
      <c r="DEM301" s="118"/>
      <c r="DEN301" s="118"/>
      <c r="DEO301" s="118"/>
      <c r="DEP301" s="118"/>
      <c r="DEQ301" s="118"/>
      <c r="DER301" s="118"/>
      <c r="DES301" s="118"/>
      <c r="DET301" s="118"/>
      <c r="DEU301" s="118"/>
      <c r="DEV301" s="118"/>
      <c r="DEW301" s="118"/>
      <c r="DEX301" s="118"/>
      <c r="DEY301" s="118"/>
      <c r="DEZ301" s="118"/>
      <c r="DFA301" s="118"/>
      <c r="DFB301" s="118"/>
      <c r="DFC301" s="118"/>
      <c r="DFD301" s="118"/>
      <c r="DFE301" s="118"/>
      <c r="DFF301" s="118"/>
      <c r="DFG301" s="118"/>
      <c r="DFH301" s="118"/>
      <c r="DFI301" s="118"/>
      <c r="DFJ301" s="118"/>
      <c r="DFK301" s="118"/>
      <c r="DFL301" s="118"/>
      <c r="DFM301" s="118"/>
      <c r="DFN301" s="118"/>
      <c r="DFO301" s="118"/>
      <c r="DFP301" s="118"/>
      <c r="DFQ301" s="118"/>
      <c r="DFR301" s="118"/>
      <c r="DFS301" s="118"/>
      <c r="DFT301" s="118"/>
      <c r="DFU301" s="118"/>
      <c r="DFV301" s="118"/>
      <c r="DFW301" s="118"/>
      <c r="DFX301" s="118"/>
      <c r="DFY301" s="118"/>
      <c r="DFZ301" s="118"/>
      <c r="DGA301" s="118"/>
      <c r="DGB301" s="118"/>
      <c r="DGC301" s="118"/>
      <c r="DGD301" s="118"/>
      <c r="DGE301" s="118"/>
      <c r="DGF301" s="118"/>
      <c r="DGG301" s="118"/>
      <c r="DGH301" s="118"/>
      <c r="DGI301" s="118"/>
      <c r="DGJ301" s="118"/>
      <c r="DGK301" s="118"/>
      <c r="DGL301" s="118"/>
      <c r="DGM301" s="118"/>
      <c r="DGN301" s="118"/>
      <c r="DGO301" s="118"/>
      <c r="DGP301" s="118"/>
      <c r="DGQ301" s="118"/>
      <c r="DGR301" s="118"/>
      <c r="DGS301" s="118"/>
      <c r="DGT301" s="118"/>
      <c r="DGU301" s="118"/>
      <c r="DGV301" s="118"/>
      <c r="DGW301" s="118"/>
      <c r="DGX301" s="118"/>
      <c r="DGY301" s="118"/>
      <c r="DGZ301" s="118"/>
      <c r="DHA301" s="118"/>
      <c r="DHB301" s="118"/>
      <c r="DHC301" s="118"/>
      <c r="DHD301" s="118"/>
      <c r="DHE301" s="118"/>
      <c r="DHF301" s="118"/>
      <c r="DHG301" s="118"/>
      <c r="DHH301" s="118"/>
      <c r="DHI301" s="118"/>
      <c r="DHJ301" s="118"/>
      <c r="DHK301" s="118"/>
      <c r="DHL301" s="118"/>
      <c r="DHM301" s="118"/>
      <c r="DHN301" s="118"/>
      <c r="DHO301" s="118"/>
      <c r="DHP301" s="118"/>
      <c r="DHQ301" s="118"/>
      <c r="DHR301" s="118"/>
      <c r="DHS301" s="118"/>
      <c r="DHT301" s="118"/>
      <c r="DHU301" s="118"/>
      <c r="DHV301" s="118"/>
      <c r="DHW301" s="118"/>
      <c r="DHX301" s="118"/>
      <c r="DHY301" s="118"/>
      <c r="DHZ301" s="118"/>
      <c r="DIA301" s="118"/>
      <c r="DIB301" s="118"/>
      <c r="DIC301" s="118"/>
      <c r="DID301" s="118"/>
      <c r="DIE301" s="118"/>
      <c r="DIF301" s="118"/>
      <c r="DIG301" s="118"/>
      <c r="DIH301" s="118"/>
      <c r="DII301" s="118"/>
      <c r="DIJ301" s="118"/>
      <c r="DIK301" s="118"/>
      <c r="DIL301" s="118"/>
      <c r="DIM301" s="118"/>
      <c r="DIN301" s="118"/>
      <c r="DIO301" s="118"/>
      <c r="DIP301" s="118"/>
      <c r="DIQ301" s="118"/>
      <c r="DIR301" s="118"/>
      <c r="DIS301" s="118"/>
      <c r="DIT301" s="118"/>
      <c r="DIU301" s="118"/>
      <c r="DIV301" s="118"/>
      <c r="DIW301" s="118"/>
      <c r="DIX301" s="118"/>
      <c r="DIY301" s="118"/>
      <c r="DIZ301" s="118"/>
      <c r="DJA301" s="118"/>
      <c r="DJB301" s="118"/>
      <c r="DJC301" s="118"/>
      <c r="DJD301" s="118"/>
      <c r="DJE301" s="118"/>
      <c r="DJF301" s="118"/>
      <c r="DJG301" s="118"/>
      <c r="DJH301" s="118"/>
      <c r="DJI301" s="118"/>
      <c r="DJJ301" s="118"/>
      <c r="DJK301" s="118"/>
      <c r="DJL301" s="118"/>
      <c r="DJM301" s="118"/>
      <c r="DJN301" s="118"/>
      <c r="DJO301" s="118"/>
      <c r="DJP301" s="118"/>
      <c r="DJQ301" s="118"/>
      <c r="DJR301" s="118"/>
      <c r="DJS301" s="118"/>
      <c r="DJT301" s="118"/>
      <c r="DJU301" s="118"/>
      <c r="DJV301" s="118"/>
      <c r="DJW301" s="118"/>
      <c r="DJX301" s="118"/>
      <c r="DJY301" s="118"/>
      <c r="DJZ301" s="118"/>
      <c r="DKA301" s="118"/>
      <c r="DKB301" s="118"/>
      <c r="DKC301" s="118"/>
      <c r="DKD301" s="118"/>
      <c r="DKE301" s="118"/>
      <c r="DKF301" s="118"/>
      <c r="DKG301" s="118"/>
      <c r="DKH301" s="118"/>
      <c r="DKI301" s="118"/>
      <c r="DKJ301" s="118"/>
      <c r="DKK301" s="118"/>
      <c r="DKL301" s="118"/>
      <c r="DKM301" s="118"/>
      <c r="DKN301" s="118"/>
      <c r="DKO301" s="118"/>
      <c r="DKP301" s="118"/>
      <c r="DKQ301" s="118"/>
      <c r="DKR301" s="118"/>
      <c r="DKS301" s="118"/>
      <c r="DKT301" s="118"/>
      <c r="DKU301" s="118"/>
      <c r="DKV301" s="118"/>
      <c r="DKW301" s="118"/>
      <c r="DKX301" s="118"/>
      <c r="DKY301" s="118"/>
      <c r="DKZ301" s="118"/>
      <c r="DLA301" s="118"/>
      <c r="DLB301" s="118"/>
      <c r="DLC301" s="118"/>
      <c r="DLD301" s="118"/>
      <c r="DLE301" s="118"/>
      <c r="DLF301" s="118"/>
      <c r="DLG301" s="118"/>
      <c r="DLH301" s="118"/>
      <c r="DLI301" s="118"/>
      <c r="DLJ301" s="118"/>
      <c r="DLK301" s="118"/>
      <c r="DLL301" s="118"/>
      <c r="DLM301" s="118"/>
      <c r="DLN301" s="118"/>
      <c r="DLO301" s="118"/>
      <c r="DLP301" s="118"/>
      <c r="DLQ301" s="118"/>
      <c r="DLR301" s="118"/>
      <c r="DLS301" s="118"/>
      <c r="DLT301" s="118"/>
      <c r="DLU301" s="118"/>
      <c r="DLV301" s="118"/>
      <c r="DLW301" s="118"/>
      <c r="DLX301" s="118"/>
      <c r="DLY301" s="118"/>
      <c r="DLZ301" s="118"/>
      <c r="DMA301" s="118"/>
      <c r="DMB301" s="118"/>
      <c r="DMC301" s="118"/>
      <c r="DMD301" s="118"/>
      <c r="DME301" s="118"/>
      <c r="DMF301" s="118"/>
      <c r="DMG301" s="118"/>
      <c r="DMH301" s="118"/>
      <c r="DMI301" s="118"/>
      <c r="DMJ301" s="118"/>
      <c r="DMK301" s="118"/>
      <c r="DML301" s="118"/>
      <c r="DMM301" s="118"/>
      <c r="DMN301" s="118"/>
      <c r="DMO301" s="118"/>
      <c r="DMP301" s="118"/>
      <c r="DMQ301" s="118"/>
      <c r="DMR301" s="118"/>
      <c r="DMS301" s="118"/>
      <c r="DMT301" s="118"/>
      <c r="DMU301" s="118"/>
      <c r="DMV301" s="118"/>
      <c r="DMW301" s="118"/>
      <c r="DMX301" s="118"/>
      <c r="DMY301" s="118"/>
      <c r="DMZ301" s="118"/>
      <c r="DNA301" s="118"/>
      <c r="DNB301" s="118"/>
      <c r="DNC301" s="118"/>
      <c r="DND301" s="118"/>
      <c r="DNE301" s="118"/>
      <c r="DNF301" s="118"/>
      <c r="DNG301" s="118"/>
      <c r="DNH301" s="118"/>
      <c r="DNI301" s="118"/>
      <c r="DNJ301" s="118"/>
      <c r="DNK301" s="118"/>
      <c r="DNL301" s="118"/>
      <c r="DNM301" s="118"/>
      <c r="DNN301" s="118"/>
      <c r="DNO301" s="118"/>
      <c r="DNP301" s="118"/>
      <c r="DNQ301" s="118"/>
      <c r="DNR301" s="118"/>
      <c r="DNS301" s="118"/>
      <c r="DNT301" s="118"/>
      <c r="DNU301" s="118"/>
      <c r="DNV301" s="118"/>
      <c r="DNW301" s="118"/>
      <c r="DNX301" s="118"/>
      <c r="DNY301" s="118"/>
      <c r="DNZ301" s="118"/>
      <c r="DOA301" s="118"/>
      <c r="DOB301" s="118"/>
      <c r="DOC301" s="118"/>
      <c r="DOD301" s="118"/>
      <c r="DOE301" s="118"/>
      <c r="DOF301" s="118"/>
      <c r="DOG301" s="118"/>
      <c r="DOH301" s="118"/>
      <c r="DOI301" s="118"/>
      <c r="DOJ301" s="118"/>
      <c r="DOK301" s="118"/>
      <c r="DOL301" s="118"/>
      <c r="DOM301" s="118"/>
      <c r="DON301" s="118"/>
      <c r="DOO301" s="118"/>
      <c r="DOP301" s="118"/>
      <c r="DOQ301" s="118"/>
      <c r="DOR301" s="118"/>
      <c r="DOS301" s="118"/>
      <c r="DOT301" s="118"/>
      <c r="DOU301" s="118"/>
      <c r="DOV301" s="118"/>
      <c r="DOW301" s="118"/>
      <c r="DOX301" s="118"/>
      <c r="DOY301" s="118"/>
      <c r="DOZ301" s="118"/>
      <c r="DPA301" s="118"/>
      <c r="DPB301" s="118"/>
      <c r="DPC301" s="118"/>
      <c r="DPD301" s="118"/>
      <c r="DPE301" s="118"/>
      <c r="DPF301" s="118"/>
      <c r="DPG301" s="118"/>
      <c r="DPH301" s="118"/>
      <c r="DPI301" s="118"/>
      <c r="DPJ301" s="118"/>
      <c r="DPK301" s="118"/>
      <c r="DPL301" s="118"/>
      <c r="DPM301" s="118"/>
      <c r="DPN301" s="118"/>
      <c r="DPO301" s="118"/>
      <c r="DPP301" s="118"/>
      <c r="DPQ301" s="118"/>
      <c r="DPR301" s="118"/>
      <c r="DPS301" s="118"/>
      <c r="DPT301" s="118"/>
      <c r="DPU301" s="118"/>
      <c r="DPV301" s="118"/>
      <c r="DPW301" s="118"/>
      <c r="DPX301" s="118"/>
      <c r="DPY301" s="118"/>
      <c r="DPZ301" s="118"/>
      <c r="DQA301" s="118"/>
      <c r="DQB301" s="118"/>
      <c r="DQC301" s="118"/>
      <c r="DQD301" s="118"/>
      <c r="DQE301" s="118"/>
      <c r="DQF301" s="118"/>
      <c r="DQG301" s="118"/>
      <c r="DQH301" s="118"/>
      <c r="DQI301" s="118"/>
      <c r="DQJ301" s="118"/>
      <c r="DQK301" s="118"/>
      <c r="DQL301" s="118"/>
      <c r="DQM301" s="118"/>
      <c r="DQN301" s="118"/>
      <c r="DQO301" s="118"/>
      <c r="DQP301" s="118"/>
      <c r="DQQ301" s="118"/>
      <c r="DQR301" s="118"/>
      <c r="DQS301" s="118"/>
      <c r="DQT301" s="118"/>
      <c r="DQU301" s="118"/>
      <c r="DQV301" s="118"/>
      <c r="DQW301" s="118"/>
      <c r="DQX301" s="118"/>
      <c r="DQY301" s="118"/>
      <c r="DQZ301" s="118"/>
      <c r="DRA301" s="118"/>
      <c r="DRB301" s="118"/>
      <c r="DRC301" s="118"/>
      <c r="DRD301" s="118"/>
      <c r="DRE301" s="118"/>
      <c r="DRF301" s="118"/>
      <c r="DRG301" s="118"/>
      <c r="DRH301" s="118"/>
      <c r="DRI301" s="118"/>
      <c r="DRJ301" s="118"/>
      <c r="DRK301" s="118"/>
      <c r="DRL301" s="118"/>
      <c r="DRM301" s="118"/>
      <c r="DRN301" s="118"/>
      <c r="DRO301" s="118"/>
      <c r="DRP301" s="118"/>
      <c r="DRQ301" s="118"/>
      <c r="DRR301" s="118"/>
      <c r="DRS301" s="118"/>
      <c r="DRT301" s="118"/>
      <c r="DRU301" s="118"/>
      <c r="DRV301" s="118"/>
      <c r="DRW301" s="118"/>
      <c r="DRX301" s="118"/>
      <c r="DRY301" s="118"/>
      <c r="DRZ301" s="118"/>
      <c r="DSA301" s="118"/>
      <c r="DSB301" s="118"/>
      <c r="DSC301" s="118"/>
      <c r="DSD301" s="118"/>
      <c r="DSE301" s="118"/>
      <c r="DSF301" s="118"/>
      <c r="DSG301" s="118"/>
      <c r="DSH301" s="118"/>
      <c r="DSI301" s="118"/>
      <c r="DSJ301" s="118"/>
      <c r="DSK301" s="118"/>
      <c r="DSL301" s="118"/>
      <c r="DSM301" s="118"/>
      <c r="DSN301" s="118"/>
      <c r="DSO301" s="118"/>
      <c r="DSP301" s="118"/>
      <c r="DSQ301" s="118"/>
      <c r="DSR301" s="118"/>
      <c r="DSS301" s="118"/>
      <c r="DST301" s="118"/>
      <c r="DSU301" s="118"/>
      <c r="DSV301" s="118"/>
      <c r="DSW301" s="118"/>
      <c r="DSX301" s="118"/>
      <c r="DSY301" s="118"/>
      <c r="DSZ301" s="118"/>
      <c r="DTA301" s="118"/>
      <c r="DTB301" s="118"/>
      <c r="DTC301" s="118"/>
      <c r="DTD301" s="118"/>
      <c r="DTE301" s="118"/>
      <c r="DTF301" s="118"/>
      <c r="DTG301" s="118"/>
      <c r="DTH301" s="118"/>
      <c r="DTI301" s="118"/>
      <c r="DTJ301" s="118"/>
      <c r="DTK301" s="118"/>
      <c r="DTL301" s="118"/>
      <c r="DTM301" s="118"/>
      <c r="DTN301" s="118"/>
      <c r="DTO301" s="118"/>
      <c r="DTP301" s="118"/>
      <c r="DTQ301" s="118"/>
      <c r="DTR301" s="118"/>
      <c r="DTS301" s="118"/>
      <c r="DTT301" s="118"/>
      <c r="DTU301" s="118"/>
      <c r="DTV301" s="118"/>
      <c r="DTW301" s="118"/>
      <c r="DTX301" s="118"/>
      <c r="DTY301" s="118"/>
      <c r="DTZ301" s="118"/>
      <c r="DUA301" s="118"/>
      <c r="DUB301" s="118"/>
      <c r="DUC301" s="118"/>
      <c r="DUD301" s="118"/>
      <c r="DUE301" s="118"/>
      <c r="DUF301" s="118"/>
      <c r="DUG301" s="118"/>
      <c r="DUH301" s="118"/>
      <c r="DUI301" s="118"/>
      <c r="DUJ301" s="118"/>
      <c r="DUK301" s="118"/>
      <c r="DUL301" s="118"/>
      <c r="DUM301" s="118"/>
      <c r="DUN301" s="118"/>
      <c r="DUO301" s="118"/>
      <c r="DUP301" s="118"/>
      <c r="DUQ301" s="118"/>
      <c r="DUR301" s="118"/>
      <c r="DUS301" s="118"/>
      <c r="DUT301" s="118"/>
      <c r="DUU301" s="118"/>
      <c r="DUV301" s="118"/>
      <c r="DUW301" s="118"/>
      <c r="DUX301" s="118"/>
      <c r="DUY301" s="118"/>
      <c r="DUZ301" s="118"/>
      <c r="DVA301" s="118"/>
      <c r="DVB301" s="118"/>
      <c r="DVC301" s="118"/>
      <c r="DVD301" s="118"/>
      <c r="DVE301" s="118"/>
      <c r="DVF301" s="118"/>
      <c r="DVG301" s="118"/>
      <c r="DVH301" s="118"/>
      <c r="DVI301" s="118"/>
      <c r="DVJ301" s="118"/>
      <c r="DVK301" s="118"/>
      <c r="DVL301" s="118"/>
      <c r="DVM301" s="118"/>
      <c r="DVN301" s="118"/>
      <c r="DVO301" s="118"/>
      <c r="DVP301" s="118"/>
      <c r="DVQ301" s="118"/>
      <c r="DVR301" s="118"/>
      <c r="DVS301" s="118"/>
      <c r="DVT301" s="118"/>
      <c r="DVU301" s="118"/>
      <c r="DVV301" s="118"/>
      <c r="DVW301" s="118"/>
      <c r="DVX301" s="118"/>
      <c r="DVY301" s="118"/>
      <c r="DVZ301" s="118"/>
      <c r="DWA301" s="118"/>
      <c r="DWB301" s="118"/>
      <c r="DWC301" s="118"/>
      <c r="DWD301" s="118"/>
      <c r="DWE301" s="118"/>
      <c r="DWF301" s="118"/>
      <c r="DWG301" s="118"/>
      <c r="DWH301" s="118"/>
      <c r="DWI301" s="118"/>
      <c r="DWJ301" s="118"/>
      <c r="DWK301" s="118"/>
      <c r="DWL301" s="118"/>
      <c r="DWM301" s="118"/>
      <c r="DWN301" s="118"/>
      <c r="DWO301" s="118"/>
      <c r="DWP301" s="118"/>
      <c r="DWQ301" s="118"/>
      <c r="DWR301" s="118"/>
      <c r="DWS301" s="118"/>
      <c r="DWT301" s="118"/>
      <c r="DWU301" s="118"/>
      <c r="DWV301" s="118"/>
      <c r="DWW301" s="118"/>
      <c r="DWX301" s="118"/>
      <c r="DWY301" s="118"/>
      <c r="DWZ301" s="118"/>
      <c r="DXA301" s="118"/>
      <c r="DXB301" s="118"/>
      <c r="DXC301" s="118"/>
      <c r="DXD301" s="118"/>
      <c r="DXE301" s="118"/>
      <c r="DXF301" s="118"/>
      <c r="DXG301" s="118"/>
      <c r="DXH301" s="118"/>
      <c r="DXI301" s="118"/>
      <c r="DXJ301" s="118"/>
      <c r="DXK301" s="118"/>
      <c r="DXL301" s="118"/>
      <c r="DXM301" s="118"/>
      <c r="DXN301" s="118"/>
      <c r="DXO301" s="118"/>
      <c r="DXP301" s="118"/>
      <c r="DXQ301" s="118"/>
      <c r="DXR301" s="118"/>
      <c r="DXS301" s="118"/>
      <c r="DXT301" s="118"/>
      <c r="DXU301" s="118"/>
      <c r="DXV301" s="118"/>
      <c r="DXW301" s="118"/>
      <c r="DXX301" s="118"/>
      <c r="DXY301" s="118"/>
      <c r="DXZ301" s="118"/>
      <c r="DYA301" s="118"/>
      <c r="DYB301" s="118"/>
      <c r="DYC301" s="118"/>
      <c r="DYD301" s="118"/>
      <c r="DYE301" s="118"/>
      <c r="DYF301" s="118"/>
      <c r="DYG301" s="118"/>
      <c r="DYH301" s="118"/>
      <c r="DYI301" s="118"/>
      <c r="DYJ301" s="118"/>
      <c r="DYK301" s="118"/>
      <c r="DYL301" s="118"/>
      <c r="DYM301" s="118"/>
      <c r="DYN301" s="118"/>
      <c r="DYO301" s="118"/>
      <c r="DYP301" s="118"/>
      <c r="DYQ301" s="118"/>
      <c r="DYR301" s="118"/>
      <c r="DYS301" s="118"/>
      <c r="DYT301" s="118"/>
      <c r="DYU301" s="118"/>
      <c r="DYV301" s="118"/>
      <c r="DYW301" s="118"/>
      <c r="DYX301" s="118"/>
      <c r="DYY301" s="118"/>
      <c r="DYZ301" s="118"/>
      <c r="DZA301" s="118"/>
      <c r="DZB301" s="118"/>
      <c r="DZC301" s="118"/>
      <c r="DZD301" s="118"/>
      <c r="DZE301" s="118"/>
      <c r="DZF301" s="118"/>
      <c r="DZG301" s="118"/>
      <c r="DZH301" s="118"/>
      <c r="DZI301" s="118"/>
      <c r="DZJ301" s="118"/>
      <c r="DZK301" s="118"/>
      <c r="DZL301" s="118"/>
      <c r="DZM301" s="118"/>
      <c r="DZN301" s="118"/>
      <c r="DZO301" s="118"/>
      <c r="DZP301" s="118"/>
      <c r="DZQ301" s="118"/>
      <c r="DZR301" s="118"/>
      <c r="DZS301" s="118"/>
      <c r="DZT301" s="118"/>
      <c r="DZU301" s="118"/>
      <c r="DZV301" s="118"/>
      <c r="DZW301" s="118"/>
      <c r="DZX301" s="118"/>
      <c r="DZY301" s="118"/>
      <c r="DZZ301" s="118"/>
      <c r="EAA301" s="118"/>
      <c r="EAB301" s="118"/>
      <c r="EAC301" s="118"/>
      <c r="EAD301" s="118"/>
      <c r="EAE301" s="118"/>
      <c r="EAF301" s="118"/>
      <c r="EAG301" s="118"/>
      <c r="EAH301" s="118"/>
      <c r="EAI301" s="118"/>
      <c r="EAJ301" s="118"/>
      <c r="EAK301" s="118"/>
      <c r="EAL301" s="118"/>
      <c r="EAM301" s="118"/>
      <c r="EAN301" s="118"/>
      <c r="EAO301" s="118"/>
      <c r="EAP301" s="118"/>
      <c r="EAQ301" s="118"/>
      <c r="EAR301" s="118"/>
      <c r="EAS301" s="118"/>
      <c r="EAT301" s="118"/>
      <c r="EAU301" s="118"/>
      <c r="EAV301" s="118"/>
      <c r="EAW301" s="118"/>
      <c r="EAX301" s="118"/>
      <c r="EAY301" s="118"/>
      <c r="EAZ301" s="118"/>
      <c r="EBA301" s="118"/>
      <c r="EBB301" s="118"/>
      <c r="EBC301" s="118"/>
      <c r="EBD301" s="118"/>
      <c r="EBE301" s="118"/>
      <c r="EBF301" s="118"/>
      <c r="EBG301" s="118"/>
      <c r="EBH301" s="118"/>
      <c r="EBI301" s="118"/>
      <c r="EBJ301" s="118"/>
      <c r="EBK301" s="118"/>
      <c r="EBL301" s="118"/>
      <c r="EBM301" s="118"/>
      <c r="EBN301" s="118"/>
      <c r="EBO301" s="118"/>
      <c r="EBP301" s="118"/>
      <c r="EBQ301" s="118"/>
      <c r="EBR301" s="118"/>
      <c r="EBS301" s="118"/>
      <c r="EBT301" s="118"/>
      <c r="EBU301" s="118"/>
      <c r="EBV301" s="118"/>
      <c r="EBW301" s="118"/>
      <c r="EBX301" s="118"/>
      <c r="EBY301" s="118"/>
      <c r="EBZ301" s="118"/>
      <c r="ECA301" s="118"/>
      <c r="ECB301" s="118"/>
      <c r="ECC301" s="118"/>
      <c r="ECD301" s="118"/>
      <c r="ECE301" s="118"/>
      <c r="ECF301" s="118"/>
      <c r="ECG301" s="118"/>
      <c r="ECH301" s="118"/>
      <c r="ECI301" s="118"/>
      <c r="ECJ301" s="118"/>
      <c r="ECK301" s="118"/>
      <c r="ECL301" s="118"/>
      <c r="ECM301" s="118"/>
      <c r="ECN301" s="118"/>
      <c r="ECO301" s="118"/>
      <c r="ECP301" s="118"/>
      <c r="ECQ301" s="118"/>
      <c r="ECR301" s="118"/>
      <c r="ECS301" s="118"/>
      <c r="ECT301" s="118"/>
      <c r="ECU301" s="118"/>
      <c r="ECV301" s="118"/>
      <c r="ECW301" s="118"/>
      <c r="ECX301" s="118"/>
      <c r="ECY301" s="118"/>
      <c r="ECZ301" s="118"/>
      <c r="EDA301" s="118"/>
      <c r="EDB301" s="118"/>
      <c r="EDC301" s="118"/>
      <c r="EDD301" s="118"/>
      <c r="EDE301" s="118"/>
      <c r="EDF301" s="118"/>
      <c r="EDG301" s="118"/>
      <c r="EDH301" s="118"/>
      <c r="EDI301" s="118"/>
      <c r="EDJ301" s="118"/>
      <c r="EDK301" s="118"/>
      <c r="EDL301" s="118"/>
      <c r="EDM301" s="118"/>
      <c r="EDN301" s="118"/>
      <c r="EDO301" s="118"/>
      <c r="EDP301" s="118"/>
      <c r="EDQ301" s="118"/>
      <c r="EDR301" s="118"/>
      <c r="EDS301" s="118"/>
      <c r="EDT301" s="118"/>
      <c r="EDU301" s="118"/>
      <c r="EDV301" s="118"/>
      <c r="EDW301" s="118"/>
      <c r="EDX301" s="118"/>
      <c r="EDY301" s="118"/>
      <c r="EDZ301" s="118"/>
      <c r="EEA301" s="118"/>
      <c r="EEB301" s="118"/>
      <c r="EEC301" s="118"/>
      <c r="EED301" s="118"/>
      <c r="EEE301" s="118"/>
      <c r="EEF301" s="118"/>
      <c r="EEG301" s="118"/>
      <c r="EEH301" s="118"/>
      <c r="EEI301" s="118"/>
      <c r="EEJ301" s="118"/>
      <c r="EEK301" s="118"/>
      <c r="EEL301" s="118"/>
      <c r="EEM301" s="118"/>
      <c r="EEN301" s="118"/>
      <c r="EEO301" s="118"/>
      <c r="EEP301" s="118"/>
      <c r="EEQ301" s="118"/>
      <c r="EER301" s="118"/>
      <c r="EES301" s="118"/>
      <c r="EET301" s="118"/>
      <c r="EEU301" s="118"/>
      <c r="EEV301" s="118"/>
      <c r="EEW301" s="118"/>
      <c r="EEX301" s="118"/>
      <c r="EEY301" s="118"/>
      <c r="EEZ301" s="118"/>
      <c r="EFA301" s="118"/>
      <c r="EFB301" s="118"/>
      <c r="EFC301" s="118"/>
      <c r="EFD301" s="118"/>
      <c r="EFE301" s="118"/>
      <c r="EFF301" s="118"/>
      <c r="EFG301" s="118"/>
      <c r="EFH301" s="118"/>
      <c r="EFI301" s="118"/>
      <c r="EFJ301" s="118"/>
      <c r="EFK301" s="118"/>
      <c r="EFL301" s="118"/>
      <c r="EFM301" s="118"/>
      <c r="EFN301" s="118"/>
      <c r="EFO301" s="118"/>
      <c r="EFP301" s="118"/>
      <c r="EFQ301" s="118"/>
      <c r="EFR301" s="118"/>
      <c r="EFS301" s="118"/>
      <c r="EFT301" s="118"/>
      <c r="EFU301" s="118"/>
      <c r="EFV301" s="118"/>
      <c r="EFW301" s="118"/>
      <c r="EFX301" s="118"/>
      <c r="EFY301" s="118"/>
      <c r="EFZ301" s="118"/>
      <c r="EGA301" s="118"/>
      <c r="EGB301" s="118"/>
      <c r="EGC301" s="118"/>
      <c r="EGD301" s="118"/>
      <c r="EGE301" s="118"/>
      <c r="EGF301" s="118"/>
      <c r="EGG301" s="118"/>
      <c r="EGH301" s="118"/>
      <c r="EGI301" s="118"/>
      <c r="EGJ301" s="118"/>
      <c r="EGK301" s="118"/>
      <c r="EGL301" s="118"/>
      <c r="EGM301" s="118"/>
      <c r="EGN301" s="118"/>
      <c r="EGO301" s="118"/>
      <c r="EGP301" s="118"/>
      <c r="EGQ301" s="118"/>
      <c r="EGR301" s="118"/>
      <c r="EGS301" s="118"/>
      <c r="EGT301" s="118"/>
      <c r="EGU301" s="118"/>
      <c r="EGV301" s="118"/>
      <c r="EGW301" s="118"/>
      <c r="EGX301" s="118"/>
      <c r="EGY301" s="118"/>
      <c r="EGZ301" s="118"/>
      <c r="EHA301" s="118"/>
      <c r="EHB301" s="118"/>
      <c r="EHC301" s="118"/>
      <c r="EHD301" s="118"/>
      <c r="EHE301" s="118"/>
      <c r="EHF301" s="118"/>
      <c r="EHG301" s="118"/>
      <c r="EHH301" s="118"/>
      <c r="EHI301" s="118"/>
      <c r="EHJ301" s="118"/>
      <c r="EHK301" s="118"/>
      <c r="EHL301" s="118"/>
      <c r="EHM301" s="118"/>
      <c r="EHN301" s="118"/>
      <c r="EHO301" s="118"/>
      <c r="EHP301" s="118"/>
      <c r="EHQ301" s="118"/>
      <c r="EHR301" s="118"/>
      <c r="EHS301" s="118"/>
      <c r="EHT301" s="118"/>
      <c r="EHU301" s="118"/>
      <c r="EHV301" s="118"/>
      <c r="EHW301" s="118"/>
      <c r="EHX301" s="118"/>
      <c r="EHY301" s="118"/>
      <c r="EHZ301" s="118"/>
      <c r="EIA301" s="118"/>
      <c r="EIB301" s="118"/>
      <c r="EIC301" s="118"/>
      <c r="EID301" s="118"/>
      <c r="EIE301" s="118"/>
      <c r="EIF301" s="118"/>
      <c r="EIG301" s="118"/>
      <c r="EIH301" s="118"/>
      <c r="EII301" s="118"/>
      <c r="EIJ301" s="118"/>
      <c r="EIK301" s="118"/>
      <c r="EIL301" s="118"/>
      <c r="EIM301" s="118"/>
      <c r="EIN301" s="118"/>
      <c r="EIO301" s="118"/>
      <c r="EIP301" s="118"/>
      <c r="EIQ301" s="118"/>
      <c r="EIR301" s="118"/>
      <c r="EIS301" s="118"/>
      <c r="EIT301" s="118"/>
      <c r="EIU301" s="118"/>
      <c r="EIV301" s="118"/>
      <c r="EIW301" s="118"/>
      <c r="EIX301" s="118"/>
      <c r="EIY301" s="118"/>
      <c r="EIZ301" s="118"/>
      <c r="EJA301" s="118"/>
      <c r="EJB301" s="118"/>
      <c r="EJC301" s="118"/>
      <c r="EJD301" s="118"/>
      <c r="EJE301" s="118"/>
      <c r="EJF301" s="118"/>
      <c r="EJG301" s="118"/>
      <c r="EJH301" s="118"/>
      <c r="EJI301" s="118"/>
      <c r="EJJ301" s="118"/>
      <c r="EJK301" s="118"/>
      <c r="EJL301" s="118"/>
      <c r="EJM301" s="118"/>
      <c r="EJN301" s="118"/>
      <c r="EJO301" s="118"/>
      <c r="EJP301" s="118"/>
      <c r="EJQ301" s="118"/>
      <c r="EJR301" s="118"/>
      <c r="EJS301" s="118"/>
      <c r="EJT301" s="118"/>
      <c r="EJU301" s="118"/>
      <c r="EJV301" s="118"/>
      <c r="EJW301" s="118"/>
      <c r="EJX301" s="118"/>
      <c r="EJY301" s="118"/>
      <c r="EJZ301" s="118"/>
      <c r="EKA301" s="118"/>
      <c r="EKB301" s="118"/>
      <c r="EKC301" s="118"/>
      <c r="EKD301" s="118"/>
      <c r="EKE301" s="118"/>
      <c r="EKF301" s="118"/>
      <c r="EKG301" s="118"/>
      <c r="EKH301" s="118"/>
      <c r="EKI301" s="118"/>
      <c r="EKJ301" s="118"/>
      <c r="EKK301" s="118"/>
      <c r="EKL301" s="118"/>
      <c r="EKM301" s="118"/>
      <c r="EKN301" s="118"/>
      <c r="EKO301" s="118"/>
      <c r="EKP301" s="118"/>
      <c r="EKQ301" s="118"/>
      <c r="EKR301" s="118"/>
      <c r="EKS301" s="118"/>
      <c r="EKT301" s="118"/>
      <c r="EKU301" s="118"/>
      <c r="EKV301" s="118"/>
      <c r="EKW301" s="118"/>
      <c r="EKX301" s="118"/>
      <c r="EKY301" s="118"/>
      <c r="EKZ301" s="118"/>
      <c r="ELA301" s="118"/>
      <c r="ELB301" s="118"/>
      <c r="ELC301" s="118"/>
      <c r="ELD301" s="118"/>
      <c r="ELE301" s="118"/>
      <c r="ELF301" s="118"/>
      <c r="ELG301" s="118"/>
      <c r="ELH301" s="118"/>
      <c r="ELI301" s="118"/>
      <c r="ELJ301" s="118"/>
      <c r="ELK301" s="118"/>
      <c r="ELL301" s="118"/>
      <c r="ELM301" s="118"/>
      <c r="ELN301" s="118"/>
      <c r="ELO301" s="118"/>
      <c r="ELP301" s="118"/>
      <c r="ELQ301" s="118"/>
      <c r="ELR301" s="118"/>
      <c r="ELS301" s="118"/>
      <c r="ELT301" s="118"/>
      <c r="ELU301" s="118"/>
      <c r="ELV301" s="118"/>
      <c r="ELW301" s="118"/>
      <c r="ELX301" s="118"/>
      <c r="ELY301" s="118"/>
      <c r="ELZ301" s="118"/>
      <c r="EMA301" s="118"/>
      <c r="EMB301" s="118"/>
      <c r="EMC301" s="118"/>
      <c r="EMD301" s="118"/>
      <c r="EME301" s="118"/>
      <c r="EMF301" s="118"/>
      <c r="EMG301" s="118"/>
      <c r="EMH301" s="118"/>
      <c r="EMI301" s="118"/>
      <c r="EMJ301" s="118"/>
      <c r="EMK301" s="118"/>
      <c r="EML301" s="118"/>
      <c r="EMM301" s="118"/>
      <c r="EMN301" s="118"/>
      <c r="EMO301" s="118"/>
      <c r="EMP301" s="118"/>
      <c r="EMQ301" s="118"/>
      <c r="EMR301" s="118"/>
      <c r="EMS301" s="118"/>
      <c r="EMT301" s="118"/>
      <c r="EMU301" s="118"/>
      <c r="EMV301" s="118"/>
      <c r="EMW301" s="118"/>
      <c r="EMX301" s="118"/>
      <c r="EMY301" s="118"/>
      <c r="EMZ301" s="118"/>
      <c r="ENA301" s="118"/>
      <c r="ENB301" s="118"/>
      <c r="ENC301" s="118"/>
      <c r="END301" s="118"/>
      <c r="ENE301" s="118"/>
      <c r="ENF301" s="118"/>
      <c r="ENG301" s="118"/>
      <c r="ENH301" s="118"/>
      <c r="ENI301" s="118"/>
      <c r="ENJ301" s="118"/>
      <c r="ENK301" s="118"/>
      <c r="ENL301" s="118"/>
      <c r="ENM301" s="118"/>
      <c r="ENN301" s="118"/>
      <c r="ENO301" s="118"/>
      <c r="ENP301" s="118"/>
      <c r="ENQ301" s="118"/>
      <c r="ENR301" s="118"/>
      <c r="ENS301" s="118"/>
      <c r="ENT301" s="118"/>
      <c r="ENU301" s="118"/>
      <c r="ENV301" s="118"/>
      <c r="ENW301" s="118"/>
      <c r="ENX301" s="118"/>
      <c r="ENY301" s="118"/>
      <c r="ENZ301" s="118"/>
      <c r="EOA301" s="118"/>
      <c r="EOB301" s="118"/>
      <c r="EOC301" s="118"/>
      <c r="EOD301" s="118"/>
      <c r="EOE301" s="118"/>
      <c r="EOF301" s="118"/>
      <c r="EOG301" s="118"/>
      <c r="EOH301" s="118"/>
      <c r="EOI301" s="118"/>
      <c r="EOJ301" s="118"/>
      <c r="EOK301" s="118"/>
      <c r="EOL301" s="118"/>
      <c r="EOM301" s="118"/>
      <c r="EON301" s="118"/>
      <c r="EOO301" s="118"/>
      <c r="EOP301" s="118"/>
      <c r="EOQ301" s="118"/>
      <c r="EOR301" s="118"/>
      <c r="EOS301" s="118"/>
      <c r="EOT301" s="118"/>
      <c r="EOU301" s="118"/>
      <c r="EOV301" s="118"/>
      <c r="EOW301" s="118"/>
      <c r="EOX301" s="118"/>
      <c r="EOY301" s="118"/>
      <c r="EOZ301" s="118"/>
      <c r="EPA301" s="118"/>
      <c r="EPB301" s="118"/>
      <c r="EPC301" s="118"/>
      <c r="EPD301" s="118"/>
      <c r="EPE301" s="118"/>
      <c r="EPF301" s="118"/>
      <c r="EPG301" s="118"/>
      <c r="EPH301" s="118"/>
      <c r="EPI301" s="118"/>
      <c r="EPJ301" s="118"/>
      <c r="EPK301" s="118"/>
      <c r="EPL301" s="118"/>
      <c r="EPM301" s="118"/>
      <c r="EPN301" s="118"/>
      <c r="EPO301" s="118"/>
      <c r="EPP301" s="118"/>
      <c r="EPQ301" s="118"/>
      <c r="EPR301" s="118"/>
      <c r="EPS301" s="118"/>
      <c r="EPT301" s="118"/>
      <c r="EPU301" s="118"/>
      <c r="EPV301" s="118"/>
      <c r="EPW301" s="118"/>
      <c r="EPX301" s="118"/>
      <c r="EPY301" s="118"/>
      <c r="EPZ301" s="118"/>
      <c r="EQA301" s="118"/>
      <c r="EQB301" s="118"/>
      <c r="EQC301" s="118"/>
      <c r="EQD301" s="118"/>
      <c r="EQE301" s="118"/>
      <c r="EQF301" s="118"/>
      <c r="EQG301" s="118"/>
      <c r="EQH301" s="118"/>
      <c r="EQI301" s="118"/>
      <c r="EQJ301" s="118"/>
      <c r="EQK301" s="118"/>
      <c r="EQL301" s="118"/>
      <c r="EQM301" s="118"/>
      <c r="EQN301" s="118"/>
      <c r="EQO301" s="118"/>
      <c r="EQP301" s="118"/>
      <c r="EQQ301" s="118"/>
      <c r="EQR301" s="118"/>
      <c r="EQS301" s="118"/>
      <c r="EQT301" s="118"/>
      <c r="EQU301" s="118"/>
      <c r="EQV301" s="118"/>
      <c r="EQW301" s="118"/>
      <c r="EQX301" s="118"/>
      <c r="EQY301" s="118"/>
      <c r="EQZ301" s="118"/>
      <c r="ERA301" s="118"/>
      <c r="ERB301" s="118"/>
      <c r="ERC301" s="118"/>
      <c r="ERD301" s="118"/>
      <c r="ERE301" s="118"/>
      <c r="ERF301" s="118"/>
      <c r="ERG301" s="118"/>
      <c r="ERH301" s="118"/>
      <c r="ERI301" s="118"/>
      <c r="ERJ301" s="118"/>
      <c r="ERK301" s="118"/>
      <c r="ERL301" s="118"/>
      <c r="ERM301" s="118"/>
      <c r="ERN301" s="118"/>
      <c r="ERO301" s="118"/>
      <c r="ERP301" s="118"/>
      <c r="ERQ301" s="118"/>
      <c r="ERR301" s="118"/>
      <c r="ERS301" s="118"/>
      <c r="ERT301" s="118"/>
      <c r="ERU301" s="118"/>
      <c r="ERV301" s="118"/>
      <c r="ERW301" s="118"/>
      <c r="ERX301" s="118"/>
      <c r="ERY301" s="118"/>
      <c r="ERZ301" s="118"/>
      <c r="ESA301" s="118"/>
      <c r="ESB301" s="118"/>
      <c r="ESC301" s="118"/>
      <c r="ESD301" s="118"/>
      <c r="ESE301" s="118"/>
      <c r="ESF301" s="118"/>
      <c r="ESG301" s="118"/>
      <c r="ESH301" s="118"/>
      <c r="ESI301" s="118"/>
      <c r="ESJ301" s="118"/>
      <c r="ESK301" s="118"/>
      <c r="ESL301" s="118"/>
      <c r="ESM301" s="118"/>
      <c r="ESN301" s="118"/>
      <c r="ESO301" s="118"/>
      <c r="ESP301" s="118"/>
      <c r="ESQ301" s="118"/>
      <c r="ESR301" s="118"/>
      <c r="ESS301" s="118"/>
      <c r="EST301" s="118"/>
      <c r="ESU301" s="118"/>
      <c r="ESV301" s="118"/>
      <c r="ESW301" s="118"/>
      <c r="ESX301" s="118"/>
      <c r="ESY301" s="118"/>
      <c r="ESZ301" s="118"/>
      <c r="ETA301" s="118"/>
      <c r="ETB301" s="118"/>
      <c r="ETC301" s="118"/>
      <c r="ETD301" s="118"/>
      <c r="ETE301" s="118"/>
      <c r="ETF301" s="118"/>
      <c r="ETG301" s="118"/>
      <c r="ETH301" s="118"/>
      <c r="ETI301" s="118"/>
      <c r="ETJ301" s="118"/>
      <c r="ETK301" s="118"/>
      <c r="ETL301" s="118"/>
      <c r="ETM301" s="118"/>
      <c r="ETN301" s="118"/>
      <c r="ETO301" s="118"/>
      <c r="ETP301" s="118"/>
      <c r="ETQ301" s="118"/>
      <c r="ETR301" s="118"/>
      <c r="ETS301" s="118"/>
      <c r="ETT301" s="118"/>
      <c r="ETU301" s="118"/>
      <c r="ETV301" s="118"/>
      <c r="ETW301" s="118"/>
      <c r="ETX301" s="118"/>
      <c r="ETY301" s="118"/>
      <c r="ETZ301" s="118"/>
      <c r="EUA301" s="118"/>
      <c r="EUB301" s="118"/>
      <c r="EUC301" s="118"/>
      <c r="EUD301" s="118"/>
      <c r="EUE301" s="118"/>
      <c r="EUF301" s="118"/>
      <c r="EUG301" s="118"/>
      <c r="EUH301" s="118"/>
      <c r="EUI301" s="118"/>
      <c r="EUJ301" s="118"/>
      <c r="EUK301" s="118"/>
      <c r="EUL301" s="118"/>
      <c r="EUM301" s="118"/>
      <c r="EUN301" s="118"/>
      <c r="EUO301" s="118"/>
      <c r="EUP301" s="118"/>
      <c r="EUQ301" s="118"/>
      <c r="EUR301" s="118"/>
      <c r="EUS301" s="118"/>
      <c r="EUT301" s="118"/>
      <c r="EUU301" s="118"/>
      <c r="EUV301" s="118"/>
      <c r="EUW301" s="118"/>
      <c r="EUX301" s="118"/>
      <c r="EUY301" s="118"/>
      <c r="EUZ301" s="118"/>
      <c r="EVA301" s="118"/>
      <c r="EVB301" s="118"/>
      <c r="EVC301" s="118"/>
      <c r="EVD301" s="118"/>
      <c r="EVE301" s="118"/>
      <c r="EVF301" s="118"/>
      <c r="EVG301" s="118"/>
      <c r="EVH301" s="118"/>
      <c r="EVI301" s="118"/>
      <c r="EVJ301" s="118"/>
      <c r="EVK301" s="118"/>
      <c r="EVL301" s="118"/>
      <c r="EVM301" s="118"/>
      <c r="EVN301" s="118"/>
      <c r="EVO301" s="118"/>
      <c r="EVP301" s="118"/>
      <c r="EVQ301" s="118"/>
      <c r="EVR301" s="118"/>
      <c r="EVS301" s="118"/>
      <c r="EVT301" s="118"/>
      <c r="EVU301" s="118"/>
      <c r="EVV301" s="118"/>
      <c r="EVW301" s="118"/>
      <c r="EVX301" s="118"/>
      <c r="EVY301" s="118"/>
      <c r="EVZ301" s="118"/>
      <c r="EWA301" s="118"/>
      <c r="EWB301" s="118"/>
      <c r="EWC301" s="118"/>
      <c r="EWD301" s="118"/>
      <c r="EWE301" s="118"/>
      <c r="EWF301" s="118"/>
      <c r="EWG301" s="118"/>
      <c r="EWH301" s="118"/>
      <c r="EWI301" s="118"/>
      <c r="EWJ301" s="118"/>
      <c r="EWK301" s="118"/>
      <c r="EWL301" s="118"/>
      <c r="EWM301" s="118"/>
      <c r="EWN301" s="118"/>
      <c r="EWO301" s="118"/>
      <c r="EWP301" s="118"/>
      <c r="EWQ301" s="118"/>
      <c r="EWR301" s="118"/>
      <c r="EWS301" s="118"/>
      <c r="EWT301" s="118"/>
      <c r="EWU301" s="118"/>
      <c r="EWV301" s="118"/>
      <c r="EWW301" s="118"/>
      <c r="EWX301" s="118"/>
      <c r="EWY301" s="118"/>
      <c r="EWZ301" s="118"/>
      <c r="EXA301" s="118"/>
      <c r="EXB301" s="118"/>
      <c r="EXC301" s="118"/>
      <c r="EXD301" s="118"/>
      <c r="EXE301" s="118"/>
      <c r="EXF301" s="118"/>
      <c r="EXG301" s="118"/>
      <c r="EXH301" s="118"/>
      <c r="EXI301" s="118"/>
      <c r="EXJ301" s="118"/>
      <c r="EXK301" s="118"/>
      <c r="EXL301" s="118"/>
      <c r="EXM301" s="118"/>
      <c r="EXN301" s="118"/>
      <c r="EXO301" s="118"/>
      <c r="EXP301" s="118"/>
      <c r="EXQ301" s="118"/>
      <c r="EXR301" s="118"/>
      <c r="EXS301" s="118"/>
      <c r="EXT301" s="118"/>
      <c r="EXU301" s="118"/>
      <c r="EXV301" s="118"/>
      <c r="EXW301" s="118"/>
      <c r="EXX301" s="118"/>
      <c r="EXY301" s="118"/>
      <c r="EXZ301" s="118"/>
      <c r="EYA301" s="118"/>
      <c r="EYB301" s="118"/>
      <c r="EYC301" s="118"/>
      <c r="EYD301" s="118"/>
      <c r="EYE301" s="118"/>
      <c r="EYF301" s="118"/>
      <c r="EYG301" s="118"/>
      <c r="EYH301" s="118"/>
      <c r="EYI301" s="118"/>
      <c r="EYJ301" s="118"/>
      <c r="EYK301" s="118"/>
      <c r="EYL301" s="118"/>
      <c r="EYM301" s="118"/>
      <c r="EYN301" s="118"/>
      <c r="EYO301" s="118"/>
      <c r="EYP301" s="118"/>
      <c r="EYQ301" s="118"/>
      <c r="EYR301" s="118"/>
      <c r="EYS301" s="118"/>
      <c r="EYT301" s="118"/>
      <c r="EYU301" s="118"/>
      <c r="EYV301" s="118"/>
      <c r="EYW301" s="118"/>
      <c r="EYX301" s="118"/>
      <c r="EYY301" s="118"/>
      <c r="EYZ301" s="118"/>
      <c r="EZA301" s="118"/>
      <c r="EZB301" s="118"/>
      <c r="EZC301" s="118"/>
      <c r="EZD301" s="118"/>
      <c r="EZE301" s="118"/>
      <c r="EZF301" s="118"/>
      <c r="EZG301" s="118"/>
      <c r="EZH301" s="118"/>
      <c r="EZI301" s="118"/>
      <c r="EZJ301" s="118"/>
      <c r="EZK301" s="118"/>
      <c r="EZL301" s="118"/>
      <c r="EZM301" s="118"/>
      <c r="EZN301" s="118"/>
      <c r="EZO301" s="118"/>
      <c r="EZP301" s="118"/>
      <c r="EZQ301" s="118"/>
      <c r="EZR301" s="118"/>
      <c r="EZS301" s="118"/>
      <c r="EZT301" s="118"/>
      <c r="EZU301" s="118"/>
      <c r="EZV301" s="118"/>
      <c r="EZW301" s="118"/>
      <c r="EZX301" s="118"/>
      <c r="EZY301" s="118"/>
      <c r="EZZ301" s="118"/>
      <c r="FAA301" s="118"/>
      <c r="FAB301" s="118"/>
      <c r="FAC301" s="118"/>
      <c r="FAD301" s="118"/>
      <c r="FAE301" s="118"/>
      <c r="FAF301" s="118"/>
      <c r="FAG301" s="118"/>
      <c r="FAH301" s="118"/>
      <c r="FAI301" s="118"/>
      <c r="FAJ301" s="118"/>
      <c r="FAK301" s="118"/>
      <c r="FAL301" s="118"/>
      <c r="FAM301" s="118"/>
      <c r="FAN301" s="118"/>
      <c r="FAO301" s="118"/>
      <c r="FAP301" s="118"/>
      <c r="FAQ301" s="118"/>
      <c r="FAR301" s="118"/>
      <c r="FAS301" s="118"/>
      <c r="FAT301" s="118"/>
      <c r="FAU301" s="118"/>
      <c r="FAV301" s="118"/>
      <c r="FAW301" s="118"/>
      <c r="FAX301" s="118"/>
      <c r="FAY301" s="118"/>
      <c r="FAZ301" s="118"/>
      <c r="FBA301" s="118"/>
      <c r="FBB301" s="118"/>
      <c r="FBC301" s="118"/>
      <c r="FBD301" s="118"/>
      <c r="FBE301" s="118"/>
      <c r="FBF301" s="118"/>
      <c r="FBG301" s="118"/>
      <c r="FBH301" s="118"/>
      <c r="FBI301" s="118"/>
      <c r="FBJ301" s="118"/>
      <c r="FBK301" s="118"/>
      <c r="FBL301" s="118"/>
      <c r="FBM301" s="118"/>
      <c r="FBN301" s="118"/>
      <c r="FBO301" s="118"/>
      <c r="FBP301" s="118"/>
      <c r="FBQ301" s="118"/>
      <c r="FBR301" s="118"/>
      <c r="FBS301" s="118"/>
      <c r="FBT301" s="118"/>
      <c r="FBU301" s="118"/>
      <c r="FBV301" s="118"/>
      <c r="FBW301" s="118"/>
      <c r="FBX301" s="118"/>
      <c r="FBY301" s="118"/>
      <c r="FBZ301" s="118"/>
      <c r="FCA301" s="118"/>
      <c r="FCB301" s="118"/>
      <c r="FCC301" s="118"/>
      <c r="FCD301" s="118"/>
      <c r="FCE301" s="118"/>
      <c r="FCF301" s="118"/>
      <c r="FCG301" s="118"/>
      <c r="FCH301" s="118"/>
      <c r="FCI301" s="118"/>
      <c r="FCJ301" s="118"/>
      <c r="FCK301" s="118"/>
      <c r="FCL301" s="118"/>
      <c r="FCM301" s="118"/>
      <c r="FCN301" s="118"/>
      <c r="FCO301" s="118"/>
      <c r="FCP301" s="118"/>
      <c r="FCQ301" s="118"/>
      <c r="FCR301" s="118"/>
      <c r="FCS301" s="118"/>
      <c r="FCT301" s="118"/>
      <c r="FCU301" s="118"/>
      <c r="FCV301" s="118"/>
      <c r="FCW301" s="118"/>
      <c r="FCX301" s="118"/>
      <c r="FCY301" s="118"/>
      <c r="FCZ301" s="118"/>
      <c r="FDA301" s="118"/>
      <c r="FDB301" s="118"/>
      <c r="FDC301" s="118"/>
      <c r="FDD301" s="118"/>
      <c r="FDE301" s="118"/>
      <c r="FDF301" s="118"/>
      <c r="FDG301" s="118"/>
      <c r="FDH301" s="118"/>
      <c r="FDI301" s="118"/>
      <c r="FDJ301" s="118"/>
      <c r="FDK301" s="118"/>
      <c r="FDL301" s="118"/>
      <c r="FDM301" s="118"/>
      <c r="FDN301" s="118"/>
      <c r="FDO301" s="118"/>
      <c r="FDP301" s="118"/>
      <c r="FDQ301" s="118"/>
      <c r="FDR301" s="118"/>
      <c r="FDS301" s="118"/>
      <c r="FDT301" s="118"/>
      <c r="FDU301" s="118"/>
      <c r="FDV301" s="118"/>
      <c r="FDW301" s="118"/>
      <c r="FDX301" s="118"/>
      <c r="FDY301" s="118"/>
      <c r="FDZ301" s="118"/>
      <c r="FEA301" s="118"/>
      <c r="FEB301" s="118"/>
      <c r="FEC301" s="118"/>
      <c r="FED301" s="118"/>
      <c r="FEE301" s="118"/>
      <c r="FEF301" s="118"/>
      <c r="FEG301" s="118"/>
      <c r="FEH301" s="118"/>
      <c r="FEI301" s="118"/>
      <c r="FEJ301" s="118"/>
      <c r="FEK301" s="118"/>
      <c r="FEL301" s="118"/>
      <c r="FEM301" s="118"/>
      <c r="FEN301" s="118"/>
      <c r="FEO301" s="118"/>
      <c r="FEP301" s="118"/>
      <c r="FEQ301" s="118"/>
      <c r="FER301" s="118"/>
      <c r="FES301" s="118"/>
      <c r="FET301" s="118"/>
      <c r="FEU301" s="118"/>
      <c r="FEV301" s="118"/>
      <c r="FEW301" s="118"/>
      <c r="FEX301" s="118"/>
      <c r="FEY301" s="118"/>
      <c r="FEZ301" s="118"/>
      <c r="FFA301" s="118"/>
      <c r="FFB301" s="118"/>
      <c r="FFC301" s="118"/>
      <c r="FFD301" s="118"/>
      <c r="FFE301" s="118"/>
      <c r="FFF301" s="118"/>
      <c r="FFG301" s="118"/>
      <c r="FFH301" s="118"/>
      <c r="FFI301" s="118"/>
      <c r="FFJ301" s="118"/>
      <c r="FFK301" s="118"/>
      <c r="FFL301" s="118"/>
      <c r="FFM301" s="118"/>
      <c r="FFN301" s="118"/>
      <c r="FFO301" s="118"/>
      <c r="FFP301" s="118"/>
      <c r="FFQ301" s="118"/>
      <c r="FFR301" s="118"/>
      <c r="FFS301" s="118"/>
      <c r="FFT301" s="118"/>
      <c r="FFU301" s="118"/>
      <c r="FFV301" s="118"/>
      <c r="FFW301" s="118"/>
      <c r="FFX301" s="118"/>
      <c r="FFY301" s="118"/>
      <c r="FFZ301" s="118"/>
      <c r="FGA301" s="118"/>
      <c r="FGB301" s="118"/>
      <c r="FGC301" s="118"/>
      <c r="FGD301" s="118"/>
      <c r="FGE301" s="118"/>
      <c r="FGF301" s="118"/>
      <c r="FGG301" s="118"/>
      <c r="FGH301" s="118"/>
      <c r="FGI301" s="118"/>
      <c r="FGJ301" s="118"/>
      <c r="FGK301" s="118"/>
      <c r="FGL301" s="118"/>
      <c r="FGM301" s="118"/>
      <c r="FGN301" s="118"/>
      <c r="FGO301" s="118"/>
      <c r="FGP301" s="118"/>
      <c r="FGQ301" s="118"/>
      <c r="FGR301" s="118"/>
      <c r="FGS301" s="118"/>
      <c r="FGT301" s="118"/>
      <c r="FGU301" s="118"/>
      <c r="FGV301" s="118"/>
      <c r="FGW301" s="118"/>
      <c r="FGX301" s="118"/>
      <c r="FGY301" s="118"/>
      <c r="FGZ301" s="118"/>
      <c r="FHA301" s="118"/>
      <c r="FHB301" s="118"/>
      <c r="FHC301" s="118"/>
      <c r="FHD301" s="118"/>
      <c r="FHE301" s="118"/>
      <c r="FHF301" s="118"/>
      <c r="FHG301" s="118"/>
      <c r="FHH301" s="118"/>
      <c r="FHI301" s="118"/>
      <c r="FHJ301" s="118"/>
      <c r="FHK301" s="118"/>
      <c r="FHL301" s="118"/>
      <c r="FHM301" s="118"/>
      <c r="FHN301" s="118"/>
      <c r="FHO301" s="118"/>
      <c r="FHP301" s="118"/>
      <c r="FHQ301" s="118"/>
      <c r="FHR301" s="118"/>
      <c r="FHS301" s="118"/>
      <c r="FHT301" s="118"/>
      <c r="FHU301" s="118"/>
      <c r="FHV301" s="118"/>
      <c r="FHW301" s="118"/>
      <c r="FHX301" s="118"/>
      <c r="FHY301" s="118"/>
      <c r="FHZ301" s="118"/>
      <c r="FIA301" s="118"/>
      <c r="FIB301" s="118"/>
      <c r="FIC301" s="118"/>
      <c r="FID301" s="118"/>
      <c r="FIE301" s="118"/>
      <c r="FIF301" s="118"/>
      <c r="FIG301" s="118"/>
      <c r="FIH301" s="118"/>
      <c r="FII301" s="118"/>
      <c r="FIJ301" s="118"/>
      <c r="FIK301" s="118"/>
      <c r="FIL301" s="118"/>
      <c r="FIM301" s="118"/>
      <c r="FIN301" s="118"/>
      <c r="FIO301" s="118"/>
      <c r="FIP301" s="118"/>
      <c r="FIQ301" s="118"/>
      <c r="FIR301" s="118"/>
      <c r="FIS301" s="118"/>
      <c r="FIT301" s="118"/>
      <c r="FIU301" s="118"/>
      <c r="FIV301" s="118"/>
      <c r="FIW301" s="118"/>
      <c r="FIX301" s="118"/>
      <c r="FIY301" s="118"/>
      <c r="FIZ301" s="118"/>
      <c r="FJA301" s="118"/>
      <c r="FJB301" s="118"/>
      <c r="FJC301" s="118"/>
      <c r="FJD301" s="118"/>
      <c r="FJE301" s="118"/>
      <c r="FJF301" s="118"/>
      <c r="FJG301" s="118"/>
      <c r="FJH301" s="118"/>
      <c r="FJI301" s="118"/>
      <c r="FJJ301" s="118"/>
      <c r="FJK301" s="118"/>
      <c r="FJL301" s="118"/>
      <c r="FJM301" s="118"/>
      <c r="FJN301" s="118"/>
      <c r="FJO301" s="118"/>
      <c r="FJP301" s="118"/>
      <c r="FJQ301" s="118"/>
      <c r="FJR301" s="118"/>
      <c r="FJS301" s="118"/>
      <c r="FJT301" s="118"/>
      <c r="FJU301" s="118"/>
      <c r="FJV301" s="118"/>
      <c r="FJW301" s="118"/>
      <c r="FJX301" s="118"/>
      <c r="FJY301" s="118"/>
      <c r="FJZ301" s="118"/>
      <c r="FKA301" s="118"/>
      <c r="FKB301" s="118"/>
      <c r="FKC301" s="118"/>
      <c r="FKD301" s="118"/>
      <c r="FKE301" s="118"/>
      <c r="FKF301" s="118"/>
      <c r="FKG301" s="118"/>
      <c r="FKH301" s="118"/>
      <c r="FKI301" s="118"/>
      <c r="FKJ301" s="118"/>
      <c r="FKK301" s="118"/>
      <c r="FKL301" s="118"/>
      <c r="FKM301" s="118"/>
      <c r="FKN301" s="118"/>
      <c r="FKO301" s="118"/>
      <c r="FKP301" s="118"/>
      <c r="FKQ301" s="118"/>
      <c r="FKR301" s="118"/>
      <c r="FKS301" s="118"/>
      <c r="FKT301" s="118"/>
      <c r="FKU301" s="118"/>
      <c r="FKV301" s="118"/>
      <c r="FKW301" s="118"/>
      <c r="FKX301" s="118"/>
      <c r="FKY301" s="118"/>
      <c r="FKZ301" s="118"/>
      <c r="FLA301" s="118"/>
      <c r="FLB301" s="118"/>
      <c r="FLC301" s="118"/>
      <c r="FLD301" s="118"/>
      <c r="FLE301" s="118"/>
      <c r="FLF301" s="118"/>
      <c r="FLG301" s="118"/>
      <c r="FLH301" s="118"/>
      <c r="FLI301" s="118"/>
      <c r="FLJ301" s="118"/>
      <c r="FLK301" s="118"/>
      <c r="FLL301" s="118"/>
      <c r="FLM301" s="118"/>
      <c r="FLN301" s="118"/>
      <c r="FLO301" s="118"/>
      <c r="FLP301" s="118"/>
      <c r="FLQ301" s="118"/>
      <c r="FLR301" s="118"/>
      <c r="FLS301" s="118"/>
      <c r="FLT301" s="118"/>
      <c r="FLU301" s="118"/>
      <c r="FLV301" s="118"/>
      <c r="FLW301" s="118"/>
      <c r="FLX301" s="118"/>
      <c r="FLY301" s="118"/>
      <c r="FLZ301" s="118"/>
      <c r="FMA301" s="118"/>
      <c r="FMB301" s="118"/>
      <c r="FMC301" s="118"/>
      <c r="FMD301" s="118"/>
      <c r="FME301" s="118"/>
      <c r="FMF301" s="118"/>
      <c r="FMG301" s="118"/>
      <c r="FMH301" s="118"/>
      <c r="FMI301" s="118"/>
      <c r="FMJ301" s="118"/>
      <c r="FMK301" s="118"/>
      <c r="FML301" s="118"/>
      <c r="FMM301" s="118"/>
      <c r="FMN301" s="118"/>
      <c r="FMO301" s="118"/>
      <c r="FMP301" s="118"/>
      <c r="FMQ301" s="118"/>
      <c r="FMR301" s="118"/>
      <c r="FMS301" s="118"/>
      <c r="FMT301" s="118"/>
      <c r="FMU301" s="118"/>
      <c r="FMV301" s="118"/>
      <c r="FMW301" s="118"/>
      <c r="FMX301" s="118"/>
      <c r="FMY301" s="118"/>
      <c r="FMZ301" s="118"/>
      <c r="FNA301" s="118"/>
      <c r="FNB301" s="118"/>
      <c r="FNC301" s="118"/>
      <c r="FND301" s="118"/>
      <c r="FNE301" s="118"/>
      <c r="FNF301" s="118"/>
      <c r="FNG301" s="118"/>
      <c r="FNH301" s="118"/>
      <c r="FNI301" s="118"/>
      <c r="FNJ301" s="118"/>
      <c r="FNK301" s="118"/>
      <c r="FNL301" s="118"/>
      <c r="FNM301" s="118"/>
      <c r="FNN301" s="118"/>
      <c r="FNO301" s="118"/>
      <c r="FNP301" s="118"/>
      <c r="FNQ301" s="118"/>
      <c r="FNR301" s="118"/>
      <c r="FNS301" s="118"/>
      <c r="FNT301" s="118"/>
      <c r="FNU301" s="118"/>
      <c r="FNV301" s="118"/>
      <c r="FNW301" s="118"/>
      <c r="FNX301" s="118"/>
      <c r="FNY301" s="118"/>
      <c r="FNZ301" s="118"/>
      <c r="FOA301" s="118"/>
      <c r="FOB301" s="118"/>
      <c r="FOC301" s="118"/>
      <c r="FOD301" s="118"/>
      <c r="FOE301" s="118"/>
      <c r="FOF301" s="118"/>
      <c r="FOG301" s="118"/>
      <c r="FOH301" s="118"/>
      <c r="FOI301" s="118"/>
      <c r="FOJ301" s="118"/>
      <c r="FOK301" s="118"/>
      <c r="FOL301" s="118"/>
      <c r="FOM301" s="118"/>
      <c r="FON301" s="118"/>
      <c r="FOO301" s="118"/>
      <c r="FOP301" s="118"/>
      <c r="FOQ301" s="118"/>
      <c r="FOR301" s="118"/>
      <c r="FOS301" s="118"/>
      <c r="FOT301" s="118"/>
      <c r="FOU301" s="118"/>
      <c r="FOV301" s="118"/>
      <c r="FOW301" s="118"/>
      <c r="FOX301" s="118"/>
      <c r="FOY301" s="118"/>
      <c r="FOZ301" s="118"/>
      <c r="FPA301" s="118"/>
      <c r="FPB301" s="118"/>
      <c r="FPC301" s="118"/>
      <c r="FPD301" s="118"/>
      <c r="FPE301" s="118"/>
      <c r="FPF301" s="118"/>
      <c r="FPG301" s="118"/>
      <c r="FPH301" s="118"/>
      <c r="FPI301" s="118"/>
      <c r="FPJ301" s="118"/>
      <c r="FPK301" s="118"/>
      <c r="FPL301" s="118"/>
      <c r="FPM301" s="118"/>
      <c r="FPN301" s="118"/>
      <c r="FPO301" s="118"/>
      <c r="FPP301" s="118"/>
      <c r="FPQ301" s="118"/>
      <c r="FPR301" s="118"/>
      <c r="FPS301" s="118"/>
      <c r="FPT301" s="118"/>
      <c r="FPU301" s="118"/>
      <c r="FPV301" s="118"/>
      <c r="FPW301" s="118"/>
      <c r="FPX301" s="118"/>
      <c r="FPY301" s="118"/>
      <c r="FPZ301" s="118"/>
      <c r="FQA301" s="118"/>
      <c r="FQB301" s="118"/>
      <c r="FQC301" s="118"/>
      <c r="FQD301" s="118"/>
      <c r="FQE301" s="118"/>
      <c r="FQF301" s="118"/>
      <c r="FQG301" s="118"/>
      <c r="FQH301" s="118"/>
      <c r="FQI301" s="118"/>
      <c r="FQJ301" s="118"/>
      <c r="FQK301" s="118"/>
      <c r="FQL301" s="118"/>
      <c r="FQM301" s="118"/>
      <c r="FQN301" s="118"/>
      <c r="FQO301" s="118"/>
      <c r="FQP301" s="118"/>
      <c r="FQQ301" s="118"/>
      <c r="FQR301" s="118"/>
      <c r="FQS301" s="118"/>
      <c r="FQT301" s="118"/>
      <c r="FQU301" s="118"/>
      <c r="FQV301" s="118"/>
      <c r="FQW301" s="118"/>
      <c r="FQX301" s="118"/>
      <c r="FQY301" s="118"/>
      <c r="FQZ301" s="118"/>
      <c r="FRA301" s="118"/>
      <c r="FRB301" s="118"/>
      <c r="FRC301" s="118"/>
      <c r="FRD301" s="118"/>
      <c r="FRE301" s="118"/>
      <c r="FRF301" s="118"/>
      <c r="FRG301" s="118"/>
      <c r="FRH301" s="118"/>
      <c r="FRI301" s="118"/>
      <c r="FRJ301" s="118"/>
      <c r="FRK301" s="118"/>
      <c r="FRL301" s="118"/>
      <c r="FRM301" s="118"/>
      <c r="FRN301" s="118"/>
      <c r="FRO301" s="118"/>
      <c r="FRP301" s="118"/>
      <c r="FRQ301" s="118"/>
      <c r="FRR301" s="118"/>
      <c r="FRS301" s="118"/>
      <c r="FRT301" s="118"/>
      <c r="FRU301" s="118"/>
      <c r="FRV301" s="118"/>
      <c r="FRW301" s="118"/>
      <c r="FRX301" s="118"/>
      <c r="FRY301" s="118"/>
      <c r="FRZ301" s="118"/>
      <c r="FSA301" s="118"/>
      <c r="FSB301" s="118"/>
      <c r="FSC301" s="118"/>
      <c r="FSD301" s="118"/>
      <c r="FSE301" s="118"/>
      <c r="FSF301" s="118"/>
      <c r="FSG301" s="118"/>
      <c r="FSH301" s="118"/>
      <c r="FSI301" s="118"/>
      <c r="FSJ301" s="118"/>
      <c r="FSK301" s="118"/>
      <c r="FSL301" s="118"/>
      <c r="FSM301" s="118"/>
      <c r="FSN301" s="118"/>
      <c r="FSO301" s="118"/>
      <c r="FSP301" s="118"/>
      <c r="FSQ301" s="118"/>
      <c r="FSR301" s="118"/>
      <c r="FSS301" s="118"/>
      <c r="FST301" s="118"/>
      <c r="FSU301" s="118"/>
      <c r="FSV301" s="118"/>
      <c r="FSW301" s="118"/>
      <c r="FSX301" s="118"/>
      <c r="FSY301" s="118"/>
      <c r="FSZ301" s="118"/>
      <c r="FTA301" s="118"/>
      <c r="FTB301" s="118"/>
      <c r="FTC301" s="118"/>
      <c r="FTD301" s="118"/>
      <c r="FTE301" s="118"/>
      <c r="FTF301" s="118"/>
      <c r="FTG301" s="118"/>
      <c r="FTH301" s="118"/>
      <c r="FTI301" s="118"/>
      <c r="FTJ301" s="118"/>
      <c r="FTK301" s="118"/>
      <c r="FTL301" s="118"/>
      <c r="FTM301" s="118"/>
      <c r="FTN301" s="118"/>
      <c r="FTO301" s="118"/>
      <c r="FTP301" s="118"/>
      <c r="FTQ301" s="118"/>
      <c r="FTR301" s="118"/>
      <c r="FTS301" s="118"/>
      <c r="FTT301" s="118"/>
      <c r="FTU301" s="118"/>
      <c r="FTV301" s="118"/>
      <c r="FTW301" s="118"/>
      <c r="FTX301" s="118"/>
      <c r="FTY301" s="118"/>
      <c r="FTZ301" s="118"/>
      <c r="FUA301" s="118"/>
      <c r="FUB301" s="118"/>
      <c r="FUC301" s="118"/>
      <c r="FUD301" s="118"/>
      <c r="FUE301" s="118"/>
      <c r="FUF301" s="118"/>
      <c r="FUG301" s="118"/>
      <c r="FUH301" s="118"/>
      <c r="FUI301" s="118"/>
      <c r="FUJ301" s="118"/>
      <c r="FUK301" s="118"/>
      <c r="FUL301" s="118"/>
      <c r="FUM301" s="118"/>
      <c r="FUN301" s="118"/>
      <c r="FUO301" s="118"/>
      <c r="FUP301" s="118"/>
      <c r="FUQ301" s="118"/>
      <c r="FUR301" s="118"/>
      <c r="FUS301" s="118"/>
      <c r="FUT301" s="118"/>
      <c r="FUU301" s="118"/>
      <c r="FUV301" s="118"/>
      <c r="FUW301" s="118"/>
      <c r="FUX301" s="118"/>
      <c r="FUY301" s="118"/>
      <c r="FUZ301" s="118"/>
      <c r="FVA301" s="118"/>
      <c r="FVB301" s="118"/>
      <c r="FVC301" s="118"/>
      <c r="FVD301" s="118"/>
      <c r="FVE301" s="118"/>
      <c r="FVF301" s="118"/>
      <c r="FVG301" s="118"/>
      <c r="FVH301" s="118"/>
      <c r="FVI301" s="118"/>
      <c r="FVJ301" s="118"/>
      <c r="FVK301" s="118"/>
      <c r="FVL301" s="118"/>
      <c r="FVM301" s="118"/>
      <c r="FVN301" s="118"/>
      <c r="FVO301" s="118"/>
      <c r="FVP301" s="118"/>
      <c r="FVQ301" s="118"/>
      <c r="FVR301" s="118"/>
      <c r="FVS301" s="118"/>
      <c r="FVT301" s="118"/>
      <c r="FVU301" s="118"/>
      <c r="FVV301" s="118"/>
      <c r="FVW301" s="118"/>
      <c r="FVX301" s="118"/>
      <c r="FVY301" s="118"/>
      <c r="FVZ301" s="118"/>
      <c r="FWA301" s="118"/>
      <c r="FWB301" s="118"/>
      <c r="FWC301" s="118"/>
      <c r="FWD301" s="118"/>
      <c r="FWE301" s="118"/>
      <c r="FWF301" s="118"/>
      <c r="FWG301" s="118"/>
      <c r="FWH301" s="118"/>
      <c r="FWI301" s="118"/>
      <c r="FWJ301" s="118"/>
      <c r="FWK301" s="118"/>
      <c r="FWL301" s="118"/>
      <c r="FWM301" s="118"/>
      <c r="FWN301" s="118"/>
      <c r="FWO301" s="118"/>
      <c r="FWP301" s="118"/>
      <c r="FWQ301" s="118"/>
      <c r="FWR301" s="118"/>
      <c r="FWS301" s="118"/>
      <c r="FWT301" s="118"/>
      <c r="FWU301" s="118"/>
      <c r="FWV301" s="118"/>
      <c r="FWW301" s="118"/>
      <c r="FWX301" s="118"/>
      <c r="FWY301" s="118"/>
      <c r="FWZ301" s="118"/>
      <c r="FXA301" s="118"/>
      <c r="FXB301" s="118"/>
      <c r="FXC301" s="118"/>
      <c r="FXD301" s="118"/>
      <c r="FXE301" s="118"/>
      <c r="FXF301" s="118"/>
      <c r="FXG301" s="118"/>
      <c r="FXH301" s="118"/>
      <c r="FXI301" s="118"/>
      <c r="FXJ301" s="118"/>
      <c r="FXK301" s="118"/>
      <c r="FXL301" s="118"/>
      <c r="FXM301" s="118"/>
      <c r="FXN301" s="118"/>
      <c r="FXO301" s="118"/>
      <c r="FXP301" s="118"/>
      <c r="FXQ301" s="118"/>
      <c r="FXR301" s="118"/>
      <c r="FXS301" s="118"/>
      <c r="FXT301" s="118"/>
      <c r="FXU301" s="118"/>
      <c r="FXV301" s="118"/>
      <c r="FXW301" s="118"/>
      <c r="FXX301" s="118"/>
      <c r="FXY301" s="118"/>
      <c r="FXZ301" s="118"/>
      <c r="FYA301" s="118"/>
      <c r="FYB301" s="118"/>
      <c r="FYC301" s="118"/>
      <c r="FYD301" s="118"/>
      <c r="FYE301" s="118"/>
      <c r="FYF301" s="118"/>
      <c r="FYG301" s="118"/>
      <c r="FYH301" s="118"/>
      <c r="FYI301" s="118"/>
      <c r="FYJ301" s="118"/>
      <c r="FYK301" s="118"/>
      <c r="FYL301" s="118"/>
      <c r="FYM301" s="118"/>
      <c r="FYN301" s="118"/>
      <c r="FYO301" s="118"/>
      <c r="FYP301" s="118"/>
      <c r="FYQ301" s="118"/>
      <c r="FYR301" s="118"/>
      <c r="FYS301" s="118"/>
      <c r="FYT301" s="118"/>
      <c r="FYU301" s="118"/>
      <c r="FYV301" s="118"/>
      <c r="FYW301" s="118"/>
      <c r="FYX301" s="118"/>
      <c r="FYY301" s="118"/>
      <c r="FYZ301" s="118"/>
      <c r="FZA301" s="118"/>
      <c r="FZB301" s="118"/>
      <c r="FZC301" s="118"/>
      <c r="FZD301" s="118"/>
      <c r="FZE301" s="118"/>
      <c r="FZF301" s="118"/>
      <c r="FZG301" s="118"/>
      <c r="FZH301" s="118"/>
      <c r="FZI301" s="118"/>
      <c r="FZJ301" s="118"/>
      <c r="FZK301" s="118"/>
      <c r="FZL301" s="118"/>
      <c r="FZM301" s="118"/>
      <c r="FZN301" s="118"/>
      <c r="FZO301" s="118"/>
      <c r="FZP301" s="118"/>
      <c r="FZQ301" s="118"/>
      <c r="FZR301" s="118"/>
      <c r="FZS301" s="118"/>
      <c r="FZT301" s="118"/>
      <c r="FZU301" s="118"/>
      <c r="FZV301" s="118"/>
      <c r="FZW301" s="118"/>
      <c r="FZX301" s="118"/>
      <c r="FZY301" s="118"/>
      <c r="FZZ301" s="118"/>
      <c r="GAA301" s="118"/>
      <c r="GAB301" s="118"/>
      <c r="GAC301" s="118"/>
      <c r="GAD301" s="118"/>
      <c r="GAE301" s="118"/>
      <c r="GAF301" s="118"/>
      <c r="GAG301" s="118"/>
      <c r="GAH301" s="118"/>
      <c r="GAI301" s="118"/>
      <c r="GAJ301" s="118"/>
      <c r="GAK301" s="118"/>
      <c r="GAL301" s="118"/>
      <c r="GAM301" s="118"/>
      <c r="GAN301" s="118"/>
      <c r="GAO301" s="118"/>
      <c r="GAP301" s="118"/>
      <c r="GAQ301" s="118"/>
      <c r="GAR301" s="118"/>
      <c r="GAS301" s="118"/>
      <c r="GAT301" s="118"/>
      <c r="GAU301" s="118"/>
      <c r="GAV301" s="118"/>
      <c r="GAW301" s="118"/>
      <c r="GAX301" s="118"/>
      <c r="GAY301" s="118"/>
      <c r="GAZ301" s="118"/>
      <c r="GBA301" s="118"/>
      <c r="GBB301" s="118"/>
      <c r="GBC301" s="118"/>
      <c r="GBD301" s="118"/>
      <c r="GBE301" s="118"/>
      <c r="GBF301" s="118"/>
      <c r="GBG301" s="118"/>
      <c r="GBH301" s="118"/>
      <c r="GBI301" s="118"/>
      <c r="GBJ301" s="118"/>
      <c r="GBK301" s="118"/>
      <c r="GBL301" s="118"/>
      <c r="GBM301" s="118"/>
      <c r="GBN301" s="118"/>
      <c r="GBO301" s="118"/>
      <c r="GBP301" s="118"/>
      <c r="GBQ301" s="118"/>
      <c r="GBR301" s="118"/>
      <c r="GBS301" s="118"/>
      <c r="GBT301" s="118"/>
      <c r="GBU301" s="118"/>
      <c r="GBV301" s="118"/>
      <c r="GBW301" s="118"/>
      <c r="GBX301" s="118"/>
      <c r="GBY301" s="118"/>
      <c r="GBZ301" s="118"/>
      <c r="GCA301" s="118"/>
      <c r="GCB301" s="118"/>
      <c r="GCC301" s="118"/>
      <c r="GCD301" s="118"/>
      <c r="GCE301" s="118"/>
      <c r="GCF301" s="118"/>
      <c r="GCG301" s="118"/>
      <c r="GCH301" s="118"/>
      <c r="GCI301" s="118"/>
      <c r="GCJ301" s="118"/>
      <c r="GCK301" s="118"/>
      <c r="GCL301" s="118"/>
      <c r="GCM301" s="118"/>
      <c r="GCN301" s="118"/>
      <c r="GCO301" s="118"/>
      <c r="GCP301" s="118"/>
      <c r="GCQ301" s="118"/>
      <c r="GCR301" s="118"/>
      <c r="GCS301" s="118"/>
      <c r="GCT301" s="118"/>
      <c r="GCU301" s="118"/>
      <c r="GCV301" s="118"/>
      <c r="GCW301" s="118"/>
      <c r="GCX301" s="118"/>
      <c r="GCY301" s="118"/>
      <c r="GCZ301" s="118"/>
      <c r="GDA301" s="118"/>
      <c r="GDB301" s="118"/>
      <c r="GDC301" s="118"/>
      <c r="GDD301" s="118"/>
      <c r="GDE301" s="118"/>
      <c r="GDF301" s="118"/>
      <c r="GDG301" s="118"/>
      <c r="GDH301" s="118"/>
      <c r="GDI301" s="118"/>
      <c r="GDJ301" s="118"/>
      <c r="GDK301" s="118"/>
      <c r="GDL301" s="118"/>
      <c r="GDM301" s="118"/>
      <c r="GDN301" s="118"/>
      <c r="GDO301" s="118"/>
      <c r="GDP301" s="118"/>
      <c r="GDQ301" s="118"/>
      <c r="GDR301" s="118"/>
      <c r="GDS301" s="118"/>
      <c r="GDT301" s="118"/>
      <c r="GDU301" s="118"/>
      <c r="GDV301" s="118"/>
      <c r="GDW301" s="118"/>
      <c r="GDX301" s="118"/>
      <c r="GDY301" s="118"/>
      <c r="GDZ301" s="118"/>
      <c r="GEA301" s="118"/>
      <c r="GEB301" s="118"/>
      <c r="GEC301" s="118"/>
      <c r="GED301" s="118"/>
      <c r="GEE301" s="118"/>
      <c r="GEF301" s="118"/>
      <c r="GEG301" s="118"/>
      <c r="GEH301" s="118"/>
      <c r="GEI301" s="118"/>
      <c r="GEJ301" s="118"/>
      <c r="GEK301" s="118"/>
      <c r="GEL301" s="118"/>
      <c r="GEM301" s="118"/>
      <c r="GEN301" s="118"/>
      <c r="GEO301" s="118"/>
      <c r="GEP301" s="118"/>
      <c r="GEQ301" s="118"/>
      <c r="GER301" s="118"/>
      <c r="GES301" s="118"/>
      <c r="GET301" s="118"/>
      <c r="GEU301" s="118"/>
      <c r="GEV301" s="118"/>
      <c r="GEW301" s="118"/>
      <c r="GEX301" s="118"/>
      <c r="GEY301" s="118"/>
      <c r="GEZ301" s="118"/>
      <c r="GFA301" s="118"/>
      <c r="GFB301" s="118"/>
      <c r="GFC301" s="118"/>
      <c r="GFD301" s="118"/>
      <c r="GFE301" s="118"/>
      <c r="GFF301" s="118"/>
      <c r="GFG301" s="118"/>
      <c r="GFH301" s="118"/>
      <c r="GFI301" s="118"/>
      <c r="GFJ301" s="118"/>
      <c r="GFK301" s="118"/>
      <c r="GFL301" s="118"/>
      <c r="GFM301" s="118"/>
      <c r="GFN301" s="118"/>
      <c r="GFO301" s="118"/>
      <c r="GFP301" s="118"/>
      <c r="GFQ301" s="118"/>
      <c r="GFR301" s="118"/>
      <c r="GFS301" s="118"/>
      <c r="GFT301" s="118"/>
      <c r="GFU301" s="118"/>
      <c r="GFV301" s="118"/>
      <c r="GFW301" s="118"/>
      <c r="GFX301" s="118"/>
      <c r="GFY301" s="118"/>
      <c r="GFZ301" s="118"/>
      <c r="GGA301" s="118"/>
      <c r="GGB301" s="118"/>
      <c r="GGC301" s="118"/>
      <c r="GGD301" s="118"/>
      <c r="GGE301" s="118"/>
      <c r="GGF301" s="118"/>
      <c r="GGG301" s="118"/>
      <c r="GGH301" s="118"/>
      <c r="GGI301" s="118"/>
      <c r="GGJ301" s="118"/>
      <c r="GGK301" s="118"/>
      <c r="GGL301" s="118"/>
      <c r="GGM301" s="118"/>
      <c r="GGN301" s="118"/>
      <c r="GGO301" s="118"/>
      <c r="GGP301" s="118"/>
      <c r="GGQ301" s="118"/>
      <c r="GGR301" s="118"/>
      <c r="GGS301" s="118"/>
      <c r="GGT301" s="118"/>
      <c r="GGU301" s="118"/>
      <c r="GGV301" s="118"/>
      <c r="GGW301" s="118"/>
      <c r="GGX301" s="118"/>
      <c r="GGY301" s="118"/>
      <c r="GGZ301" s="118"/>
      <c r="GHA301" s="118"/>
      <c r="GHB301" s="118"/>
      <c r="GHC301" s="118"/>
      <c r="GHD301" s="118"/>
      <c r="GHE301" s="118"/>
      <c r="GHF301" s="118"/>
      <c r="GHG301" s="118"/>
      <c r="GHH301" s="118"/>
      <c r="GHI301" s="118"/>
      <c r="GHJ301" s="118"/>
      <c r="GHK301" s="118"/>
      <c r="GHL301" s="118"/>
      <c r="GHM301" s="118"/>
      <c r="GHN301" s="118"/>
      <c r="GHO301" s="118"/>
      <c r="GHP301" s="118"/>
      <c r="GHQ301" s="118"/>
      <c r="GHR301" s="118"/>
      <c r="GHS301" s="118"/>
      <c r="GHT301" s="118"/>
      <c r="GHU301" s="118"/>
      <c r="GHV301" s="118"/>
      <c r="GHW301" s="118"/>
      <c r="GHX301" s="118"/>
      <c r="GHY301" s="118"/>
      <c r="GHZ301" s="118"/>
      <c r="GIA301" s="118"/>
      <c r="GIB301" s="118"/>
      <c r="GIC301" s="118"/>
      <c r="GID301" s="118"/>
      <c r="GIE301" s="118"/>
      <c r="GIF301" s="118"/>
      <c r="GIG301" s="118"/>
      <c r="GIH301" s="118"/>
      <c r="GII301" s="118"/>
      <c r="GIJ301" s="118"/>
      <c r="GIK301" s="118"/>
      <c r="GIL301" s="118"/>
      <c r="GIM301" s="118"/>
      <c r="GIN301" s="118"/>
      <c r="GIO301" s="118"/>
      <c r="GIP301" s="118"/>
      <c r="GIQ301" s="118"/>
      <c r="GIR301" s="118"/>
      <c r="GIS301" s="118"/>
      <c r="GIT301" s="118"/>
      <c r="GIU301" s="118"/>
      <c r="GIV301" s="118"/>
      <c r="GIW301" s="118"/>
      <c r="GIX301" s="118"/>
      <c r="GIY301" s="118"/>
      <c r="GIZ301" s="118"/>
      <c r="GJA301" s="118"/>
      <c r="GJB301" s="118"/>
      <c r="GJC301" s="118"/>
      <c r="GJD301" s="118"/>
      <c r="GJE301" s="118"/>
      <c r="GJF301" s="118"/>
      <c r="GJG301" s="118"/>
      <c r="GJH301" s="118"/>
      <c r="GJI301" s="118"/>
      <c r="GJJ301" s="118"/>
      <c r="GJK301" s="118"/>
      <c r="GJL301" s="118"/>
      <c r="GJM301" s="118"/>
      <c r="GJN301" s="118"/>
      <c r="GJO301" s="118"/>
      <c r="GJP301" s="118"/>
      <c r="GJQ301" s="118"/>
      <c r="GJR301" s="118"/>
      <c r="GJS301" s="118"/>
      <c r="GJT301" s="118"/>
      <c r="GJU301" s="118"/>
      <c r="GJV301" s="118"/>
      <c r="GJW301" s="118"/>
      <c r="GJX301" s="118"/>
      <c r="GJY301" s="118"/>
      <c r="GJZ301" s="118"/>
      <c r="GKA301" s="118"/>
      <c r="GKB301" s="118"/>
      <c r="GKC301" s="118"/>
      <c r="GKD301" s="118"/>
      <c r="GKE301" s="118"/>
      <c r="GKF301" s="118"/>
      <c r="GKG301" s="118"/>
      <c r="GKH301" s="118"/>
      <c r="GKI301" s="118"/>
      <c r="GKJ301" s="118"/>
      <c r="GKK301" s="118"/>
      <c r="GKL301" s="118"/>
      <c r="GKM301" s="118"/>
      <c r="GKN301" s="118"/>
      <c r="GKO301" s="118"/>
      <c r="GKP301" s="118"/>
      <c r="GKQ301" s="118"/>
      <c r="GKR301" s="118"/>
      <c r="GKS301" s="118"/>
      <c r="GKT301" s="118"/>
      <c r="GKU301" s="118"/>
      <c r="GKV301" s="118"/>
      <c r="GKW301" s="118"/>
      <c r="GKX301" s="118"/>
      <c r="GKY301" s="118"/>
      <c r="GKZ301" s="118"/>
      <c r="GLA301" s="118"/>
      <c r="GLB301" s="118"/>
      <c r="GLC301" s="118"/>
      <c r="GLD301" s="118"/>
      <c r="GLE301" s="118"/>
      <c r="GLF301" s="118"/>
      <c r="GLG301" s="118"/>
      <c r="GLH301" s="118"/>
      <c r="GLI301" s="118"/>
      <c r="GLJ301" s="118"/>
      <c r="GLK301" s="118"/>
      <c r="GLL301" s="118"/>
      <c r="GLM301" s="118"/>
      <c r="GLN301" s="118"/>
      <c r="GLO301" s="118"/>
      <c r="GLP301" s="118"/>
      <c r="GLQ301" s="118"/>
      <c r="GLR301" s="118"/>
      <c r="GLS301" s="118"/>
      <c r="GLT301" s="118"/>
      <c r="GLU301" s="118"/>
      <c r="GLV301" s="118"/>
      <c r="GLW301" s="118"/>
      <c r="GLX301" s="118"/>
      <c r="GLY301" s="118"/>
      <c r="GLZ301" s="118"/>
      <c r="GMA301" s="118"/>
      <c r="GMB301" s="118"/>
      <c r="GMC301" s="118"/>
      <c r="GMD301" s="118"/>
      <c r="GME301" s="118"/>
      <c r="GMF301" s="118"/>
      <c r="GMG301" s="118"/>
      <c r="GMH301" s="118"/>
      <c r="GMI301" s="118"/>
      <c r="GMJ301" s="118"/>
      <c r="GMK301" s="118"/>
      <c r="GML301" s="118"/>
      <c r="GMM301" s="118"/>
      <c r="GMN301" s="118"/>
      <c r="GMO301" s="118"/>
      <c r="GMP301" s="118"/>
      <c r="GMQ301" s="118"/>
      <c r="GMR301" s="118"/>
      <c r="GMS301" s="118"/>
      <c r="GMT301" s="118"/>
      <c r="GMU301" s="118"/>
      <c r="GMV301" s="118"/>
      <c r="GMW301" s="118"/>
      <c r="GMX301" s="118"/>
      <c r="GMY301" s="118"/>
      <c r="GMZ301" s="118"/>
      <c r="GNA301" s="118"/>
      <c r="GNB301" s="118"/>
      <c r="GNC301" s="118"/>
      <c r="GND301" s="118"/>
      <c r="GNE301" s="118"/>
      <c r="GNF301" s="118"/>
      <c r="GNG301" s="118"/>
      <c r="GNH301" s="118"/>
      <c r="GNI301" s="118"/>
      <c r="GNJ301" s="118"/>
      <c r="GNK301" s="118"/>
      <c r="GNL301" s="118"/>
      <c r="GNM301" s="118"/>
      <c r="GNN301" s="118"/>
      <c r="GNO301" s="118"/>
      <c r="GNP301" s="118"/>
      <c r="GNQ301" s="118"/>
      <c r="GNR301" s="118"/>
      <c r="GNS301" s="118"/>
      <c r="GNT301" s="118"/>
      <c r="GNU301" s="118"/>
      <c r="GNV301" s="118"/>
      <c r="GNW301" s="118"/>
      <c r="GNX301" s="118"/>
      <c r="GNY301" s="118"/>
      <c r="GNZ301" s="118"/>
      <c r="GOA301" s="118"/>
      <c r="GOB301" s="118"/>
      <c r="GOC301" s="118"/>
      <c r="GOD301" s="118"/>
      <c r="GOE301" s="118"/>
      <c r="GOF301" s="118"/>
      <c r="GOG301" s="118"/>
      <c r="GOH301" s="118"/>
      <c r="GOI301" s="118"/>
      <c r="GOJ301" s="118"/>
      <c r="GOK301" s="118"/>
      <c r="GOL301" s="118"/>
      <c r="GOM301" s="118"/>
      <c r="GON301" s="118"/>
      <c r="GOO301" s="118"/>
      <c r="GOP301" s="118"/>
      <c r="GOQ301" s="118"/>
      <c r="GOR301" s="118"/>
      <c r="GOS301" s="118"/>
      <c r="GOT301" s="118"/>
      <c r="GOU301" s="118"/>
      <c r="GOV301" s="118"/>
      <c r="GOW301" s="118"/>
      <c r="GOX301" s="118"/>
      <c r="GOY301" s="118"/>
      <c r="GOZ301" s="118"/>
      <c r="GPA301" s="118"/>
      <c r="GPB301" s="118"/>
      <c r="GPC301" s="118"/>
      <c r="GPD301" s="118"/>
      <c r="GPE301" s="118"/>
      <c r="GPF301" s="118"/>
      <c r="GPG301" s="118"/>
      <c r="GPH301" s="118"/>
      <c r="GPI301" s="118"/>
      <c r="GPJ301" s="118"/>
      <c r="GPK301" s="118"/>
      <c r="GPL301" s="118"/>
      <c r="GPM301" s="118"/>
      <c r="GPN301" s="118"/>
      <c r="GPO301" s="118"/>
      <c r="GPP301" s="118"/>
      <c r="GPQ301" s="118"/>
      <c r="GPR301" s="118"/>
      <c r="GPS301" s="118"/>
      <c r="GPT301" s="118"/>
      <c r="GPU301" s="118"/>
      <c r="GPV301" s="118"/>
      <c r="GPW301" s="118"/>
      <c r="GPX301" s="118"/>
      <c r="GPY301" s="118"/>
      <c r="GPZ301" s="118"/>
      <c r="GQA301" s="118"/>
      <c r="GQB301" s="118"/>
      <c r="GQC301" s="118"/>
      <c r="GQD301" s="118"/>
      <c r="GQE301" s="118"/>
      <c r="GQF301" s="118"/>
      <c r="GQG301" s="118"/>
      <c r="GQH301" s="118"/>
      <c r="GQI301" s="118"/>
      <c r="GQJ301" s="118"/>
      <c r="GQK301" s="118"/>
      <c r="GQL301" s="118"/>
      <c r="GQM301" s="118"/>
      <c r="GQN301" s="118"/>
      <c r="GQO301" s="118"/>
      <c r="GQP301" s="118"/>
      <c r="GQQ301" s="118"/>
      <c r="GQR301" s="118"/>
      <c r="GQS301" s="118"/>
      <c r="GQT301" s="118"/>
      <c r="GQU301" s="118"/>
      <c r="GQV301" s="118"/>
      <c r="GQW301" s="118"/>
      <c r="GQX301" s="118"/>
      <c r="GQY301" s="118"/>
      <c r="GQZ301" s="118"/>
      <c r="GRA301" s="118"/>
      <c r="GRB301" s="118"/>
      <c r="GRC301" s="118"/>
      <c r="GRD301" s="118"/>
      <c r="GRE301" s="118"/>
      <c r="GRF301" s="118"/>
      <c r="GRG301" s="118"/>
      <c r="GRH301" s="118"/>
      <c r="GRI301" s="118"/>
      <c r="GRJ301" s="118"/>
      <c r="GRK301" s="118"/>
      <c r="GRL301" s="118"/>
      <c r="GRM301" s="118"/>
      <c r="GRN301" s="118"/>
      <c r="GRO301" s="118"/>
      <c r="GRP301" s="118"/>
      <c r="GRQ301" s="118"/>
      <c r="GRR301" s="118"/>
      <c r="GRS301" s="118"/>
      <c r="GRT301" s="118"/>
      <c r="GRU301" s="118"/>
      <c r="GRV301" s="118"/>
      <c r="GRW301" s="118"/>
      <c r="GRX301" s="118"/>
      <c r="GRY301" s="118"/>
      <c r="GRZ301" s="118"/>
      <c r="GSA301" s="118"/>
      <c r="GSB301" s="118"/>
      <c r="GSC301" s="118"/>
      <c r="GSD301" s="118"/>
      <c r="GSE301" s="118"/>
      <c r="GSF301" s="118"/>
      <c r="GSG301" s="118"/>
      <c r="GSH301" s="118"/>
      <c r="GSI301" s="118"/>
      <c r="GSJ301" s="118"/>
      <c r="GSK301" s="118"/>
      <c r="GSL301" s="118"/>
      <c r="GSM301" s="118"/>
      <c r="GSN301" s="118"/>
      <c r="GSO301" s="118"/>
      <c r="GSP301" s="118"/>
      <c r="GSQ301" s="118"/>
      <c r="GSR301" s="118"/>
      <c r="GSS301" s="118"/>
      <c r="GST301" s="118"/>
      <c r="GSU301" s="118"/>
      <c r="GSV301" s="118"/>
      <c r="GSW301" s="118"/>
      <c r="GSX301" s="118"/>
      <c r="GSY301" s="118"/>
      <c r="GSZ301" s="118"/>
      <c r="GTA301" s="118"/>
      <c r="GTB301" s="118"/>
      <c r="GTC301" s="118"/>
      <c r="GTD301" s="118"/>
      <c r="GTE301" s="118"/>
      <c r="GTF301" s="118"/>
      <c r="GTG301" s="118"/>
      <c r="GTH301" s="118"/>
      <c r="GTI301" s="118"/>
      <c r="GTJ301" s="118"/>
      <c r="GTK301" s="118"/>
      <c r="GTL301" s="118"/>
      <c r="GTM301" s="118"/>
      <c r="GTN301" s="118"/>
      <c r="GTO301" s="118"/>
      <c r="GTP301" s="118"/>
      <c r="GTQ301" s="118"/>
      <c r="GTR301" s="118"/>
      <c r="GTS301" s="118"/>
      <c r="GTT301" s="118"/>
      <c r="GTU301" s="118"/>
      <c r="GTV301" s="118"/>
      <c r="GTW301" s="118"/>
      <c r="GTX301" s="118"/>
      <c r="GTY301" s="118"/>
      <c r="GTZ301" s="118"/>
      <c r="GUA301" s="118"/>
      <c r="GUB301" s="118"/>
      <c r="GUC301" s="118"/>
      <c r="GUD301" s="118"/>
      <c r="GUE301" s="118"/>
      <c r="GUF301" s="118"/>
      <c r="GUG301" s="118"/>
      <c r="GUH301" s="118"/>
      <c r="GUI301" s="118"/>
      <c r="GUJ301" s="118"/>
      <c r="GUK301" s="118"/>
      <c r="GUL301" s="118"/>
      <c r="GUM301" s="118"/>
      <c r="GUN301" s="118"/>
      <c r="GUO301" s="118"/>
      <c r="GUP301" s="118"/>
      <c r="GUQ301" s="118"/>
      <c r="GUR301" s="118"/>
      <c r="GUS301" s="118"/>
      <c r="GUT301" s="118"/>
      <c r="GUU301" s="118"/>
      <c r="GUV301" s="118"/>
      <c r="GUW301" s="118"/>
      <c r="GUX301" s="118"/>
      <c r="GUY301" s="118"/>
      <c r="GUZ301" s="118"/>
      <c r="GVA301" s="118"/>
      <c r="GVB301" s="118"/>
      <c r="GVC301" s="118"/>
      <c r="GVD301" s="118"/>
      <c r="GVE301" s="118"/>
      <c r="GVF301" s="118"/>
      <c r="GVG301" s="118"/>
      <c r="GVH301" s="118"/>
      <c r="GVI301" s="118"/>
      <c r="GVJ301" s="118"/>
      <c r="GVK301" s="118"/>
      <c r="GVL301" s="118"/>
      <c r="GVM301" s="118"/>
      <c r="GVN301" s="118"/>
      <c r="GVO301" s="118"/>
      <c r="GVP301" s="118"/>
      <c r="GVQ301" s="118"/>
      <c r="GVR301" s="118"/>
      <c r="GVS301" s="118"/>
      <c r="GVT301" s="118"/>
      <c r="GVU301" s="118"/>
      <c r="GVV301" s="118"/>
      <c r="GVW301" s="118"/>
      <c r="GVX301" s="118"/>
      <c r="GVY301" s="118"/>
      <c r="GVZ301" s="118"/>
      <c r="GWA301" s="118"/>
      <c r="GWB301" s="118"/>
      <c r="GWC301" s="118"/>
      <c r="GWD301" s="118"/>
      <c r="GWE301" s="118"/>
      <c r="GWF301" s="118"/>
      <c r="GWG301" s="118"/>
      <c r="GWH301" s="118"/>
      <c r="GWI301" s="118"/>
      <c r="GWJ301" s="118"/>
      <c r="GWK301" s="118"/>
      <c r="GWL301" s="118"/>
      <c r="GWM301" s="118"/>
      <c r="GWN301" s="118"/>
      <c r="GWO301" s="118"/>
      <c r="GWP301" s="118"/>
      <c r="GWQ301" s="118"/>
      <c r="GWR301" s="118"/>
      <c r="GWS301" s="118"/>
      <c r="GWT301" s="118"/>
      <c r="GWU301" s="118"/>
      <c r="GWV301" s="118"/>
      <c r="GWW301" s="118"/>
      <c r="GWX301" s="118"/>
      <c r="GWY301" s="118"/>
      <c r="GWZ301" s="118"/>
      <c r="GXA301" s="118"/>
      <c r="GXB301" s="118"/>
      <c r="GXC301" s="118"/>
      <c r="GXD301" s="118"/>
      <c r="GXE301" s="118"/>
      <c r="GXF301" s="118"/>
      <c r="GXG301" s="118"/>
      <c r="GXH301" s="118"/>
      <c r="GXI301" s="118"/>
      <c r="GXJ301" s="118"/>
      <c r="GXK301" s="118"/>
      <c r="GXL301" s="118"/>
      <c r="GXM301" s="118"/>
      <c r="GXN301" s="118"/>
      <c r="GXO301" s="118"/>
      <c r="GXP301" s="118"/>
      <c r="GXQ301" s="118"/>
      <c r="GXR301" s="118"/>
      <c r="GXS301" s="118"/>
      <c r="GXT301" s="118"/>
      <c r="GXU301" s="118"/>
      <c r="GXV301" s="118"/>
      <c r="GXW301" s="118"/>
      <c r="GXX301" s="118"/>
      <c r="GXY301" s="118"/>
      <c r="GXZ301" s="118"/>
      <c r="GYA301" s="118"/>
      <c r="GYB301" s="118"/>
      <c r="GYC301" s="118"/>
      <c r="GYD301" s="118"/>
      <c r="GYE301" s="118"/>
      <c r="GYF301" s="118"/>
      <c r="GYG301" s="118"/>
      <c r="GYH301" s="118"/>
      <c r="GYI301" s="118"/>
      <c r="GYJ301" s="118"/>
      <c r="GYK301" s="118"/>
      <c r="GYL301" s="118"/>
      <c r="GYM301" s="118"/>
      <c r="GYN301" s="118"/>
      <c r="GYO301" s="118"/>
      <c r="GYP301" s="118"/>
      <c r="GYQ301" s="118"/>
      <c r="GYR301" s="118"/>
      <c r="GYS301" s="118"/>
      <c r="GYT301" s="118"/>
      <c r="GYU301" s="118"/>
      <c r="GYV301" s="118"/>
      <c r="GYW301" s="118"/>
      <c r="GYX301" s="118"/>
      <c r="GYY301" s="118"/>
      <c r="GYZ301" s="118"/>
      <c r="GZA301" s="118"/>
      <c r="GZB301" s="118"/>
      <c r="GZC301" s="118"/>
      <c r="GZD301" s="118"/>
      <c r="GZE301" s="118"/>
      <c r="GZF301" s="118"/>
      <c r="GZG301" s="118"/>
      <c r="GZH301" s="118"/>
      <c r="GZI301" s="118"/>
      <c r="GZJ301" s="118"/>
      <c r="GZK301" s="118"/>
      <c r="GZL301" s="118"/>
      <c r="GZM301" s="118"/>
      <c r="GZN301" s="118"/>
      <c r="GZO301" s="118"/>
      <c r="GZP301" s="118"/>
      <c r="GZQ301" s="118"/>
      <c r="GZR301" s="118"/>
      <c r="GZS301" s="118"/>
      <c r="GZT301" s="118"/>
      <c r="GZU301" s="118"/>
      <c r="GZV301" s="118"/>
      <c r="GZW301" s="118"/>
      <c r="GZX301" s="118"/>
      <c r="GZY301" s="118"/>
      <c r="GZZ301" s="118"/>
      <c r="HAA301" s="118"/>
      <c r="HAB301" s="118"/>
      <c r="HAC301" s="118"/>
      <c r="HAD301" s="118"/>
      <c r="HAE301" s="118"/>
      <c r="HAF301" s="118"/>
      <c r="HAG301" s="118"/>
      <c r="HAH301" s="118"/>
      <c r="HAI301" s="118"/>
      <c r="HAJ301" s="118"/>
      <c r="HAK301" s="118"/>
      <c r="HAL301" s="118"/>
      <c r="HAM301" s="118"/>
      <c r="HAN301" s="118"/>
      <c r="HAO301" s="118"/>
      <c r="HAP301" s="118"/>
      <c r="HAQ301" s="118"/>
      <c r="HAR301" s="118"/>
      <c r="HAS301" s="118"/>
      <c r="HAT301" s="118"/>
      <c r="HAU301" s="118"/>
      <c r="HAV301" s="118"/>
      <c r="HAW301" s="118"/>
      <c r="HAX301" s="118"/>
      <c r="HAY301" s="118"/>
      <c r="HAZ301" s="118"/>
      <c r="HBA301" s="118"/>
      <c r="HBB301" s="118"/>
      <c r="HBC301" s="118"/>
      <c r="HBD301" s="118"/>
      <c r="HBE301" s="118"/>
      <c r="HBF301" s="118"/>
      <c r="HBG301" s="118"/>
      <c r="HBH301" s="118"/>
      <c r="HBI301" s="118"/>
      <c r="HBJ301" s="118"/>
      <c r="HBK301" s="118"/>
      <c r="HBL301" s="118"/>
      <c r="HBM301" s="118"/>
      <c r="HBN301" s="118"/>
      <c r="HBO301" s="118"/>
      <c r="HBP301" s="118"/>
      <c r="HBQ301" s="118"/>
      <c r="HBR301" s="118"/>
      <c r="HBS301" s="118"/>
      <c r="HBT301" s="118"/>
      <c r="HBU301" s="118"/>
      <c r="HBV301" s="118"/>
      <c r="HBW301" s="118"/>
      <c r="HBX301" s="118"/>
      <c r="HBY301" s="118"/>
      <c r="HBZ301" s="118"/>
      <c r="HCA301" s="118"/>
      <c r="HCB301" s="118"/>
      <c r="HCC301" s="118"/>
      <c r="HCD301" s="118"/>
      <c r="HCE301" s="118"/>
      <c r="HCF301" s="118"/>
      <c r="HCG301" s="118"/>
      <c r="HCH301" s="118"/>
      <c r="HCI301" s="118"/>
      <c r="HCJ301" s="118"/>
      <c r="HCK301" s="118"/>
      <c r="HCL301" s="118"/>
      <c r="HCM301" s="118"/>
      <c r="HCN301" s="118"/>
      <c r="HCO301" s="118"/>
      <c r="HCP301" s="118"/>
      <c r="HCQ301" s="118"/>
      <c r="HCR301" s="118"/>
      <c r="HCS301" s="118"/>
      <c r="HCT301" s="118"/>
      <c r="HCU301" s="118"/>
      <c r="HCV301" s="118"/>
      <c r="HCW301" s="118"/>
      <c r="HCX301" s="118"/>
      <c r="HCY301" s="118"/>
      <c r="HCZ301" s="118"/>
      <c r="HDA301" s="118"/>
      <c r="HDB301" s="118"/>
      <c r="HDC301" s="118"/>
      <c r="HDD301" s="118"/>
      <c r="HDE301" s="118"/>
      <c r="HDF301" s="118"/>
      <c r="HDG301" s="118"/>
      <c r="HDH301" s="118"/>
      <c r="HDI301" s="118"/>
      <c r="HDJ301" s="118"/>
      <c r="HDK301" s="118"/>
      <c r="HDL301" s="118"/>
      <c r="HDM301" s="118"/>
      <c r="HDN301" s="118"/>
      <c r="HDO301" s="118"/>
      <c r="HDP301" s="118"/>
      <c r="HDQ301" s="118"/>
      <c r="HDR301" s="118"/>
      <c r="HDS301" s="118"/>
      <c r="HDT301" s="118"/>
      <c r="HDU301" s="118"/>
      <c r="HDV301" s="118"/>
      <c r="HDW301" s="118"/>
      <c r="HDX301" s="118"/>
      <c r="HDY301" s="118"/>
      <c r="HDZ301" s="118"/>
      <c r="HEA301" s="118"/>
      <c r="HEB301" s="118"/>
      <c r="HEC301" s="118"/>
      <c r="HED301" s="118"/>
      <c r="HEE301" s="118"/>
      <c r="HEF301" s="118"/>
      <c r="HEG301" s="118"/>
      <c r="HEH301" s="118"/>
      <c r="HEI301" s="118"/>
      <c r="HEJ301" s="118"/>
      <c r="HEK301" s="118"/>
      <c r="HEL301" s="118"/>
      <c r="HEM301" s="118"/>
      <c r="HEN301" s="118"/>
      <c r="HEO301" s="118"/>
      <c r="HEP301" s="118"/>
      <c r="HEQ301" s="118"/>
      <c r="HER301" s="118"/>
      <c r="HES301" s="118"/>
      <c r="HET301" s="118"/>
      <c r="HEU301" s="118"/>
      <c r="HEV301" s="118"/>
      <c r="HEW301" s="118"/>
      <c r="HEX301" s="118"/>
      <c r="HEY301" s="118"/>
      <c r="HEZ301" s="118"/>
      <c r="HFA301" s="118"/>
      <c r="HFB301" s="118"/>
      <c r="HFC301" s="118"/>
      <c r="HFD301" s="118"/>
      <c r="HFE301" s="118"/>
      <c r="HFF301" s="118"/>
      <c r="HFG301" s="118"/>
      <c r="HFH301" s="118"/>
      <c r="HFI301" s="118"/>
      <c r="HFJ301" s="118"/>
      <c r="HFK301" s="118"/>
      <c r="HFL301" s="118"/>
      <c r="HFM301" s="118"/>
      <c r="HFN301" s="118"/>
      <c r="HFO301" s="118"/>
      <c r="HFP301" s="118"/>
      <c r="HFQ301" s="118"/>
      <c r="HFR301" s="118"/>
      <c r="HFS301" s="118"/>
      <c r="HFT301" s="118"/>
      <c r="HFU301" s="118"/>
      <c r="HFV301" s="118"/>
      <c r="HFW301" s="118"/>
      <c r="HFX301" s="118"/>
      <c r="HFY301" s="118"/>
      <c r="HFZ301" s="118"/>
      <c r="HGA301" s="118"/>
      <c r="HGB301" s="118"/>
      <c r="HGC301" s="118"/>
      <c r="HGD301" s="118"/>
      <c r="HGE301" s="118"/>
      <c r="HGF301" s="118"/>
      <c r="HGG301" s="118"/>
      <c r="HGH301" s="118"/>
      <c r="HGI301" s="118"/>
      <c r="HGJ301" s="118"/>
      <c r="HGK301" s="118"/>
      <c r="HGL301" s="118"/>
      <c r="HGM301" s="118"/>
      <c r="HGN301" s="118"/>
      <c r="HGO301" s="118"/>
      <c r="HGP301" s="118"/>
      <c r="HGQ301" s="118"/>
      <c r="HGR301" s="118"/>
      <c r="HGS301" s="118"/>
      <c r="HGT301" s="118"/>
      <c r="HGU301" s="118"/>
      <c r="HGV301" s="118"/>
      <c r="HGW301" s="118"/>
      <c r="HGX301" s="118"/>
      <c r="HGY301" s="118"/>
      <c r="HGZ301" s="118"/>
      <c r="HHA301" s="118"/>
      <c r="HHB301" s="118"/>
      <c r="HHC301" s="118"/>
      <c r="HHD301" s="118"/>
      <c r="HHE301" s="118"/>
      <c r="HHF301" s="118"/>
      <c r="HHG301" s="118"/>
      <c r="HHH301" s="118"/>
      <c r="HHI301" s="118"/>
      <c r="HHJ301" s="118"/>
      <c r="HHK301" s="118"/>
      <c r="HHL301" s="118"/>
      <c r="HHM301" s="118"/>
      <c r="HHN301" s="118"/>
      <c r="HHO301" s="118"/>
      <c r="HHP301" s="118"/>
      <c r="HHQ301" s="118"/>
      <c r="HHR301" s="118"/>
      <c r="HHS301" s="118"/>
      <c r="HHT301" s="118"/>
      <c r="HHU301" s="118"/>
      <c r="HHV301" s="118"/>
      <c r="HHW301" s="118"/>
      <c r="HHX301" s="118"/>
      <c r="HHY301" s="118"/>
      <c r="HHZ301" s="118"/>
      <c r="HIA301" s="118"/>
      <c r="HIB301" s="118"/>
      <c r="HIC301" s="118"/>
      <c r="HID301" s="118"/>
      <c r="HIE301" s="118"/>
      <c r="HIF301" s="118"/>
      <c r="HIG301" s="118"/>
      <c r="HIH301" s="118"/>
      <c r="HII301" s="118"/>
      <c r="HIJ301" s="118"/>
      <c r="HIK301" s="118"/>
      <c r="HIL301" s="118"/>
      <c r="HIM301" s="118"/>
      <c r="HIN301" s="118"/>
      <c r="HIO301" s="118"/>
      <c r="HIP301" s="118"/>
      <c r="HIQ301" s="118"/>
      <c r="HIR301" s="118"/>
      <c r="HIS301" s="118"/>
      <c r="HIT301" s="118"/>
      <c r="HIU301" s="118"/>
      <c r="HIV301" s="118"/>
      <c r="HIW301" s="118"/>
      <c r="HIX301" s="118"/>
      <c r="HIY301" s="118"/>
      <c r="HIZ301" s="118"/>
      <c r="HJA301" s="118"/>
      <c r="HJB301" s="118"/>
      <c r="HJC301" s="118"/>
      <c r="HJD301" s="118"/>
      <c r="HJE301" s="118"/>
      <c r="HJF301" s="118"/>
      <c r="HJG301" s="118"/>
      <c r="HJH301" s="118"/>
      <c r="HJI301" s="118"/>
      <c r="HJJ301" s="118"/>
      <c r="HJK301" s="118"/>
      <c r="HJL301" s="118"/>
      <c r="HJM301" s="118"/>
      <c r="HJN301" s="118"/>
      <c r="HJO301" s="118"/>
      <c r="HJP301" s="118"/>
      <c r="HJQ301" s="118"/>
      <c r="HJR301" s="118"/>
      <c r="HJS301" s="118"/>
      <c r="HJT301" s="118"/>
      <c r="HJU301" s="118"/>
      <c r="HJV301" s="118"/>
      <c r="HJW301" s="118"/>
      <c r="HJX301" s="118"/>
      <c r="HJY301" s="118"/>
      <c r="HJZ301" s="118"/>
      <c r="HKA301" s="118"/>
      <c r="HKB301" s="118"/>
      <c r="HKC301" s="118"/>
      <c r="HKD301" s="118"/>
      <c r="HKE301" s="118"/>
      <c r="HKF301" s="118"/>
      <c r="HKG301" s="118"/>
      <c r="HKH301" s="118"/>
      <c r="HKI301" s="118"/>
      <c r="HKJ301" s="118"/>
      <c r="HKK301" s="118"/>
      <c r="HKL301" s="118"/>
      <c r="HKM301" s="118"/>
      <c r="HKN301" s="118"/>
      <c r="HKO301" s="118"/>
      <c r="HKP301" s="118"/>
      <c r="HKQ301" s="118"/>
      <c r="HKR301" s="118"/>
      <c r="HKS301" s="118"/>
      <c r="HKT301" s="118"/>
      <c r="HKU301" s="118"/>
      <c r="HKV301" s="118"/>
      <c r="HKW301" s="118"/>
      <c r="HKX301" s="118"/>
      <c r="HKY301" s="118"/>
      <c r="HKZ301" s="118"/>
      <c r="HLA301" s="118"/>
      <c r="HLB301" s="118"/>
      <c r="HLC301" s="118"/>
      <c r="HLD301" s="118"/>
      <c r="HLE301" s="118"/>
      <c r="HLF301" s="118"/>
      <c r="HLG301" s="118"/>
      <c r="HLH301" s="118"/>
      <c r="HLI301" s="118"/>
      <c r="HLJ301" s="118"/>
      <c r="HLK301" s="118"/>
      <c r="HLL301" s="118"/>
      <c r="HLM301" s="118"/>
      <c r="HLN301" s="118"/>
      <c r="HLO301" s="118"/>
      <c r="HLP301" s="118"/>
      <c r="HLQ301" s="118"/>
      <c r="HLR301" s="118"/>
      <c r="HLS301" s="118"/>
      <c r="HLT301" s="118"/>
      <c r="HLU301" s="118"/>
      <c r="HLV301" s="118"/>
      <c r="HLW301" s="118"/>
      <c r="HLX301" s="118"/>
      <c r="HLY301" s="118"/>
      <c r="HLZ301" s="118"/>
      <c r="HMA301" s="118"/>
      <c r="HMB301" s="118"/>
      <c r="HMC301" s="118"/>
      <c r="HMD301" s="118"/>
      <c r="HME301" s="118"/>
      <c r="HMF301" s="118"/>
      <c r="HMG301" s="118"/>
      <c r="HMH301" s="118"/>
      <c r="HMI301" s="118"/>
      <c r="HMJ301" s="118"/>
      <c r="HMK301" s="118"/>
      <c r="HML301" s="118"/>
      <c r="HMM301" s="118"/>
      <c r="HMN301" s="118"/>
      <c r="HMO301" s="118"/>
      <c r="HMP301" s="118"/>
      <c r="HMQ301" s="118"/>
      <c r="HMR301" s="118"/>
      <c r="HMS301" s="118"/>
      <c r="HMT301" s="118"/>
      <c r="HMU301" s="118"/>
      <c r="HMV301" s="118"/>
      <c r="HMW301" s="118"/>
      <c r="HMX301" s="118"/>
      <c r="HMY301" s="118"/>
      <c r="HMZ301" s="118"/>
      <c r="HNA301" s="118"/>
      <c r="HNB301" s="118"/>
      <c r="HNC301" s="118"/>
      <c r="HND301" s="118"/>
      <c r="HNE301" s="118"/>
      <c r="HNF301" s="118"/>
      <c r="HNG301" s="118"/>
      <c r="HNH301" s="118"/>
      <c r="HNI301" s="118"/>
      <c r="HNJ301" s="118"/>
      <c r="HNK301" s="118"/>
      <c r="HNL301" s="118"/>
      <c r="HNM301" s="118"/>
      <c r="HNN301" s="118"/>
      <c r="HNO301" s="118"/>
      <c r="HNP301" s="118"/>
      <c r="HNQ301" s="118"/>
      <c r="HNR301" s="118"/>
      <c r="HNS301" s="118"/>
      <c r="HNT301" s="118"/>
      <c r="HNU301" s="118"/>
      <c r="HNV301" s="118"/>
      <c r="HNW301" s="118"/>
      <c r="HNX301" s="118"/>
      <c r="HNY301" s="118"/>
      <c r="HNZ301" s="118"/>
      <c r="HOA301" s="118"/>
      <c r="HOB301" s="118"/>
      <c r="HOC301" s="118"/>
      <c r="HOD301" s="118"/>
      <c r="HOE301" s="118"/>
      <c r="HOF301" s="118"/>
      <c r="HOG301" s="118"/>
      <c r="HOH301" s="118"/>
      <c r="HOI301" s="118"/>
      <c r="HOJ301" s="118"/>
      <c r="HOK301" s="118"/>
      <c r="HOL301" s="118"/>
      <c r="HOM301" s="118"/>
      <c r="HON301" s="118"/>
      <c r="HOO301" s="118"/>
      <c r="HOP301" s="118"/>
      <c r="HOQ301" s="118"/>
      <c r="HOR301" s="118"/>
      <c r="HOS301" s="118"/>
      <c r="HOT301" s="118"/>
      <c r="HOU301" s="118"/>
      <c r="HOV301" s="118"/>
      <c r="HOW301" s="118"/>
      <c r="HOX301" s="118"/>
      <c r="HOY301" s="118"/>
      <c r="HOZ301" s="118"/>
      <c r="HPA301" s="118"/>
      <c r="HPB301" s="118"/>
      <c r="HPC301" s="118"/>
      <c r="HPD301" s="118"/>
      <c r="HPE301" s="118"/>
      <c r="HPF301" s="118"/>
      <c r="HPG301" s="118"/>
      <c r="HPH301" s="118"/>
      <c r="HPI301" s="118"/>
      <c r="HPJ301" s="118"/>
      <c r="HPK301" s="118"/>
      <c r="HPL301" s="118"/>
      <c r="HPM301" s="118"/>
      <c r="HPN301" s="118"/>
      <c r="HPO301" s="118"/>
      <c r="HPP301" s="118"/>
      <c r="HPQ301" s="118"/>
      <c r="HPR301" s="118"/>
      <c r="HPS301" s="118"/>
      <c r="HPT301" s="118"/>
      <c r="HPU301" s="118"/>
      <c r="HPV301" s="118"/>
      <c r="HPW301" s="118"/>
      <c r="HPX301" s="118"/>
      <c r="HPY301" s="118"/>
      <c r="HPZ301" s="118"/>
      <c r="HQA301" s="118"/>
      <c r="HQB301" s="118"/>
      <c r="HQC301" s="118"/>
      <c r="HQD301" s="118"/>
      <c r="HQE301" s="118"/>
      <c r="HQF301" s="118"/>
      <c r="HQG301" s="118"/>
      <c r="HQH301" s="118"/>
      <c r="HQI301" s="118"/>
      <c r="HQJ301" s="118"/>
      <c r="HQK301" s="118"/>
      <c r="HQL301" s="118"/>
      <c r="HQM301" s="118"/>
      <c r="HQN301" s="118"/>
      <c r="HQO301" s="118"/>
      <c r="HQP301" s="118"/>
      <c r="HQQ301" s="118"/>
      <c r="HQR301" s="118"/>
      <c r="HQS301" s="118"/>
      <c r="HQT301" s="118"/>
      <c r="HQU301" s="118"/>
      <c r="HQV301" s="118"/>
      <c r="HQW301" s="118"/>
      <c r="HQX301" s="118"/>
      <c r="HQY301" s="118"/>
      <c r="HQZ301" s="118"/>
      <c r="HRA301" s="118"/>
      <c r="HRB301" s="118"/>
      <c r="HRC301" s="118"/>
      <c r="HRD301" s="118"/>
      <c r="HRE301" s="118"/>
      <c r="HRF301" s="118"/>
      <c r="HRG301" s="118"/>
      <c r="HRH301" s="118"/>
      <c r="HRI301" s="118"/>
      <c r="HRJ301" s="118"/>
      <c r="HRK301" s="118"/>
      <c r="HRL301" s="118"/>
      <c r="HRM301" s="118"/>
      <c r="HRN301" s="118"/>
      <c r="HRO301" s="118"/>
      <c r="HRP301" s="118"/>
      <c r="HRQ301" s="118"/>
      <c r="HRR301" s="118"/>
      <c r="HRS301" s="118"/>
      <c r="HRT301" s="118"/>
      <c r="HRU301" s="118"/>
      <c r="HRV301" s="118"/>
      <c r="HRW301" s="118"/>
      <c r="HRX301" s="118"/>
      <c r="HRY301" s="118"/>
      <c r="HRZ301" s="118"/>
      <c r="HSA301" s="118"/>
      <c r="HSB301" s="118"/>
      <c r="HSC301" s="118"/>
      <c r="HSD301" s="118"/>
      <c r="HSE301" s="118"/>
      <c r="HSF301" s="118"/>
      <c r="HSG301" s="118"/>
      <c r="HSH301" s="118"/>
      <c r="HSI301" s="118"/>
      <c r="HSJ301" s="118"/>
      <c r="HSK301" s="118"/>
      <c r="HSL301" s="118"/>
      <c r="HSM301" s="118"/>
      <c r="HSN301" s="118"/>
      <c r="HSO301" s="118"/>
      <c r="HSP301" s="118"/>
      <c r="HSQ301" s="118"/>
      <c r="HSR301" s="118"/>
      <c r="HSS301" s="118"/>
      <c r="HST301" s="118"/>
      <c r="HSU301" s="118"/>
      <c r="HSV301" s="118"/>
      <c r="HSW301" s="118"/>
      <c r="HSX301" s="118"/>
      <c r="HSY301" s="118"/>
      <c r="HSZ301" s="118"/>
      <c r="HTA301" s="118"/>
      <c r="HTB301" s="118"/>
      <c r="HTC301" s="118"/>
      <c r="HTD301" s="118"/>
      <c r="HTE301" s="118"/>
      <c r="HTF301" s="118"/>
      <c r="HTG301" s="118"/>
      <c r="HTH301" s="118"/>
      <c r="HTI301" s="118"/>
      <c r="HTJ301" s="118"/>
      <c r="HTK301" s="118"/>
      <c r="HTL301" s="118"/>
      <c r="HTM301" s="118"/>
      <c r="HTN301" s="118"/>
      <c r="HTO301" s="118"/>
      <c r="HTP301" s="118"/>
      <c r="HTQ301" s="118"/>
      <c r="HTR301" s="118"/>
      <c r="HTS301" s="118"/>
      <c r="HTT301" s="118"/>
      <c r="HTU301" s="118"/>
      <c r="HTV301" s="118"/>
      <c r="HTW301" s="118"/>
      <c r="HTX301" s="118"/>
      <c r="HTY301" s="118"/>
      <c r="HTZ301" s="118"/>
      <c r="HUA301" s="118"/>
      <c r="HUB301" s="118"/>
      <c r="HUC301" s="118"/>
      <c r="HUD301" s="118"/>
      <c r="HUE301" s="118"/>
      <c r="HUF301" s="118"/>
      <c r="HUG301" s="118"/>
      <c r="HUH301" s="118"/>
      <c r="HUI301" s="118"/>
      <c r="HUJ301" s="118"/>
      <c r="HUK301" s="118"/>
      <c r="HUL301" s="118"/>
      <c r="HUM301" s="118"/>
      <c r="HUN301" s="118"/>
      <c r="HUO301" s="118"/>
      <c r="HUP301" s="118"/>
      <c r="HUQ301" s="118"/>
      <c r="HUR301" s="118"/>
      <c r="HUS301" s="118"/>
      <c r="HUT301" s="118"/>
      <c r="HUU301" s="118"/>
      <c r="HUV301" s="118"/>
      <c r="HUW301" s="118"/>
      <c r="HUX301" s="118"/>
      <c r="HUY301" s="118"/>
      <c r="HUZ301" s="118"/>
      <c r="HVA301" s="118"/>
      <c r="HVB301" s="118"/>
      <c r="HVC301" s="118"/>
      <c r="HVD301" s="118"/>
      <c r="HVE301" s="118"/>
      <c r="HVF301" s="118"/>
      <c r="HVG301" s="118"/>
      <c r="HVH301" s="118"/>
      <c r="HVI301" s="118"/>
      <c r="HVJ301" s="118"/>
      <c r="HVK301" s="118"/>
      <c r="HVL301" s="118"/>
      <c r="HVM301" s="118"/>
      <c r="HVN301" s="118"/>
      <c r="HVO301" s="118"/>
      <c r="HVP301" s="118"/>
      <c r="HVQ301" s="118"/>
      <c r="HVR301" s="118"/>
      <c r="HVS301" s="118"/>
      <c r="HVT301" s="118"/>
      <c r="HVU301" s="118"/>
      <c r="HVV301" s="118"/>
      <c r="HVW301" s="118"/>
      <c r="HVX301" s="118"/>
      <c r="HVY301" s="118"/>
      <c r="HVZ301" s="118"/>
      <c r="HWA301" s="118"/>
      <c r="HWB301" s="118"/>
      <c r="HWC301" s="118"/>
      <c r="HWD301" s="118"/>
      <c r="HWE301" s="118"/>
      <c r="HWF301" s="118"/>
      <c r="HWG301" s="118"/>
      <c r="HWH301" s="118"/>
      <c r="HWI301" s="118"/>
      <c r="HWJ301" s="118"/>
      <c r="HWK301" s="118"/>
      <c r="HWL301" s="118"/>
      <c r="HWM301" s="118"/>
      <c r="HWN301" s="118"/>
      <c r="HWO301" s="118"/>
      <c r="HWP301" s="118"/>
      <c r="HWQ301" s="118"/>
      <c r="HWR301" s="118"/>
      <c r="HWS301" s="118"/>
      <c r="HWT301" s="118"/>
      <c r="HWU301" s="118"/>
      <c r="HWV301" s="118"/>
      <c r="HWW301" s="118"/>
      <c r="HWX301" s="118"/>
      <c r="HWY301" s="118"/>
      <c r="HWZ301" s="118"/>
      <c r="HXA301" s="118"/>
      <c r="HXB301" s="118"/>
      <c r="HXC301" s="118"/>
      <c r="HXD301" s="118"/>
      <c r="HXE301" s="118"/>
      <c r="HXF301" s="118"/>
      <c r="HXG301" s="118"/>
      <c r="HXH301" s="118"/>
      <c r="HXI301" s="118"/>
      <c r="HXJ301" s="118"/>
      <c r="HXK301" s="118"/>
      <c r="HXL301" s="118"/>
      <c r="HXM301" s="118"/>
      <c r="HXN301" s="118"/>
      <c r="HXO301" s="118"/>
      <c r="HXP301" s="118"/>
      <c r="HXQ301" s="118"/>
      <c r="HXR301" s="118"/>
      <c r="HXS301" s="118"/>
      <c r="HXT301" s="118"/>
      <c r="HXU301" s="118"/>
      <c r="HXV301" s="118"/>
      <c r="HXW301" s="118"/>
      <c r="HXX301" s="118"/>
      <c r="HXY301" s="118"/>
      <c r="HXZ301" s="118"/>
      <c r="HYA301" s="118"/>
      <c r="HYB301" s="118"/>
      <c r="HYC301" s="118"/>
      <c r="HYD301" s="118"/>
      <c r="HYE301" s="118"/>
      <c r="HYF301" s="118"/>
      <c r="HYG301" s="118"/>
      <c r="HYH301" s="118"/>
      <c r="HYI301" s="118"/>
      <c r="HYJ301" s="118"/>
      <c r="HYK301" s="118"/>
      <c r="HYL301" s="118"/>
      <c r="HYM301" s="118"/>
      <c r="HYN301" s="118"/>
      <c r="HYO301" s="118"/>
      <c r="HYP301" s="118"/>
      <c r="HYQ301" s="118"/>
      <c r="HYR301" s="118"/>
      <c r="HYS301" s="118"/>
      <c r="HYT301" s="118"/>
      <c r="HYU301" s="118"/>
      <c r="HYV301" s="118"/>
      <c r="HYW301" s="118"/>
      <c r="HYX301" s="118"/>
      <c r="HYY301" s="118"/>
      <c r="HYZ301" s="118"/>
      <c r="HZA301" s="118"/>
      <c r="HZB301" s="118"/>
      <c r="HZC301" s="118"/>
      <c r="HZD301" s="118"/>
      <c r="HZE301" s="118"/>
      <c r="HZF301" s="118"/>
      <c r="HZG301" s="118"/>
      <c r="HZH301" s="118"/>
      <c r="HZI301" s="118"/>
      <c r="HZJ301" s="118"/>
      <c r="HZK301" s="118"/>
      <c r="HZL301" s="118"/>
      <c r="HZM301" s="118"/>
      <c r="HZN301" s="118"/>
      <c r="HZO301" s="118"/>
      <c r="HZP301" s="118"/>
      <c r="HZQ301" s="118"/>
      <c r="HZR301" s="118"/>
      <c r="HZS301" s="118"/>
      <c r="HZT301" s="118"/>
      <c r="HZU301" s="118"/>
      <c r="HZV301" s="118"/>
      <c r="HZW301" s="118"/>
      <c r="HZX301" s="118"/>
      <c r="HZY301" s="118"/>
      <c r="HZZ301" s="118"/>
      <c r="IAA301" s="118"/>
      <c r="IAB301" s="118"/>
      <c r="IAC301" s="118"/>
      <c r="IAD301" s="118"/>
      <c r="IAE301" s="118"/>
      <c r="IAF301" s="118"/>
      <c r="IAG301" s="118"/>
      <c r="IAH301" s="118"/>
      <c r="IAI301" s="118"/>
      <c r="IAJ301" s="118"/>
      <c r="IAK301" s="118"/>
      <c r="IAL301" s="118"/>
      <c r="IAM301" s="118"/>
      <c r="IAN301" s="118"/>
      <c r="IAO301" s="118"/>
      <c r="IAP301" s="118"/>
      <c r="IAQ301" s="118"/>
      <c r="IAR301" s="118"/>
      <c r="IAS301" s="118"/>
      <c r="IAT301" s="118"/>
      <c r="IAU301" s="118"/>
      <c r="IAV301" s="118"/>
      <c r="IAW301" s="118"/>
      <c r="IAX301" s="118"/>
      <c r="IAY301" s="118"/>
      <c r="IAZ301" s="118"/>
      <c r="IBA301" s="118"/>
      <c r="IBB301" s="118"/>
      <c r="IBC301" s="118"/>
      <c r="IBD301" s="118"/>
      <c r="IBE301" s="118"/>
      <c r="IBF301" s="118"/>
      <c r="IBG301" s="118"/>
      <c r="IBH301" s="118"/>
      <c r="IBI301" s="118"/>
      <c r="IBJ301" s="118"/>
      <c r="IBK301" s="118"/>
      <c r="IBL301" s="118"/>
      <c r="IBM301" s="118"/>
      <c r="IBN301" s="118"/>
      <c r="IBO301" s="118"/>
      <c r="IBP301" s="118"/>
      <c r="IBQ301" s="118"/>
      <c r="IBR301" s="118"/>
      <c r="IBS301" s="118"/>
      <c r="IBT301" s="118"/>
      <c r="IBU301" s="118"/>
      <c r="IBV301" s="118"/>
      <c r="IBW301" s="118"/>
      <c r="IBX301" s="118"/>
      <c r="IBY301" s="118"/>
      <c r="IBZ301" s="118"/>
      <c r="ICA301" s="118"/>
      <c r="ICB301" s="118"/>
      <c r="ICC301" s="118"/>
      <c r="ICD301" s="118"/>
      <c r="ICE301" s="118"/>
      <c r="ICF301" s="118"/>
      <c r="ICG301" s="118"/>
      <c r="ICH301" s="118"/>
      <c r="ICI301" s="118"/>
      <c r="ICJ301" s="118"/>
      <c r="ICK301" s="118"/>
      <c r="ICL301" s="118"/>
      <c r="ICM301" s="118"/>
      <c r="ICN301" s="118"/>
      <c r="ICO301" s="118"/>
      <c r="ICP301" s="118"/>
      <c r="ICQ301" s="118"/>
      <c r="ICR301" s="118"/>
      <c r="ICS301" s="118"/>
      <c r="ICT301" s="118"/>
      <c r="ICU301" s="118"/>
      <c r="ICV301" s="118"/>
      <c r="ICW301" s="118"/>
      <c r="ICX301" s="118"/>
      <c r="ICY301" s="118"/>
      <c r="ICZ301" s="118"/>
      <c r="IDA301" s="118"/>
      <c r="IDB301" s="118"/>
      <c r="IDC301" s="118"/>
      <c r="IDD301" s="118"/>
      <c r="IDE301" s="118"/>
      <c r="IDF301" s="118"/>
      <c r="IDG301" s="118"/>
      <c r="IDH301" s="118"/>
      <c r="IDI301" s="118"/>
      <c r="IDJ301" s="118"/>
      <c r="IDK301" s="118"/>
      <c r="IDL301" s="118"/>
      <c r="IDM301" s="118"/>
      <c r="IDN301" s="118"/>
      <c r="IDO301" s="118"/>
      <c r="IDP301" s="118"/>
      <c r="IDQ301" s="118"/>
      <c r="IDR301" s="118"/>
      <c r="IDS301" s="118"/>
      <c r="IDT301" s="118"/>
      <c r="IDU301" s="118"/>
      <c r="IDV301" s="118"/>
      <c r="IDW301" s="118"/>
      <c r="IDX301" s="118"/>
      <c r="IDY301" s="118"/>
      <c r="IDZ301" s="118"/>
      <c r="IEA301" s="118"/>
      <c r="IEB301" s="118"/>
      <c r="IEC301" s="118"/>
      <c r="IED301" s="118"/>
      <c r="IEE301" s="118"/>
      <c r="IEF301" s="118"/>
      <c r="IEG301" s="118"/>
      <c r="IEH301" s="118"/>
      <c r="IEI301" s="118"/>
      <c r="IEJ301" s="118"/>
      <c r="IEK301" s="118"/>
      <c r="IEL301" s="118"/>
      <c r="IEM301" s="118"/>
      <c r="IEN301" s="118"/>
      <c r="IEO301" s="118"/>
      <c r="IEP301" s="118"/>
      <c r="IEQ301" s="118"/>
      <c r="IER301" s="118"/>
      <c r="IES301" s="118"/>
      <c r="IET301" s="118"/>
      <c r="IEU301" s="118"/>
      <c r="IEV301" s="118"/>
      <c r="IEW301" s="118"/>
      <c r="IEX301" s="118"/>
      <c r="IEY301" s="118"/>
      <c r="IEZ301" s="118"/>
      <c r="IFA301" s="118"/>
      <c r="IFB301" s="118"/>
      <c r="IFC301" s="118"/>
      <c r="IFD301" s="118"/>
      <c r="IFE301" s="118"/>
      <c r="IFF301" s="118"/>
      <c r="IFG301" s="118"/>
      <c r="IFH301" s="118"/>
      <c r="IFI301" s="118"/>
      <c r="IFJ301" s="118"/>
      <c r="IFK301" s="118"/>
      <c r="IFL301" s="118"/>
      <c r="IFM301" s="118"/>
      <c r="IFN301" s="118"/>
      <c r="IFO301" s="118"/>
      <c r="IFP301" s="118"/>
      <c r="IFQ301" s="118"/>
      <c r="IFR301" s="118"/>
      <c r="IFS301" s="118"/>
      <c r="IFT301" s="118"/>
      <c r="IFU301" s="118"/>
      <c r="IFV301" s="118"/>
      <c r="IFW301" s="118"/>
      <c r="IFX301" s="118"/>
      <c r="IFY301" s="118"/>
      <c r="IFZ301" s="118"/>
      <c r="IGA301" s="118"/>
      <c r="IGB301" s="118"/>
      <c r="IGC301" s="118"/>
      <c r="IGD301" s="118"/>
      <c r="IGE301" s="118"/>
      <c r="IGF301" s="118"/>
      <c r="IGG301" s="118"/>
      <c r="IGH301" s="118"/>
      <c r="IGI301" s="118"/>
      <c r="IGJ301" s="118"/>
      <c r="IGK301" s="118"/>
      <c r="IGL301" s="118"/>
      <c r="IGM301" s="118"/>
      <c r="IGN301" s="118"/>
      <c r="IGO301" s="118"/>
      <c r="IGP301" s="118"/>
      <c r="IGQ301" s="118"/>
      <c r="IGR301" s="118"/>
      <c r="IGS301" s="118"/>
      <c r="IGT301" s="118"/>
      <c r="IGU301" s="118"/>
      <c r="IGV301" s="118"/>
      <c r="IGW301" s="118"/>
      <c r="IGX301" s="118"/>
      <c r="IGY301" s="118"/>
      <c r="IGZ301" s="118"/>
      <c r="IHA301" s="118"/>
      <c r="IHB301" s="118"/>
      <c r="IHC301" s="118"/>
      <c r="IHD301" s="118"/>
      <c r="IHE301" s="118"/>
      <c r="IHF301" s="118"/>
      <c r="IHG301" s="118"/>
      <c r="IHH301" s="118"/>
      <c r="IHI301" s="118"/>
      <c r="IHJ301" s="118"/>
      <c r="IHK301" s="118"/>
      <c r="IHL301" s="118"/>
      <c r="IHM301" s="118"/>
      <c r="IHN301" s="118"/>
      <c r="IHO301" s="118"/>
      <c r="IHP301" s="118"/>
      <c r="IHQ301" s="118"/>
      <c r="IHR301" s="118"/>
      <c r="IHS301" s="118"/>
      <c r="IHT301" s="118"/>
      <c r="IHU301" s="118"/>
      <c r="IHV301" s="118"/>
      <c r="IHW301" s="118"/>
      <c r="IHX301" s="118"/>
      <c r="IHY301" s="118"/>
      <c r="IHZ301" s="118"/>
      <c r="IIA301" s="118"/>
      <c r="IIB301" s="118"/>
      <c r="IIC301" s="118"/>
      <c r="IID301" s="118"/>
      <c r="IIE301" s="118"/>
      <c r="IIF301" s="118"/>
      <c r="IIG301" s="118"/>
      <c r="IIH301" s="118"/>
      <c r="III301" s="118"/>
      <c r="IIJ301" s="118"/>
      <c r="IIK301" s="118"/>
      <c r="IIL301" s="118"/>
      <c r="IIM301" s="118"/>
      <c r="IIN301" s="118"/>
      <c r="IIO301" s="118"/>
      <c r="IIP301" s="118"/>
      <c r="IIQ301" s="118"/>
      <c r="IIR301" s="118"/>
      <c r="IIS301" s="118"/>
      <c r="IIT301" s="118"/>
      <c r="IIU301" s="118"/>
      <c r="IIV301" s="118"/>
      <c r="IIW301" s="118"/>
      <c r="IIX301" s="118"/>
      <c r="IIY301" s="118"/>
      <c r="IIZ301" s="118"/>
      <c r="IJA301" s="118"/>
      <c r="IJB301" s="118"/>
      <c r="IJC301" s="118"/>
      <c r="IJD301" s="118"/>
      <c r="IJE301" s="118"/>
      <c r="IJF301" s="118"/>
      <c r="IJG301" s="118"/>
      <c r="IJH301" s="118"/>
      <c r="IJI301" s="118"/>
      <c r="IJJ301" s="118"/>
      <c r="IJK301" s="118"/>
      <c r="IJL301" s="118"/>
      <c r="IJM301" s="118"/>
      <c r="IJN301" s="118"/>
      <c r="IJO301" s="118"/>
      <c r="IJP301" s="118"/>
      <c r="IJQ301" s="118"/>
      <c r="IJR301" s="118"/>
      <c r="IJS301" s="118"/>
      <c r="IJT301" s="118"/>
      <c r="IJU301" s="118"/>
      <c r="IJV301" s="118"/>
      <c r="IJW301" s="118"/>
      <c r="IJX301" s="118"/>
      <c r="IJY301" s="118"/>
      <c r="IJZ301" s="118"/>
      <c r="IKA301" s="118"/>
      <c r="IKB301" s="118"/>
      <c r="IKC301" s="118"/>
      <c r="IKD301" s="118"/>
      <c r="IKE301" s="118"/>
      <c r="IKF301" s="118"/>
      <c r="IKG301" s="118"/>
      <c r="IKH301" s="118"/>
      <c r="IKI301" s="118"/>
      <c r="IKJ301" s="118"/>
      <c r="IKK301" s="118"/>
      <c r="IKL301" s="118"/>
      <c r="IKM301" s="118"/>
      <c r="IKN301" s="118"/>
      <c r="IKO301" s="118"/>
      <c r="IKP301" s="118"/>
      <c r="IKQ301" s="118"/>
      <c r="IKR301" s="118"/>
      <c r="IKS301" s="118"/>
      <c r="IKT301" s="118"/>
      <c r="IKU301" s="118"/>
      <c r="IKV301" s="118"/>
      <c r="IKW301" s="118"/>
      <c r="IKX301" s="118"/>
      <c r="IKY301" s="118"/>
      <c r="IKZ301" s="118"/>
      <c r="ILA301" s="118"/>
      <c r="ILB301" s="118"/>
      <c r="ILC301" s="118"/>
      <c r="ILD301" s="118"/>
      <c r="ILE301" s="118"/>
      <c r="ILF301" s="118"/>
      <c r="ILG301" s="118"/>
      <c r="ILH301" s="118"/>
      <c r="ILI301" s="118"/>
      <c r="ILJ301" s="118"/>
      <c r="ILK301" s="118"/>
      <c r="ILL301" s="118"/>
      <c r="ILM301" s="118"/>
      <c r="ILN301" s="118"/>
      <c r="ILO301" s="118"/>
      <c r="ILP301" s="118"/>
      <c r="ILQ301" s="118"/>
      <c r="ILR301" s="118"/>
      <c r="ILS301" s="118"/>
      <c r="ILT301" s="118"/>
      <c r="ILU301" s="118"/>
      <c r="ILV301" s="118"/>
      <c r="ILW301" s="118"/>
      <c r="ILX301" s="118"/>
      <c r="ILY301" s="118"/>
      <c r="ILZ301" s="118"/>
      <c r="IMA301" s="118"/>
      <c r="IMB301" s="118"/>
      <c r="IMC301" s="118"/>
      <c r="IMD301" s="118"/>
      <c r="IME301" s="118"/>
      <c r="IMF301" s="118"/>
      <c r="IMG301" s="118"/>
      <c r="IMH301" s="118"/>
      <c r="IMI301" s="118"/>
      <c r="IMJ301" s="118"/>
      <c r="IMK301" s="118"/>
      <c r="IML301" s="118"/>
      <c r="IMM301" s="118"/>
      <c r="IMN301" s="118"/>
      <c r="IMO301" s="118"/>
      <c r="IMP301" s="118"/>
      <c r="IMQ301" s="118"/>
      <c r="IMR301" s="118"/>
      <c r="IMS301" s="118"/>
      <c r="IMT301" s="118"/>
      <c r="IMU301" s="118"/>
      <c r="IMV301" s="118"/>
      <c r="IMW301" s="118"/>
      <c r="IMX301" s="118"/>
      <c r="IMY301" s="118"/>
      <c r="IMZ301" s="118"/>
      <c r="INA301" s="118"/>
      <c r="INB301" s="118"/>
      <c r="INC301" s="118"/>
      <c r="IND301" s="118"/>
      <c r="INE301" s="118"/>
      <c r="INF301" s="118"/>
      <c r="ING301" s="118"/>
      <c r="INH301" s="118"/>
      <c r="INI301" s="118"/>
      <c r="INJ301" s="118"/>
      <c r="INK301" s="118"/>
      <c r="INL301" s="118"/>
      <c r="INM301" s="118"/>
      <c r="INN301" s="118"/>
      <c r="INO301" s="118"/>
      <c r="INP301" s="118"/>
      <c r="INQ301" s="118"/>
      <c r="INR301" s="118"/>
      <c r="INS301" s="118"/>
      <c r="INT301" s="118"/>
      <c r="INU301" s="118"/>
      <c r="INV301" s="118"/>
      <c r="INW301" s="118"/>
      <c r="INX301" s="118"/>
      <c r="INY301" s="118"/>
      <c r="INZ301" s="118"/>
      <c r="IOA301" s="118"/>
      <c r="IOB301" s="118"/>
      <c r="IOC301" s="118"/>
      <c r="IOD301" s="118"/>
      <c r="IOE301" s="118"/>
      <c r="IOF301" s="118"/>
      <c r="IOG301" s="118"/>
      <c r="IOH301" s="118"/>
      <c r="IOI301" s="118"/>
      <c r="IOJ301" s="118"/>
      <c r="IOK301" s="118"/>
      <c r="IOL301" s="118"/>
      <c r="IOM301" s="118"/>
      <c r="ION301" s="118"/>
      <c r="IOO301" s="118"/>
      <c r="IOP301" s="118"/>
      <c r="IOQ301" s="118"/>
      <c r="IOR301" s="118"/>
      <c r="IOS301" s="118"/>
      <c r="IOT301" s="118"/>
      <c r="IOU301" s="118"/>
      <c r="IOV301" s="118"/>
      <c r="IOW301" s="118"/>
      <c r="IOX301" s="118"/>
      <c r="IOY301" s="118"/>
      <c r="IOZ301" s="118"/>
      <c r="IPA301" s="118"/>
      <c r="IPB301" s="118"/>
      <c r="IPC301" s="118"/>
      <c r="IPD301" s="118"/>
      <c r="IPE301" s="118"/>
      <c r="IPF301" s="118"/>
      <c r="IPG301" s="118"/>
      <c r="IPH301" s="118"/>
      <c r="IPI301" s="118"/>
      <c r="IPJ301" s="118"/>
      <c r="IPK301" s="118"/>
      <c r="IPL301" s="118"/>
      <c r="IPM301" s="118"/>
      <c r="IPN301" s="118"/>
      <c r="IPO301" s="118"/>
      <c r="IPP301" s="118"/>
      <c r="IPQ301" s="118"/>
      <c r="IPR301" s="118"/>
      <c r="IPS301" s="118"/>
      <c r="IPT301" s="118"/>
      <c r="IPU301" s="118"/>
      <c r="IPV301" s="118"/>
      <c r="IPW301" s="118"/>
      <c r="IPX301" s="118"/>
      <c r="IPY301" s="118"/>
      <c r="IPZ301" s="118"/>
      <c r="IQA301" s="118"/>
      <c r="IQB301" s="118"/>
      <c r="IQC301" s="118"/>
      <c r="IQD301" s="118"/>
      <c r="IQE301" s="118"/>
      <c r="IQF301" s="118"/>
      <c r="IQG301" s="118"/>
      <c r="IQH301" s="118"/>
      <c r="IQI301" s="118"/>
      <c r="IQJ301" s="118"/>
      <c r="IQK301" s="118"/>
      <c r="IQL301" s="118"/>
      <c r="IQM301" s="118"/>
      <c r="IQN301" s="118"/>
      <c r="IQO301" s="118"/>
      <c r="IQP301" s="118"/>
      <c r="IQQ301" s="118"/>
      <c r="IQR301" s="118"/>
      <c r="IQS301" s="118"/>
      <c r="IQT301" s="118"/>
      <c r="IQU301" s="118"/>
      <c r="IQV301" s="118"/>
      <c r="IQW301" s="118"/>
      <c r="IQX301" s="118"/>
      <c r="IQY301" s="118"/>
      <c r="IQZ301" s="118"/>
      <c r="IRA301" s="118"/>
      <c r="IRB301" s="118"/>
      <c r="IRC301" s="118"/>
      <c r="IRD301" s="118"/>
      <c r="IRE301" s="118"/>
      <c r="IRF301" s="118"/>
      <c r="IRG301" s="118"/>
      <c r="IRH301" s="118"/>
      <c r="IRI301" s="118"/>
      <c r="IRJ301" s="118"/>
      <c r="IRK301" s="118"/>
      <c r="IRL301" s="118"/>
      <c r="IRM301" s="118"/>
      <c r="IRN301" s="118"/>
      <c r="IRO301" s="118"/>
      <c r="IRP301" s="118"/>
      <c r="IRQ301" s="118"/>
      <c r="IRR301" s="118"/>
      <c r="IRS301" s="118"/>
      <c r="IRT301" s="118"/>
      <c r="IRU301" s="118"/>
      <c r="IRV301" s="118"/>
      <c r="IRW301" s="118"/>
      <c r="IRX301" s="118"/>
      <c r="IRY301" s="118"/>
      <c r="IRZ301" s="118"/>
      <c r="ISA301" s="118"/>
      <c r="ISB301" s="118"/>
      <c r="ISC301" s="118"/>
      <c r="ISD301" s="118"/>
      <c r="ISE301" s="118"/>
      <c r="ISF301" s="118"/>
      <c r="ISG301" s="118"/>
      <c r="ISH301" s="118"/>
      <c r="ISI301" s="118"/>
      <c r="ISJ301" s="118"/>
      <c r="ISK301" s="118"/>
      <c r="ISL301" s="118"/>
      <c r="ISM301" s="118"/>
      <c r="ISN301" s="118"/>
      <c r="ISO301" s="118"/>
      <c r="ISP301" s="118"/>
      <c r="ISQ301" s="118"/>
      <c r="ISR301" s="118"/>
      <c r="ISS301" s="118"/>
      <c r="IST301" s="118"/>
      <c r="ISU301" s="118"/>
      <c r="ISV301" s="118"/>
      <c r="ISW301" s="118"/>
      <c r="ISX301" s="118"/>
      <c r="ISY301" s="118"/>
      <c r="ISZ301" s="118"/>
      <c r="ITA301" s="118"/>
      <c r="ITB301" s="118"/>
      <c r="ITC301" s="118"/>
      <c r="ITD301" s="118"/>
      <c r="ITE301" s="118"/>
      <c r="ITF301" s="118"/>
      <c r="ITG301" s="118"/>
      <c r="ITH301" s="118"/>
      <c r="ITI301" s="118"/>
      <c r="ITJ301" s="118"/>
      <c r="ITK301" s="118"/>
      <c r="ITL301" s="118"/>
      <c r="ITM301" s="118"/>
      <c r="ITN301" s="118"/>
      <c r="ITO301" s="118"/>
      <c r="ITP301" s="118"/>
      <c r="ITQ301" s="118"/>
      <c r="ITR301" s="118"/>
      <c r="ITS301" s="118"/>
      <c r="ITT301" s="118"/>
      <c r="ITU301" s="118"/>
      <c r="ITV301" s="118"/>
      <c r="ITW301" s="118"/>
      <c r="ITX301" s="118"/>
      <c r="ITY301" s="118"/>
      <c r="ITZ301" s="118"/>
      <c r="IUA301" s="118"/>
      <c r="IUB301" s="118"/>
      <c r="IUC301" s="118"/>
      <c r="IUD301" s="118"/>
      <c r="IUE301" s="118"/>
      <c r="IUF301" s="118"/>
      <c r="IUG301" s="118"/>
      <c r="IUH301" s="118"/>
      <c r="IUI301" s="118"/>
      <c r="IUJ301" s="118"/>
      <c r="IUK301" s="118"/>
      <c r="IUL301" s="118"/>
      <c r="IUM301" s="118"/>
      <c r="IUN301" s="118"/>
      <c r="IUO301" s="118"/>
      <c r="IUP301" s="118"/>
      <c r="IUQ301" s="118"/>
      <c r="IUR301" s="118"/>
      <c r="IUS301" s="118"/>
      <c r="IUT301" s="118"/>
      <c r="IUU301" s="118"/>
      <c r="IUV301" s="118"/>
      <c r="IUW301" s="118"/>
      <c r="IUX301" s="118"/>
      <c r="IUY301" s="118"/>
      <c r="IUZ301" s="118"/>
      <c r="IVA301" s="118"/>
      <c r="IVB301" s="118"/>
      <c r="IVC301" s="118"/>
      <c r="IVD301" s="118"/>
      <c r="IVE301" s="118"/>
      <c r="IVF301" s="118"/>
      <c r="IVG301" s="118"/>
      <c r="IVH301" s="118"/>
      <c r="IVI301" s="118"/>
      <c r="IVJ301" s="118"/>
      <c r="IVK301" s="118"/>
      <c r="IVL301" s="118"/>
      <c r="IVM301" s="118"/>
      <c r="IVN301" s="118"/>
      <c r="IVO301" s="118"/>
      <c r="IVP301" s="118"/>
      <c r="IVQ301" s="118"/>
      <c r="IVR301" s="118"/>
      <c r="IVS301" s="118"/>
      <c r="IVT301" s="118"/>
      <c r="IVU301" s="118"/>
      <c r="IVV301" s="118"/>
      <c r="IVW301" s="118"/>
      <c r="IVX301" s="118"/>
      <c r="IVY301" s="118"/>
      <c r="IVZ301" s="118"/>
      <c r="IWA301" s="118"/>
      <c r="IWB301" s="118"/>
      <c r="IWC301" s="118"/>
      <c r="IWD301" s="118"/>
      <c r="IWE301" s="118"/>
      <c r="IWF301" s="118"/>
      <c r="IWG301" s="118"/>
      <c r="IWH301" s="118"/>
      <c r="IWI301" s="118"/>
      <c r="IWJ301" s="118"/>
      <c r="IWK301" s="118"/>
      <c r="IWL301" s="118"/>
      <c r="IWM301" s="118"/>
      <c r="IWN301" s="118"/>
      <c r="IWO301" s="118"/>
      <c r="IWP301" s="118"/>
      <c r="IWQ301" s="118"/>
      <c r="IWR301" s="118"/>
      <c r="IWS301" s="118"/>
      <c r="IWT301" s="118"/>
      <c r="IWU301" s="118"/>
      <c r="IWV301" s="118"/>
      <c r="IWW301" s="118"/>
      <c r="IWX301" s="118"/>
      <c r="IWY301" s="118"/>
      <c r="IWZ301" s="118"/>
      <c r="IXA301" s="118"/>
      <c r="IXB301" s="118"/>
      <c r="IXC301" s="118"/>
      <c r="IXD301" s="118"/>
      <c r="IXE301" s="118"/>
      <c r="IXF301" s="118"/>
      <c r="IXG301" s="118"/>
      <c r="IXH301" s="118"/>
      <c r="IXI301" s="118"/>
      <c r="IXJ301" s="118"/>
      <c r="IXK301" s="118"/>
      <c r="IXL301" s="118"/>
      <c r="IXM301" s="118"/>
      <c r="IXN301" s="118"/>
      <c r="IXO301" s="118"/>
      <c r="IXP301" s="118"/>
      <c r="IXQ301" s="118"/>
      <c r="IXR301" s="118"/>
      <c r="IXS301" s="118"/>
      <c r="IXT301" s="118"/>
      <c r="IXU301" s="118"/>
      <c r="IXV301" s="118"/>
      <c r="IXW301" s="118"/>
      <c r="IXX301" s="118"/>
      <c r="IXY301" s="118"/>
      <c r="IXZ301" s="118"/>
      <c r="IYA301" s="118"/>
      <c r="IYB301" s="118"/>
      <c r="IYC301" s="118"/>
      <c r="IYD301" s="118"/>
      <c r="IYE301" s="118"/>
      <c r="IYF301" s="118"/>
      <c r="IYG301" s="118"/>
      <c r="IYH301" s="118"/>
      <c r="IYI301" s="118"/>
      <c r="IYJ301" s="118"/>
      <c r="IYK301" s="118"/>
      <c r="IYL301" s="118"/>
      <c r="IYM301" s="118"/>
      <c r="IYN301" s="118"/>
      <c r="IYO301" s="118"/>
      <c r="IYP301" s="118"/>
      <c r="IYQ301" s="118"/>
      <c r="IYR301" s="118"/>
      <c r="IYS301" s="118"/>
      <c r="IYT301" s="118"/>
      <c r="IYU301" s="118"/>
      <c r="IYV301" s="118"/>
      <c r="IYW301" s="118"/>
      <c r="IYX301" s="118"/>
      <c r="IYY301" s="118"/>
      <c r="IYZ301" s="118"/>
      <c r="IZA301" s="118"/>
      <c r="IZB301" s="118"/>
      <c r="IZC301" s="118"/>
      <c r="IZD301" s="118"/>
      <c r="IZE301" s="118"/>
      <c r="IZF301" s="118"/>
      <c r="IZG301" s="118"/>
      <c r="IZH301" s="118"/>
      <c r="IZI301" s="118"/>
      <c r="IZJ301" s="118"/>
      <c r="IZK301" s="118"/>
      <c r="IZL301" s="118"/>
      <c r="IZM301" s="118"/>
      <c r="IZN301" s="118"/>
      <c r="IZO301" s="118"/>
      <c r="IZP301" s="118"/>
      <c r="IZQ301" s="118"/>
      <c r="IZR301" s="118"/>
      <c r="IZS301" s="118"/>
      <c r="IZT301" s="118"/>
      <c r="IZU301" s="118"/>
      <c r="IZV301" s="118"/>
      <c r="IZW301" s="118"/>
      <c r="IZX301" s="118"/>
      <c r="IZY301" s="118"/>
      <c r="IZZ301" s="118"/>
      <c r="JAA301" s="118"/>
      <c r="JAB301" s="118"/>
      <c r="JAC301" s="118"/>
      <c r="JAD301" s="118"/>
      <c r="JAE301" s="118"/>
      <c r="JAF301" s="118"/>
      <c r="JAG301" s="118"/>
      <c r="JAH301" s="118"/>
      <c r="JAI301" s="118"/>
      <c r="JAJ301" s="118"/>
      <c r="JAK301" s="118"/>
      <c r="JAL301" s="118"/>
      <c r="JAM301" s="118"/>
      <c r="JAN301" s="118"/>
      <c r="JAO301" s="118"/>
      <c r="JAP301" s="118"/>
      <c r="JAQ301" s="118"/>
      <c r="JAR301" s="118"/>
      <c r="JAS301" s="118"/>
      <c r="JAT301" s="118"/>
      <c r="JAU301" s="118"/>
      <c r="JAV301" s="118"/>
      <c r="JAW301" s="118"/>
      <c r="JAX301" s="118"/>
      <c r="JAY301" s="118"/>
      <c r="JAZ301" s="118"/>
      <c r="JBA301" s="118"/>
      <c r="JBB301" s="118"/>
      <c r="JBC301" s="118"/>
      <c r="JBD301" s="118"/>
      <c r="JBE301" s="118"/>
      <c r="JBF301" s="118"/>
      <c r="JBG301" s="118"/>
      <c r="JBH301" s="118"/>
      <c r="JBI301" s="118"/>
      <c r="JBJ301" s="118"/>
      <c r="JBK301" s="118"/>
      <c r="JBL301" s="118"/>
      <c r="JBM301" s="118"/>
      <c r="JBN301" s="118"/>
      <c r="JBO301" s="118"/>
      <c r="JBP301" s="118"/>
      <c r="JBQ301" s="118"/>
      <c r="JBR301" s="118"/>
      <c r="JBS301" s="118"/>
      <c r="JBT301" s="118"/>
      <c r="JBU301" s="118"/>
      <c r="JBV301" s="118"/>
      <c r="JBW301" s="118"/>
      <c r="JBX301" s="118"/>
      <c r="JBY301" s="118"/>
      <c r="JBZ301" s="118"/>
      <c r="JCA301" s="118"/>
      <c r="JCB301" s="118"/>
      <c r="JCC301" s="118"/>
      <c r="JCD301" s="118"/>
      <c r="JCE301" s="118"/>
      <c r="JCF301" s="118"/>
      <c r="JCG301" s="118"/>
      <c r="JCH301" s="118"/>
      <c r="JCI301" s="118"/>
      <c r="JCJ301" s="118"/>
      <c r="JCK301" s="118"/>
      <c r="JCL301" s="118"/>
      <c r="JCM301" s="118"/>
      <c r="JCN301" s="118"/>
      <c r="JCO301" s="118"/>
      <c r="JCP301" s="118"/>
      <c r="JCQ301" s="118"/>
      <c r="JCR301" s="118"/>
      <c r="JCS301" s="118"/>
      <c r="JCT301" s="118"/>
      <c r="JCU301" s="118"/>
      <c r="JCV301" s="118"/>
      <c r="JCW301" s="118"/>
      <c r="JCX301" s="118"/>
      <c r="JCY301" s="118"/>
      <c r="JCZ301" s="118"/>
      <c r="JDA301" s="118"/>
      <c r="JDB301" s="118"/>
      <c r="JDC301" s="118"/>
      <c r="JDD301" s="118"/>
      <c r="JDE301" s="118"/>
      <c r="JDF301" s="118"/>
      <c r="JDG301" s="118"/>
      <c r="JDH301" s="118"/>
      <c r="JDI301" s="118"/>
      <c r="JDJ301" s="118"/>
      <c r="JDK301" s="118"/>
      <c r="JDL301" s="118"/>
      <c r="JDM301" s="118"/>
      <c r="JDN301" s="118"/>
      <c r="JDO301" s="118"/>
      <c r="JDP301" s="118"/>
      <c r="JDQ301" s="118"/>
      <c r="JDR301" s="118"/>
      <c r="JDS301" s="118"/>
      <c r="JDT301" s="118"/>
      <c r="JDU301" s="118"/>
      <c r="JDV301" s="118"/>
      <c r="JDW301" s="118"/>
      <c r="JDX301" s="118"/>
      <c r="JDY301" s="118"/>
      <c r="JDZ301" s="118"/>
      <c r="JEA301" s="118"/>
      <c r="JEB301" s="118"/>
      <c r="JEC301" s="118"/>
      <c r="JED301" s="118"/>
      <c r="JEE301" s="118"/>
      <c r="JEF301" s="118"/>
      <c r="JEG301" s="118"/>
      <c r="JEH301" s="118"/>
      <c r="JEI301" s="118"/>
      <c r="JEJ301" s="118"/>
      <c r="JEK301" s="118"/>
      <c r="JEL301" s="118"/>
      <c r="JEM301" s="118"/>
      <c r="JEN301" s="118"/>
      <c r="JEO301" s="118"/>
      <c r="JEP301" s="118"/>
      <c r="JEQ301" s="118"/>
      <c r="JER301" s="118"/>
      <c r="JES301" s="118"/>
      <c r="JET301" s="118"/>
      <c r="JEU301" s="118"/>
      <c r="JEV301" s="118"/>
      <c r="JEW301" s="118"/>
      <c r="JEX301" s="118"/>
      <c r="JEY301" s="118"/>
      <c r="JEZ301" s="118"/>
      <c r="JFA301" s="118"/>
      <c r="JFB301" s="118"/>
      <c r="JFC301" s="118"/>
      <c r="JFD301" s="118"/>
      <c r="JFE301" s="118"/>
      <c r="JFF301" s="118"/>
      <c r="JFG301" s="118"/>
      <c r="JFH301" s="118"/>
      <c r="JFI301" s="118"/>
      <c r="JFJ301" s="118"/>
      <c r="JFK301" s="118"/>
      <c r="JFL301" s="118"/>
      <c r="JFM301" s="118"/>
      <c r="JFN301" s="118"/>
      <c r="JFO301" s="118"/>
      <c r="JFP301" s="118"/>
      <c r="JFQ301" s="118"/>
      <c r="JFR301" s="118"/>
      <c r="JFS301" s="118"/>
      <c r="JFT301" s="118"/>
      <c r="JFU301" s="118"/>
      <c r="JFV301" s="118"/>
      <c r="JFW301" s="118"/>
      <c r="JFX301" s="118"/>
      <c r="JFY301" s="118"/>
      <c r="JFZ301" s="118"/>
      <c r="JGA301" s="118"/>
      <c r="JGB301" s="118"/>
      <c r="JGC301" s="118"/>
      <c r="JGD301" s="118"/>
      <c r="JGE301" s="118"/>
      <c r="JGF301" s="118"/>
      <c r="JGG301" s="118"/>
      <c r="JGH301" s="118"/>
      <c r="JGI301" s="118"/>
      <c r="JGJ301" s="118"/>
      <c r="JGK301" s="118"/>
      <c r="JGL301" s="118"/>
      <c r="JGM301" s="118"/>
      <c r="JGN301" s="118"/>
      <c r="JGO301" s="118"/>
      <c r="JGP301" s="118"/>
      <c r="JGQ301" s="118"/>
      <c r="JGR301" s="118"/>
      <c r="JGS301" s="118"/>
      <c r="JGT301" s="118"/>
      <c r="JGU301" s="118"/>
      <c r="JGV301" s="118"/>
      <c r="JGW301" s="118"/>
      <c r="JGX301" s="118"/>
      <c r="JGY301" s="118"/>
      <c r="JGZ301" s="118"/>
      <c r="JHA301" s="118"/>
      <c r="JHB301" s="118"/>
      <c r="JHC301" s="118"/>
      <c r="JHD301" s="118"/>
      <c r="JHE301" s="118"/>
      <c r="JHF301" s="118"/>
      <c r="JHG301" s="118"/>
      <c r="JHH301" s="118"/>
      <c r="JHI301" s="118"/>
      <c r="JHJ301" s="118"/>
      <c r="JHK301" s="118"/>
      <c r="JHL301" s="118"/>
      <c r="JHM301" s="118"/>
      <c r="JHN301" s="118"/>
      <c r="JHO301" s="118"/>
      <c r="JHP301" s="118"/>
      <c r="JHQ301" s="118"/>
      <c r="JHR301" s="118"/>
      <c r="JHS301" s="118"/>
      <c r="JHT301" s="118"/>
      <c r="JHU301" s="118"/>
      <c r="JHV301" s="118"/>
      <c r="JHW301" s="118"/>
      <c r="JHX301" s="118"/>
      <c r="JHY301" s="118"/>
      <c r="JHZ301" s="118"/>
      <c r="JIA301" s="118"/>
      <c r="JIB301" s="118"/>
      <c r="JIC301" s="118"/>
      <c r="JID301" s="118"/>
      <c r="JIE301" s="118"/>
      <c r="JIF301" s="118"/>
      <c r="JIG301" s="118"/>
      <c r="JIH301" s="118"/>
      <c r="JII301" s="118"/>
      <c r="JIJ301" s="118"/>
      <c r="JIK301" s="118"/>
      <c r="JIL301" s="118"/>
      <c r="JIM301" s="118"/>
      <c r="JIN301" s="118"/>
      <c r="JIO301" s="118"/>
      <c r="JIP301" s="118"/>
      <c r="JIQ301" s="118"/>
      <c r="JIR301" s="118"/>
      <c r="JIS301" s="118"/>
      <c r="JIT301" s="118"/>
      <c r="JIU301" s="118"/>
      <c r="JIV301" s="118"/>
      <c r="JIW301" s="118"/>
      <c r="JIX301" s="118"/>
      <c r="JIY301" s="118"/>
      <c r="JIZ301" s="118"/>
      <c r="JJA301" s="118"/>
      <c r="JJB301" s="118"/>
      <c r="JJC301" s="118"/>
      <c r="JJD301" s="118"/>
      <c r="JJE301" s="118"/>
      <c r="JJF301" s="118"/>
      <c r="JJG301" s="118"/>
      <c r="JJH301" s="118"/>
      <c r="JJI301" s="118"/>
      <c r="JJJ301" s="118"/>
      <c r="JJK301" s="118"/>
      <c r="JJL301" s="118"/>
      <c r="JJM301" s="118"/>
      <c r="JJN301" s="118"/>
      <c r="JJO301" s="118"/>
      <c r="JJP301" s="118"/>
      <c r="JJQ301" s="118"/>
      <c r="JJR301" s="118"/>
      <c r="JJS301" s="118"/>
      <c r="JJT301" s="118"/>
      <c r="JJU301" s="118"/>
      <c r="JJV301" s="118"/>
      <c r="JJW301" s="118"/>
      <c r="JJX301" s="118"/>
      <c r="JJY301" s="118"/>
      <c r="JJZ301" s="118"/>
      <c r="JKA301" s="118"/>
      <c r="JKB301" s="118"/>
      <c r="JKC301" s="118"/>
      <c r="JKD301" s="118"/>
      <c r="JKE301" s="118"/>
      <c r="JKF301" s="118"/>
      <c r="JKG301" s="118"/>
      <c r="JKH301" s="118"/>
      <c r="JKI301" s="118"/>
      <c r="JKJ301" s="118"/>
      <c r="JKK301" s="118"/>
      <c r="JKL301" s="118"/>
      <c r="JKM301" s="118"/>
      <c r="JKN301" s="118"/>
      <c r="JKO301" s="118"/>
      <c r="JKP301" s="118"/>
      <c r="JKQ301" s="118"/>
      <c r="JKR301" s="118"/>
      <c r="JKS301" s="118"/>
      <c r="JKT301" s="118"/>
      <c r="JKU301" s="118"/>
      <c r="JKV301" s="118"/>
      <c r="JKW301" s="118"/>
      <c r="JKX301" s="118"/>
      <c r="JKY301" s="118"/>
      <c r="JKZ301" s="118"/>
      <c r="JLA301" s="118"/>
      <c r="JLB301" s="118"/>
      <c r="JLC301" s="118"/>
      <c r="JLD301" s="118"/>
      <c r="JLE301" s="118"/>
      <c r="JLF301" s="118"/>
      <c r="JLG301" s="118"/>
      <c r="JLH301" s="118"/>
      <c r="JLI301" s="118"/>
      <c r="JLJ301" s="118"/>
      <c r="JLK301" s="118"/>
      <c r="JLL301" s="118"/>
      <c r="JLM301" s="118"/>
      <c r="JLN301" s="118"/>
      <c r="JLO301" s="118"/>
      <c r="JLP301" s="118"/>
      <c r="JLQ301" s="118"/>
      <c r="JLR301" s="118"/>
      <c r="JLS301" s="118"/>
      <c r="JLT301" s="118"/>
      <c r="JLU301" s="118"/>
      <c r="JLV301" s="118"/>
      <c r="JLW301" s="118"/>
      <c r="JLX301" s="118"/>
      <c r="JLY301" s="118"/>
      <c r="JLZ301" s="118"/>
      <c r="JMA301" s="118"/>
      <c r="JMB301" s="118"/>
      <c r="JMC301" s="118"/>
      <c r="JMD301" s="118"/>
      <c r="JME301" s="118"/>
      <c r="JMF301" s="118"/>
      <c r="JMG301" s="118"/>
      <c r="JMH301" s="118"/>
      <c r="JMI301" s="118"/>
      <c r="JMJ301" s="118"/>
      <c r="JMK301" s="118"/>
      <c r="JML301" s="118"/>
      <c r="JMM301" s="118"/>
      <c r="JMN301" s="118"/>
      <c r="JMO301" s="118"/>
      <c r="JMP301" s="118"/>
      <c r="JMQ301" s="118"/>
      <c r="JMR301" s="118"/>
      <c r="JMS301" s="118"/>
      <c r="JMT301" s="118"/>
      <c r="JMU301" s="118"/>
      <c r="JMV301" s="118"/>
      <c r="JMW301" s="118"/>
      <c r="JMX301" s="118"/>
      <c r="JMY301" s="118"/>
      <c r="JMZ301" s="118"/>
      <c r="JNA301" s="118"/>
      <c r="JNB301" s="118"/>
      <c r="JNC301" s="118"/>
      <c r="JND301" s="118"/>
      <c r="JNE301" s="118"/>
      <c r="JNF301" s="118"/>
      <c r="JNG301" s="118"/>
      <c r="JNH301" s="118"/>
      <c r="JNI301" s="118"/>
      <c r="JNJ301" s="118"/>
      <c r="JNK301" s="118"/>
      <c r="JNL301" s="118"/>
      <c r="JNM301" s="118"/>
      <c r="JNN301" s="118"/>
      <c r="JNO301" s="118"/>
      <c r="JNP301" s="118"/>
      <c r="JNQ301" s="118"/>
      <c r="JNR301" s="118"/>
      <c r="JNS301" s="118"/>
      <c r="JNT301" s="118"/>
      <c r="JNU301" s="118"/>
      <c r="JNV301" s="118"/>
      <c r="JNW301" s="118"/>
      <c r="JNX301" s="118"/>
      <c r="JNY301" s="118"/>
      <c r="JNZ301" s="118"/>
      <c r="JOA301" s="118"/>
      <c r="JOB301" s="118"/>
      <c r="JOC301" s="118"/>
      <c r="JOD301" s="118"/>
      <c r="JOE301" s="118"/>
      <c r="JOF301" s="118"/>
      <c r="JOG301" s="118"/>
      <c r="JOH301" s="118"/>
      <c r="JOI301" s="118"/>
      <c r="JOJ301" s="118"/>
      <c r="JOK301" s="118"/>
      <c r="JOL301" s="118"/>
      <c r="JOM301" s="118"/>
      <c r="JON301" s="118"/>
      <c r="JOO301" s="118"/>
      <c r="JOP301" s="118"/>
      <c r="JOQ301" s="118"/>
      <c r="JOR301" s="118"/>
      <c r="JOS301" s="118"/>
      <c r="JOT301" s="118"/>
      <c r="JOU301" s="118"/>
      <c r="JOV301" s="118"/>
      <c r="JOW301" s="118"/>
      <c r="JOX301" s="118"/>
      <c r="JOY301" s="118"/>
      <c r="JOZ301" s="118"/>
      <c r="JPA301" s="118"/>
      <c r="JPB301" s="118"/>
      <c r="JPC301" s="118"/>
      <c r="JPD301" s="118"/>
      <c r="JPE301" s="118"/>
      <c r="JPF301" s="118"/>
      <c r="JPG301" s="118"/>
      <c r="JPH301" s="118"/>
      <c r="JPI301" s="118"/>
      <c r="JPJ301" s="118"/>
      <c r="JPK301" s="118"/>
      <c r="JPL301" s="118"/>
      <c r="JPM301" s="118"/>
      <c r="JPN301" s="118"/>
      <c r="JPO301" s="118"/>
      <c r="JPP301" s="118"/>
      <c r="JPQ301" s="118"/>
      <c r="JPR301" s="118"/>
      <c r="JPS301" s="118"/>
      <c r="JPT301" s="118"/>
      <c r="JPU301" s="118"/>
      <c r="JPV301" s="118"/>
      <c r="JPW301" s="118"/>
      <c r="JPX301" s="118"/>
      <c r="JPY301" s="118"/>
      <c r="JPZ301" s="118"/>
      <c r="JQA301" s="118"/>
      <c r="JQB301" s="118"/>
      <c r="JQC301" s="118"/>
      <c r="JQD301" s="118"/>
      <c r="JQE301" s="118"/>
      <c r="JQF301" s="118"/>
      <c r="JQG301" s="118"/>
      <c r="JQH301" s="118"/>
      <c r="JQI301" s="118"/>
      <c r="JQJ301" s="118"/>
      <c r="JQK301" s="118"/>
      <c r="JQL301" s="118"/>
      <c r="JQM301" s="118"/>
      <c r="JQN301" s="118"/>
      <c r="JQO301" s="118"/>
      <c r="JQP301" s="118"/>
      <c r="JQQ301" s="118"/>
      <c r="JQR301" s="118"/>
      <c r="JQS301" s="118"/>
      <c r="JQT301" s="118"/>
      <c r="JQU301" s="118"/>
      <c r="JQV301" s="118"/>
      <c r="JQW301" s="118"/>
      <c r="JQX301" s="118"/>
      <c r="JQY301" s="118"/>
      <c r="JQZ301" s="118"/>
      <c r="JRA301" s="118"/>
      <c r="JRB301" s="118"/>
      <c r="JRC301" s="118"/>
      <c r="JRD301" s="118"/>
      <c r="JRE301" s="118"/>
      <c r="JRF301" s="118"/>
      <c r="JRG301" s="118"/>
      <c r="JRH301" s="118"/>
      <c r="JRI301" s="118"/>
      <c r="JRJ301" s="118"/>
      <c r="JRK301" s="118"/>
      <c r="JRL301" s="118"/>
      <c r="JRM301" s="118"/>
      <c r="JRN301" s="118"/>
      <c r="JRO301" s="118"/>
      <c r="JRP301" s="118"/>
      <c r="JRQ301" s="118"/>
      <c r="JRR301" s="118"/>
      <c r="JRS301" s="118"/>
      <c r="JRT301" s="118"/>
      <c r="JRU301" s="118"/>
      <c r="JRV301" s="118"/>
      <c r="JRW301" s="118"/>
      <c r="JRX301" s="118"/>
      <c r="JRY301" s="118"/>
      <c r="JRZ301" s="118"/>
      <c r="JSA301" s="118"/>
      <c r="JSB301" s="118"/>
      <c r="JSC301" s="118"/>
      <c r="JSD301" s="118"/>
      <c r="JSE301" s="118"/>
      <c r="JSF301" s="118"/>
      <c r="JSG301" s="118"/>
      <c r="JSH301" s="118"/>
      <c r="JSI301" s="118"/>
      <c r="JSJ301" s="118"/>
      <c r="JSK301" s="118"/>
      <c r="JSL301" s="118"/>
      <c r="JSM301" s="118"/>
      <c r="JSN301" s="118"/>
      <c r="JSO301" s="118"/>
      <c r="JSP301" s="118"/>
      <c r="JSQ301" s="118"/>
      <c r="JSR301" s="118"/>
      <c r="JSS301" s="118"/>
      <c r="JST301" s="118"/>
      <c r="JSU301" s="118"/>
      <c r="JSV301" s="118"/>
      <c r="JSW301" s="118"/>
      <c r="JSX301" s="118"/>
      <c r="JSY301" s="118"/>
      <c r="JSZ301" s="118"/>
      <c r="JTA301" s="118"/>
      <c r="JTB301" s="118"/>
      <c r="JTC301" s="118"/>
      <c r="JTD301" s="118"/>
      <c r="JTE301" s="118"/>
      <c r="JTF301" s="118"/>
      <c r="JTG301" s="118"/>
      <c r="JTH301" s="118"/>
      <c r="JTI301" s="118"/>
      <c r="JTJ301" s="118"/>
      <c r="JTK301" s="118"/>
      <c r="JTL301" s="118"/>
      <c r="JTM301" s="118"/>
      <c r="JTN301" s="118"/>
      <c r="JTO301" s="118"/>
      <c r="JTP301" s="118"/>
      <c r="JTQ301" s="118"/>
      <c r="JTR301" s="118"/>
      <c r="JTS301" s="118"/>
      <c r="JTT301" s="118"/>
      <c r="JTU301" s="118"/>
      <c r="JTV301" s="118"/>
      <c r="JTW301" s="118"/>
      <c r="JTX301" s="118"/>
      <c r="JTY301" s="118"/>
      <c r="JTZ301" s="118"/>
      <c r="JUA301" s="118"/>
      <c r="JUB301" s="118"/>
      <c r="JUC301" s="118"/>
      <c r="JUD301" s="118"/>
      <c r="JUE301" s="118"/>
      <c r="JUF301" s="118"/>
      <c r="JUG301" s="118"/>
      <c r="JUH301" s="118"/>
      <c r="JUI301" s="118"/>
      <c r="JUJ301" s="118"/>
      <c r="JUK301" s="118"/>
      <c r="JUL301" s="118"/>
      <c r="JUM301" s="118"/>
      <c r="JUN301" s="118"/>
      <c r="JUO301" s="118"/>
      <c r="JUP301" s="118"/>
      <c r="JUQ301" s="118"/>
      <c r="JUR301" s="118"/>
      <c r="JUS301" s="118"/>
      <c r="JUT301" s="118"/>
      <c r="JUU301" s="118"/>
      <c r="JUV301" s="118"/>
      <c r="JUW301" s="118"/>
      <c r="JUX301" s="118"/>
      <c r="JUY301" s="118"/>
      <c r="JUZ301" s="118"/>
      <c r="JVA301" s="118"/>
      <c r="JVB301" s="118"/>
      <c r="JVC301" s="118"/>
      <c r="JVD301" s="118"/>
      <c r="JVE301" s="118"/>
      <c r="JVF301" s="118"/>
      <c r="JVG301" s="118"/>
      <c r="JVH301" s="118"/>
      <c r="JVI301" s="118"/>
      <c r="JVJ301" s="118"/>
      <c r="JVK301" s="118"/>
      <c r="JVL301" s="118"/>
      <c r="JVM301" s="118"/>
      <c r="JVN301" s="118"/>
      <c r="JVO301" s="118"/>
      <c r="JVP301" s="118"/>
      <c r="JVQ301" s="118"/>
      <c r="JVR301" s="118"/>
      <c r="JVS301" s="118"/>
      <c r="JVT301" s="118"/>
      <c r="JVU301" s="118"/>
      <c r="JVV301" s="118"/>
      <c r="JVW301" s="118"/>
      <c r="JVX301" s="118"/>
      <c r="JVY301" s="118"/>
      <c r="JVZ301" s="118"/>
      <c r="JWA301" s="118"/>
      <c r="JWB301" s="118"/>
      <c r="JWC301" s="118"/>
      <c r="JWD301" s="118"/>
      <c r="JWE301" s="118"/>
      <c r="JWF301" s="118"/>
      <c r="JWG301" s="118"/>
      <c r="JWH301" s="118"/>
      <c r="JWI301" s="118"/>
      <c r="JWJ301" s="118"/>
      <c r="JWK301" s="118"/>
      <c r="JWL301" s="118"/>
      <c r="JWM301" s="118"/>
      <c r="JWN301" s="118"/>
      <c r="JWO301" s="118"/>
      <c r="JWP301" s="118"/>
      <c r="JWQ301" s="118"/>
      <c r="JWR301" s="118"/>
      <c r="JWS301" s="118"/>
      <c r="JWT301" s="118"/>
      <c r="JWU301" s="118"/>
      <c r="JWV301" s="118"/>
      <c r="JWW301" s="118"/>
      <c r="JWX301" s="118"/>
      <c r="JWY301" s="118"/>
      <c r="JWZ301" s="118"/>
      <c r="JXA301" s="118"/>
      <c r="JXB301" s="118"/>
      <c r="JXC301" s="118"/>
      <c r="JXD301" s="118"/>
      <c r="JXE301" s="118"/>
      <c r="JXF301" s="118"/>
      <c r="JXG301" s="118"/>
      <c r="JXH301" s="118"/>
      <c r="JXI301" s="118"/>
      <c r="JXJ301" s="118"/>
      <c r="JXK301" s="118"/>
      <c r="JXL301" s="118"/>
      <c r="JXM301" s="118"/>
      <c r="JXN301" s="118"/>
      <c r="JXO301" s="118"/>
      <c r="JXP301" s="118"/>
      <c r="JXQ301" s="118"/>
      <c r="JXR301" s="118"/>
      <c r="JXS301" s="118"/>
      <c r="JXT301" s="118"/>
      <c r="JXU301" s="118"/>
      <c r="JXV301" s="118"/>
      <c r="JXW301" s="118"/>
      <c r="JXX301" s="118"/>
      <c r="JXY301" s="118"/>
      <c r="JXZ301" s="118"/>
      <c r="JYA301" s="118"/>
      <c r="JYB301" s="118"/>
      <c r="JYC301" s="118"/>
      <c r="JYD301" s="118"/>
      <c r="JYE301" s="118"/>
      <c r="JYF301" s="118"/>
      <c r="JYG301" s="118"/>
      <c r="JYH301" s="118"/>
      <c r="JYI301" s="118"/>
      <c r="JYJ301" s="118"/>
      <c r="JYK301" s="118"/>
      <c r="JYL301" s="118"/>
      <c r="JYM301" s="118"/>
      <c r="JYN301" s="118"/>
      <c r="JYO301" s="118"/>
      <c r="JYP301" s="118"/>
      <c r="JYQ301" s="118"/>
      <c r="JYR301" s="118"/>
      <c r="JYS301" s="118"/>
      <c r="JYT301" s="118"/>
      <c r="JYU301" s="118"/>
      <c r="JYV301" s="118"/>
      <c r="JYW301" s="118"/>
      <c r="JYX301" s="118"/>
      <c r="JYY301" s="118"/>
      <c r="JYZ301" s="118"/>
      <c r="JZA301" s="118"/>
      <c r="JZB301" s="118"/>
      <c r="JZC301" s="118"/>
      <c r="JZD301" s="118"/>
      <c r="JZE301" s="118"/>
      <c r="JZF301" s="118"/>
      <c r="JZG301" s="118"/>
      <c r="JZH301" s="118"/>
      <c r="JZI301" s="118"/>
      <c r="JZJ301" s="118"/>
      <c r="JZK301" s="118"/>
      <c r="JZL301" s="118"/>
      <c r="JZM301" s="118"/>
      <c r="JZN301" s="118"/>
      <c r="JZO301" s="118"/>
      <c r="JZP301" s="118"/>
      <c r="JZQ301" s="118"/>
      <c r="JZR301" s="118"/>
      <c r="JZS301" s="118"/>
      <c r="JZT301" s="118"/>
      <c r="JZU301" s="118"/>
      <c r="JZV301" s="118"/>
      <c r="JZW301" s="118"/>
      <c r="JZX301" s="118"/>
      <c r="JZY301" s="118"/>
      <c r="JZZ301" s="118"/>
      <c r="KAA301" s="118"/>
      <c r="KAB301" s="118"/>
      <c r="KAC301" s="118"/>
      <c r="KAD301" s="118"/>
      <c r="KAE301" s="118"/>
      <c r="KAF301" s="118"/>
      <c r="KAG301" s="118"/>
      <c r="KAH301" s="118"/>
      <c r="KAI301" s="118"/>
      <c r="KAJ301" s="118"/>
      <c r="KAK301" s="118"/>
      <c r="KAL301" s="118"/>
      <c r="KAM301" s="118"/>
      <c r="KAN301" s="118"/>
      <c r="KAO301" s="118"/>
      <c r="KAP301" s="118"/>
      <c r="KAQ301" s="118"/>
      <c r="KAR301" s="118"/>
      <c r="KAS301" s="118"/>
      <c r="KAT301" s="118"/>
      <c r="KAU301" s="118"/>
      <c r="KAV301" s="118"/>
      <c r="KAW301" s="118"/>
      <c r="KAX301" s="118"/>
      <c r="KAY301" s="118"/>
      <c r="KAZ301" s="118"/>
      <c r="KBA301" s="118"/>
      <c r="KBB301" s="118"/>
      <c r="KBC301" s="118"/>
      <c r="KBD301" s="118"/>
      <c r="KBE301" s="118"/>
      <c r="KBF301" s="118"/>
      <c r="KBG301" s="118"/>
      <c r="KBH301" s="118"/>
      <c r="KBI301" s="118"/>
      <c r="KBJ301" s="118"/>
      <c r="KBK301" s="118"/>
      <c r="KBL301" s="118"/>
      <c r="KBM301" s="118"/>
      <c r="KBN301" s="118"/>
      <c r="KBO301" s="118"/>
      <c r="KBP301" s="118"/>
      <c r="KBQ301" s="118"/>
      <c r="KBR301" s="118"/>
      <c r="KBS301" s="118"/>
      <c r="KBT301" s="118"/>
      <c r="KBU301" s="118"/>
      <c r="KBV301" s="118"/>
      <c r="KBW301" s="118"/>
      <c r="KBX301" s="118"/>
      <c r="KBY301" s="118"/>
      <c r="KBZ301" s="118"/>
      <c r="KCA301" s="118"/>
      <c r="KCB301" s="118"/>
      <c r="KCC301" s="118"/>
      <c r="KCD301" s="118"/>
      <c r="KCE301" s="118"/>
      <c r="KCF301" s="118"/>
      <c r="KCG301" s="118"/>
      <c r="KCH301" s="118"/>
      <c r="KCI301" s="118"/>
      <c r="KCJ301" s="118"/>
      <c r="KCK301" s="118"/>
      <c r="KCL301" s="118"/>
      <c r="KCM301" s="118"/>
      <c r="KCN301" s="118"/>
      <c r="KCO301" s="118"/>
      <c r="KCP301" s="118"/>
      <c r="KCQ301" s="118"/>
      <c r="KCR301" s="118"/>
      <c r="KCS301" s="118"/>
      <c r="KCT301" s="118"/>
      <c r="KCU301" s="118"/>
      <c r="KCV301" s="118"/>
      <c r="KCW301" s="118"/>
      <c r="KCX301" s="118"/>
      <c r="KCY301" s="118"/>
      <c r="KCZ301" s="118"/>
      <c r="KDA301" s="118"/>
      <c r="KDB301" s="118"/>
      <c r="KDC301" s="118"/>
      <c r="KDD301" s="118"/>
      <c r="KDE301" s="118"/>
      <c r="KDF301" s="118"/>
      <c r="KDG301" s="118"/>
      <c r="KDH301" s="118"/>
      <c r="KDI301" s="118"/>
      <c r="KDJ301" s="118"/>
      <c r="KDK301" s="118"/>
      <c r="KDL301" s="118"/>
      <c r="KDM301" s="118"/>
      <c r="KDN301" s="118"/>
      <c r="KDO301" s="118"/>
      <c r="KDP301" s="118"/>
      <c r="KDQ301" s="118"/>
      <c r="KDR301" s="118"/>
      <c r="KDS301" s="118"/>
      <c r="KDT301" s="118"/>
      <c r="KDU301" s="118"/>
      <c r="KDV301" s="118"/>
      <c r="KDW301" s="118"/>
      <c r="KDX301" s="118"/>
      <c r="KDY301" s="118"/>
      <c r="KDZ301" s="118"/>
      <c r="KEA301" s="118"/>
      <c r="KEB301" s="118"/>
      <c r="KEC301" s="118"/>
      <c r="KED301" s="118"/>
      <c r="KEE301" s="118"/>
      <c r="KEF301" s="118"/>
      <c r="KEG301" s="118"/>
      <c r="KEH301" s="118"/>
      <c r="KEI301" s="118"/>
      <c r="KEJ301" s="118"/>
      <c r="KEK301" s="118"/>
      <c r="KEL301" s="118"/>
      <c r="KEM301" s="118"/>
      <c r="KEN301" s="118"/>
      <c r="KEO301" s="118"/>
      <c r="KEP301" s="118"/>
      <c r="KEQ301" s="118"/>
      <c r="KER301" s="118"/>
      <c r="KES301" s="118"/>
      <c r="KET301" s="118"/>
      <c r="KEU301" s="118"/>
      <c r="KEV301" s="118"/>
      <c r="KEW301" s="118"/>
      <c r="KEX301" s="118"/>
      <c r="KEY301" s="118"/>
      <c r="KEZ301" s="118"/>
      <c r="KFA301" s="118"/>
      <c r="KFB301" s="118"/>
      <c r="KFC301" s="118"/>
      <c r="KFD301" s="118"/>
      <c r="KFE301" s="118"/>
      <c r="KFF301" s="118"/>
      <c r="KFG301" s="118"/>
      <c r="KFH301" s="118"/>
      <c r="KFI301" s="118"/>
      <c r="KFJ301" s="118"/>
      <c r="KFK301" s="118"/>
      <c r="KFL301" s="118"/>
      <c r="KFM301" s="118"/>
      <c r="KFN301" s="118"/>
      <c r="KFO301" s="118"/>
      <c r="KFP301" s="118"/>
      <c r="KFQ301" s="118"/>
      <c r="KFR301" s="118"/>
      <c r="KFS301" s="118"/>
      <c r="KFT301" s="118"/>
      <c r="KFU301" s="118"/>
      <c r="KFV301" s="118"/>
      <c r="KFW301" s="118"/>
      <c r="KFX301" s="118"/>
      <c r="KFY301" s="118"/>
      <c r="KFZ301" s="118"/>
      <c r="KGA301" s="118"/>
      <c r="KGB301" s="118"/>
      <c r="KGC301" s="118"/>
      <c r="KGD301" s="118"/>
      <c r="KGE301" s="118"/>
      <c r="KGF301" s="118"/>
      <c r="KGG301" s="118"/>
      <c r="KGH301" s="118"/>
      <c r="KGI301" s="118"/>
      <c r="KGJ301" s="118"/>
      <c r="KGK301" s="118"/>
      <c r="KGL301" s="118"/>
      <c r="KGM301" s="118"/>
      <c r="KGN301" s="118"/>
      <c r="KGO301" s="118"/>
      <c r="KGP301" s="118"/>
      <c r="KGQ301" s="118"/>
      <c r="KGR301" s="118"/>
      <c r="KGS301" s="118"/>
      <c r="KGT301" s="118"/>
      <c r="KGU301" s="118"/>
      <c r="KGV301" s="118"/>
      <c r="KGW301" s="118"/>
      <c r="KGX301" s="118"/>
      <c r="KGY301" s="118"/>
      <c r="KGZ301" s="118"/>
      <c r="KHA301" s="118"/>
      <c r="KHB301" s="118"/>
      <c r="KHC301" s="118"/>
      <c r="KHD301" s="118"/>
      <c r="KHE301" s="118"/>
      <c r="KHF301" s="118"/>
      <c r="KHG301" s="118"/>
      <c r="KHH301" s="118"/>
      <c r="KHI301" s="118"/>
      <c r="KHJ301" s="118"/>
      <c r="KHK301" s="118"/>
      <c r="KHL301" s="118"/>
      <c r="KHM301" s="118"/>
      <c r="KHN301" s="118"/>
      <c r="KHO301" s="118"/>
      <c r="KHP301" s="118"/>
      <c r="KHQ301" s="118"/>
      <c r="KHR301" s="118"/>
      <c r="KHS301" s="118"/>
      <c r="KHT301" s="118"/>
      <c r="KHU301" s="118"/>
      <c r="KHV301" s="118"/>
      <c r="KHW301" s="118"/>
      <c r="KHX301" s="118"/>
      <c r="KHY301" s="118"/>
      <c r="KHZ301" s="118"/>
      <c r="KIA301" s="118"/>
      <c r="KIB301" s="118"/>
      <c r="KIC301" s="118"/>
      <c r="KID301" s="118"/>
      <c r="KIE301" s="118"/>
      <c r="KIF301" s="118"/>
      <c r="KIG301" s="118"/>
      <c r="KIH301" s="118"/>
      <c r="KII301" s="118"/>
      <c r="KIJ301" s="118"/>
      <c r="KIK301" s="118"/>
      <c r="KIL301" s="118"/>
      <c r="KIM301" s="118"/>
      <c r="KIN301" s="118"/>
      <c r="KIO301" s="118"/>
      <c r="KIP301" s="118"/>
      <c r="KIQ301" s="118"/>
      <c r="KIR301" s="118"/>
      <c r="KIS301" s="118"/>
      <c r="KIT301" s="118"/>
      <c r="KIU301" s="118"/>
      <c r="KIV301" s="118"/>
      <c r="KIW301" s="118"/>
      <c r="KIX301" s="118"/>
      <c r="KIY301" s="118"/>
      <c r="KIZ301" s="118"/>
      <c r="KJA301" s="118"/>
      <c r="KJB301" s="118"/>
      <c r="KJC301" s="118"/>
      <c r="KJD301" s="118"/>
      <c r="KJE301" s="118"/>
      <c r="KJF301" s="118"/>
      <c r="KJG301" s="118"/>
      <c r="KJH301" s="118"/>
      <c r="KJI301" s="118"/>
      <c r="KJJ301" s="118"/>
      <c r="KJK301" s="118"/>
      <c r="KJL301" s="118"/>
      <c r="KJM301" s="118"/>
      <c r="KJN301" s="118"/>
      <c r="KJO301" s="118"/>
      <c r="KJP301" s="118"/>
      <c r="KJQ301" s="118"/>
      <c r="KJR301" s="118"/>
      <c r="KJS301" s="118"/>
      <c r="KJT301" s="118"/>
      <c r="KJU301" s="118"/>
      <c r="KJV301" s="118"/>
      <c r="KJW301" s="118"/>
      <c r="KJX301" s="118"/>
      <c r="KJY301" s="118"/>
      <c r="KJZ301" s="118"/>
      <c r="KKA301" s="118"/>
      <c r="KKB301" s="118"/>
      <c r="KKC301" s="118"/>
      <c r="KKD301" s="118"/>
      <c r="KKE301" s="118"/>
      <c r="KKF301" s="118"/>
      <c r="KKG301" s="118"/>
      <c r="KKH301" s="118"/>
      <c r="KKI301" s="118"/>
      <c r="KKJ301" s="118"/>
      <c r="KKK301" s="118"/>
      <c r="KKL301" s="118"/>
      <c r="KKM301" s="118"/>
      <c r="KKN301" s="118"/>
      <c r="KKO301" s="118"/>
      <c r="KKP301" s="118"/>
      <c r="KKQ301" s="118"/>
      <c r="KKR301" s="118"/>
      <c r="KKS301" s="118"/>
      <c r="KKT301" s="118"/>
      <c r="KKU301" s="118"/>
      <c r="KKV301" s="118"/>
      <c r="KKW301" s="118"/>
      <c r="KKX301" s="118"/>
      <c r="KKY301" s="118"/>
      <c r="KKZ301" s="118"/>
      <c r="KLA301" s="118"/>
      <c r="KLB301" s="118"/>
      <c r="KLC301" s="118"/>
      <c r="KLD301" s="118"/>
      <c r="KLE301" s="118"/>
      <c r="KLF301" s="118"/>
      <c r="KLG301" s="118"/>
      <c r="KLH301" s="118"/>
      <c r="KLI301" s="118"/>
      <c r="KLJ301" s="118"/>
      <c r="KLK301" s="118"/>
      <c r="KLL301" s="118"/>
      <c r="KLM301" s="118"/>
      <c r="KLN301" s="118"/>
      <c r="KLO301" s="118"/>
      <c r="KLP301" s="118"/>
      <c r="KLQ301" s="118"/>
      <c r="KLR301" s="118"/>
      <c r="KLS301" s="118"/>
      <c r="KLT301" s="118"/>
      <c r="KLU301" s="118"/>
      <c r="KLV301" s="118"/>
      <c r="KLW301" s="118"/>
      <c r="KLX301" s="118"/>
      <c r="KLY301" s="118"/>
      <c r="KLZ301" s="118"/>
      <c r="KMA301" s="118"/>
      <c r="KMB301" s="118"/>
      <c r="KMC301" s="118"/>
      <c r="KMD301" s="118"/>
      <c r="KME301" s="118"/>
      <c r="KMF301" s="118"/>
      <c r="KMG301" s="118"/>
      <c r="KMH301" s="118"/>
      <c r="KMI301" s="118"/>
      <c r="KMJ301" s="118"/>
      <c r="KMK301" s="118"/>
      <c r="KML301" s="118"/>
      <c r="KMM301" s="118"/>
      <c r="KMN301" s="118"/>
      <c r="KMO301" s="118"/>
      <c r="KMP301" s="118"/>
      <c r="KMQ301" s="118"/>
      <c r="KMR301" s="118"/>
      <c r="KMS301" s="118"/>
      <c r="KMT301" s="118"/>
      <c r="KMU301" s="118"/>
      <c r="KMV301" s="118"/>
      <c r="KMW301" s="118"/>
      <c r="KMX301" s="118"/>
      <c r="KMY301" s="118"/>
      <c r="KMZ301" s="118"/>
      <c r="KNA301" s="118"/>
      <c r="KNB301" s="118"/>
      <c r="KNC301" s="118"/>
      <c r="KND301" s="118"/>
      <c r="KNE301" s="118"/>
      <c r="KNF301" s="118"/>
      <c r="KNG301" s="118"/>
      <c r="KNH301" s="118"/>
      <c r="KNI301" s="118"/>
      <c r="KNJ301" s="118"/>
      <c r="KNK301" s="118"/>
      <c r="KNL301" s="118"/>
      <c r="KNM301" s="118"/>
      <c r="KNN301" s="118"/>
      <c r="KNO301" s="118"/>
      <c r="KNP301" s="118"/>
      <c r="KNQ301" s="118"/>
      <c r="KNR301" s="118"/>
      <c r="KNS301" s="118"/>
      <c r="KNT301" s="118"/>
      <c r="KNU301" s="118"/>
      <c r="KNV301" s="118"/>
      <c r="KNW301" s="118"/>
      <c r="KNX301" s="118"/>
      <c r="KNY301" s="118"/>
      <c r="KNZ301" s="118"/>
      <c r="KOA301" s="118"/>
      <c r="KOB301" s="118"/>
      <c r="KOC301" s="118"/>
      <c r="KOD301" s="118"/>
      <c r="KOE301" s="118"/>
      <c r="KOF301" s="118"/>
      <c r="KOG301" s="118"/>
      <c r="KOH301" s="118"/>
      <c r="KOI301" s="118"/>
      <c r="KOJ301" s="118"/>
      <c r="KOK301" s="118"/>
      <c r="KOL301" s="118"/>
      <c r="KOM301" s="118"/>
      <c r="KON301" s="118"/>
      <c r="KOO301" s="118"/>
      <c r="KOP301" s="118"/>
      <c r="KOQ301" s="118"/>
      <c r="KOR301" s="118"/>
      <c r="KOS301" s="118"/>
      <c r="KOT301" s="118"/>
      <c r="KOU301" s="118"/>
      <c r="KOV301" s="118"/>
      <c r="KOW301" s="118"/>
      <c r="KOX301" s="118"/>
      <c r="KOY301" s="118"/>
      <c r="KOZ301" s="118"/>
      <c r="KPA301" s="118"/>
      <c r="KPB301" s="118"/>
      <c r="KPC301" s="118"/>
      <c r="KPD301" s="118"/>
      <c r="KPE301" s="118"/>
      <c r="KPF301" s="118"/>
      <c r="KPG301" s="118"/>
      <c r="KPH301" s="118"/>
      <c r="KPI301" s="118"/>
      <c r="KPJ301" s="118"/>
      <c r="KPK301" s="118"/>
      <c r="KPL301" s="118"/>
      <c r="KPM301" s="118"/>
      <c r="KPN301" s="118"/>
      <c r="KPO301" s="118"/>
      <c r="KPP301" s="118"/>
      <c r="KPQ301" s="118"/>
      <c r="KPR301" s="118"/>
      <c r="KPS301" s="118"/>
      <c r="KPT301" s="118"/>
      <c r="KPU301" s="118"/>
      <c r="KPV301" s="118"/>
      <c r="KPW301" s="118"/>
      <c r="KPX301" s="118"/>
      <c r="KPY301" s="118"/>
      <c r="KPZ301" s="118"/>
      <c r="KQA301" s="118"/>
      <c r="KQB301" s="118"/>
      <c r="KQC301" s="118"/>
      <c r="KQD301" s="118"/>
      <c r="KQE301" s="118"/>
      <c r="KQF301" s="118"/>
      <c r="KQG301" s="118"/>
      <c r="KQH301" s="118"/>
      <c r="KQI301" s="118"/>
      <c r="KQJ301" s="118"/>
      <c r="KQK301" s="118"/>
      <c r="KQL301" s="118"/>
      <c r="KQM301" s="118"/>
      <c r="KQN301" s="118"/>
      <c r="KQO301" s="118"/>
      <c r="KQP301" s="118"/>
      <c r="KQQ301" s="118"/>
      <c r="KQR301" s="118"/>
      <c r="KQS301" s="118"/>
      <c r="KQT301" s="118"/>
      <c r="KQU301" s="118"/>
      <c r="KQV301" s="118"/>
      <c r="KQW301" s="118"/>
      <c r="KQX301" s="118"/>
      <c r="KQY301" s="118"/>
      <c r="KQZ301" s="118"/>
      <c r="KRA301" s="118"/>
      <c r="KRB301" s="118"/>
      <c r="KRC301" s="118"/>
      <c r="KRD301" s="118"/>
      <c r="KRE301" s="118"/>
      <c r="KRF301" s="118"/>
      <c r="KRG301" s="118"/>
      <c r="KRH301" s="118"/>
      <c r="KRI301" s="118"/>
      <c r="KRJ301" s="118"/>
      <c r="KRK301" s="118"/>
      <c r="KRL301" s="118"/>
      <c r="KRM301" s="118"/>
      <c r="KRN301" s="118"/>
      <c r="KRO301" s="118"/>
      <c r="KRP301" s="118"/>
      <c r="KRQ301" s="118"/>
      <c r="KRR301" s="118"/>
      <c r="KRS301" s="118"/>
      <c r="KRT301" s="118"/>
      <c r="KRU301" s="118"/>
      <c r="KRV301" s="118"/>
      <c r="KRW301" s="118"/>
      <c r="KRX301" s="118"/>
      <c r="KRY301" s="118"/>
      <c r="KRZ301" s="118"/>
      <c r="KSA301" s="118"/>
      <c r="KSB301" s="118"/>
      <c r="KSC301" s="118"/>
      <c r="KSD301" s="118"/>
      <c r="KSE301" s="118"/>
      <c r="KSF301" s="118"/>
      <c r="KSG301" s="118"/>
      <c r="KSH301" s="118"/>
      <c r="KSI301" s="118"/>
      <c r="KSJ301" s="118"/>
      <c r="KSK301" s="118"/>
      <c r="KSL301" s="118"/>
      <c r="KSM301" s="118"/>
      <c r="KSN301" s="118"/>
      <c r="KSO301" s="118"/>
      <c r="KSP301" s="118"/>
      <c r="KSQ301" s="118"/>
      <c r="KSR301" s="118"/>
      <c r="KSS301" s="118"/>
      <c r="KST301" s="118"/>
      <c r="KSU301" s="118"/>
      <c r="KSV301" s="118"/>
      <c r="KSW301" s="118"/>
      <c r="KSX301" s="118"/>
      <c r="KSY301" s="118"/>
      <c r="KSZ301" s="118"/>
      <c r="KTA301" s="118"/>
      <c r="KTB301" s="118"/>
      <c r="KTC301" s="118"/>
      <c r="KTD301" s="118"/>
      <c r="KTE301" s="118"/>
      <c r="KTF301" s="118"/>
      <c r="KTG301" s="118"/>
      <c r="KTH301" s="118"/>
      <c r="KTI301" s="118"/>
      <c r="KTJ301" s="118"/>
      <c r="KTK301" s="118"/>
      <c r="KTL301" s="118"/>
      <c r="KTM301" s="118"/>
      <c r="KTN301" s="118"/>
      <c r="KTO301" s="118"/>
      <c r="KTP301" s="118"/>
      <c r="KTQ301" s="118"/>
      <c r="KTR301" s="118"/>
      <c r="KTS301" s="118"/>
      <c r="KTT301" s="118"/>
      <c r="KTU301" s="118"/>
      <c r="KTV301" s="118"/>
      <c r="KTW301" s="118"/>
      <c r="KTX301" s="118"/>
      <c r="KTY301" s="118"/>
      <c r="KTZ301" s="118"/>
      <c r="KUA301" s="118"/>
      <c r="KUB301" s="118"/>
      <c r="KUC301" s="118"/>
      <c r="KUD301" s="118"/>
      <c r="KUE301" s="118"/>
      <c r="KUF301" s="118"/>
      <c r="KUG301" s="118"/>
      <c r="KUH301" s="118"/>
      <c r="KUI301" s="118"/>
      <c r="KUJ301" s="118"/>
      <c r="KUK301" s="118"/>
      <c r="KUL301" s="118"/>
      <c r="KUM301" s="118"/>
      <c r="KUN301" s="118"/>
      <c r="KUO301" s="118"/>
      <c r="KUP301" s="118"/>
      <c r="KUQ301" s="118"/>
      <c r="KUR301" s="118"/>
      <c r="KUS301" s="118"/>
      <c r="KUT301" s="118"/>
      <c r="KUU301" s="118"/>
      <c r="KUV301" s="118"/>
      <c r="KUW301" s="118"/>
      <c r="KUX301" s="118"/>
      <c r="KUY301" s="118"/>
      <c r="KUZ301" s="118"/>
      <c r="KVA301" s="118"/>
      <c r="KVB301" s="118"/>
      <c r="KVC301" s="118"/>
      <c r="KVD301" s="118"/>
      <c r="KVE301" s="118"/>
      <c r="KVF301" s="118"/>
      <c r="KVG301" s="118"/>
      <c r="KVH301" s="118"/>
      <c r="KVI301" s="118"/>
      <c r="KVJ301" s="118"/>
      <c r="KVK301" s="118"/>
      <c r="KVL301" s="118"/>
      <c r="KVM301" s="118"/>
      <c r="KVN301" s="118"/>
      <c r="KVO301" s="118"/>
      <c r="KVP301" s="118"/>
      <c r="KVQ301" s="118"/>
      <c r="KVR301" s="118"/>
      <c r="KVS301" s="118"/>
      <c r="KVT301" s="118"/>
      <c r="KVU301" s="118"/>
      <c r="KVV301" s="118"/>
      <c r="KVW301" s="118"/>
      <c r="KVX301" s="118"/>
      <c r="KVY301" s="118"/>
      <c r="KVZ301" s="118"/>
      <c r="KWA301" s="118"/>
      <c r="KWB301" s="118"/>
      <c r="KWC301" s="118"/>
      <c r="KWD301" s="118"/>
      <c r="KWE301" s="118"/>
      <c r="KWF301" s="118"/>
      <c r="KWG301" s="118"/>
      <c r="KWH301" s="118"/>
      <c r="KWI301" s="118"/>
      <c r="KWJ301" s="118"/>
      <c r="KWK301" s="118"/>
      <c r="KWL301" s="118"/>
      <c r="KWM301" s="118"/>
      <c r="KWN301" s="118"/>
      <c r="KWO301" s="118"/>
      <c r="KWP301" s="118"/>
      <c r="KWQ301" s="118"/>
      <c r="KWR301" s="118"/>
      <c r="KWS301" s="118"/>
      <c r="KWT301" s="118"/>
      <c r="KWU301" s="118"/>
      <c r="KWV301" s="118"/>
      <c r="KWW301" s="118"/>
      <c r="KWX301" s="118"/>
      <c r="KWY301" s="118"/>
      <c r="KWZ301" s="118"/>
      <c r="KXA301" s="118"/>
      <c r="KXB301" s="118"/>
      <c r="KXC301" s="118"/>
      <c r="KXD301" s="118"/>
      <c r="KXE301" s="118"/>
      <c r="KXF301" s="118"/>
      <c r="KXG301" s="118"/>
      <c r="KXH301" s="118"/>
      <c r="KXI301" s="118"/>
      <c r="KXJ301" s="118"/>
      <c r="KXK301" s="118"/>
      <c r="KXL301" s="118"/>
      <c r="KXM301" s="118"/>
      <c r="KXN301" s="118"/>
      <c r="KXO301" s="118"/>
      <c r="KXP301" s="118"/>
      <c r="KXQ301" s="118"/>
      <c r="KXR301" s="118"/>
      <c r="KXS301" s="118"/>
      <c r="KXT301" s="118"/>
      <c r="KXU301" s="118"/>
      <c r="KXV301" s="118"/>
      <c r="KXW301" s="118"/>
      <c r="KXX301" s="118"/>
      <c r="KXY301" s="118"/>
      <c r="KXZ301" s="118"/>
      <c r="KYA301" s="118"/>
      <c r="KYB301" s="118"/>
      <c r="KYC301" s="118"/>
      <c r="KYD301" s="118"/>
      <c r="KYE301" s="118"/>
      <c r="KYF301" s="118"/>
      <c r="KYG301" s="118"/>
      <c r="KYH301" s="118"/>
      <c r="KYI301" s="118"/>
      <c r="KYJ301" s="118"/>
      <c r="KYK301" s="118"/>
      <c r="KYL301" s="118"/>
      <c r="KYM301" s="118"/>
      <c r="KYN301" s="118"/>
      <c r="KYO301" s="118"/>
      <c r="KYP301" s="118"/>
      <c r="KYQ301" s="118"/>
      <c r="KYR301" s="118"/>
      <c r="KYS301" s="118"/>
      <c r="KYT301" s="118"/>
      <c r="KYU301" s="118"/>
      <c r="KYV301" s="118"/>
      <c r="KYW301" s="118"/>
      <c r="KYX301" s="118"/>
      <c r="KYY301" s="118"/>
      <c r="KYZ301" s="118"/>
      <c r="KZA301" s="118"/>
      <c r="KZB301" s="118"/>
      <c r="KZC301" s="118"/>
      <c r="KZD301" s="118"/>
      <c r="KZE301" s="118"/>
      <c r="KZF301" s="118"/>
      <c r="KZG301" s="118"/>
      <c r="KZH301" s="118"/>
      <c r="KZI301" s="118"/>
      <c r="KZJ301" s="118"/>
      <c r="KZK301" s="118"/>
      <c r="KZL301" s="118"/>
      <c r="KZM301" s="118"/>
      <c r="KZN301" s="118"/>
      <c r="KZO301" s="118"/>
      <c r="KZP301" s="118"/>
      <c r="KZQ301" s="118"/>
      <c r="KZR301" s="118"/>
      <c r="KZS301" s="118"/>
      <c r="KZT301" s="118"/>
      <c r="KZU301" s="118"/>
      <c r="KZV301" s="118"/>
      <c r="KZW301" s="118"/>
      <c r="KZX301" s="118"/>
      <c r="KZY301" s="118"/>
      <c r="KZZ301" s="118"/>
      <c r="LAA301" s="118"/>
      <c r="LAB301" s="118"/>
      <c r="LAC301" s="118"/>
      <c r="LAD301" s="118"/>
      <c r="LAE301" s="118"/>
      <c r="LAF301" s="118"/>
      <c r="LAG301" s="118"/>
      <c r="LAH301" s="118"/>
      <c r="LAI301" s="118"/>
      <c r="LAJ301" s="118"/>
      <c r="LAK301" s="118"/>
      <c r="LAL301" s="118"/>
      <c r="LAM301" s="118"/>
      <c r="LAN301" s="118"/>
      <c r="LAO301" s="118"/>
      <c r="LAP301" s="118"/>
      <c r="LAQ301" s="118"/>
      <c r="LAR301" s="118"/>
      <c r="LAS301" s="118"/>
      <c r="LAT301" s="118"/>
      <c r="LAU301" s="118"/>
      <c r="LAV301" s="118"/>
      <c r="LAW301" s="118"/>
      <c r="LAX301" s="118"/>
      <c r="LAY301" s="118"/>
      <c r="LAZ301" s="118"/>
      <c r="LBA301" s="118"/>
      <c r="LBB301" s="118"/>
      <c r="LBC301" s="118"/>
      <c r="LBD301" s="118"/>
      <c r="LBE301" s="118"/>
      <c r="LBF301" s="118"/>
      <c r="LBG301" s="118"/>
      <c r="LBH301" s="118"/>
      <c r="LBI301" s="118"/>
      <c r="LBJ301" s="118"/>
      <c r="LBK301" s="118"/>
      <c r="LBL301" s="118"/>
      <c r="LBM301" s="118"/>
      <c r="LBN301" s="118"/>
      <c r="LBO301" s="118"/>
      <c r="LBP301" s="118"/>
      <c r="LBQ301" s="118"/>
      <c r="LBR301" s="118"/>
      <c r="LBS301" s="118"/>
      <c r="LBT301" s="118"/>
      <c r="LBU301" s="118"/>
      <c r="LBV301" s="118"/>
      <c r="LBW301" s="118"/>
      <c r="LBX301" s="118"/>
      <c r="LBY301" s="118"/>
      <c r="LBZ301" s="118"/>
      <c r="LCA301" s="118"/>
      <c r="LCB301" s="118"/>
      <c r="LCC301" s="118"/>
      <c r="LCD301" s="118"/>
      <c r="LCE301" s="118"/>
      <c r="LCF301" s="118"/>
      <c r="LCG301" s="118"/>
      <c r="LCH301" s="118"/>
      <c r="LCI301" s="118"/>
      <c r="LCJ301" s="118"/>
      <c r="LCK301" s="118"/>
      <c r="LCL301" s="118"/>
      <c r="LCM301" s="118"/>
      <c r="LCN301" s="118"/>
      <c r="LCO301" s="118"/>
      <c r="LCP301" s="118"/>
      <c r="LCQ301" s="118"/>
      <c r="LCR301" s="118"/>
      <c r="LCS301" s="118"/>
      <c r="LCT301" s="118"/>
      <c r="LCU301" s="118"/>
      <c r="LCV301" s="118"/>
      <c r="LCW301" s="118"/>
      <c r="LCX301" s="118"/>
      <c r="LCY301" s="118"/>
      <c r="LCZ301" s="118"/>
      <c r="LDA301" s="118"/>
      <c r="LDB301" s="118"/>
      <c r="LDC301" s="118"/>
      <c r="LDD301" s="118"/>
      <c r="LDE301" s="118"/>
      <c r="LDF301" s="118"/>
      <c r="LDG301" s="118"/>
      <c r="LDH301" s="118"/>
      <c r="LDI301" s="118"/>
      <c r="LDJ301" s="118"/>
      <c r="LDK301" s="118"/>
      <c r="LDL301" s="118"/>
      <c r="LDM301" s="118"/>
      <c r="LDN301" s="118"/>
      <c r="LDO301" s="118"/>
      <c r="LDP301" s="118"/>
      <c r="LDQ301" s="118"/>
      <c r="LDR301" s="118"/>
      <c r="LDS301" s="118"/>
      <c r="LDT301" s="118"/>
      <c r="LDU301" s="118"/>
      <c r="LDV301" s="118"/>
      <c r="LDW301" s="118"/>
      <c r="LDX301" s="118"/>
      <c r="LDY301" s="118"/>
      <c r="LDZ301" s="118"/>
      <c r="LEA301" s="118"/>
      <c r="LEB301" s="118"/>
      <c r="LEC301" s="118"/>
      <c r="LED301" s="118"/>
      <c r="LEE301" s="118"/>
      <c r="LEF301" s="118"/>
      <c r="LEG301" s="118"/>
      <c r="LEH301" s="118"/>
      <c r="LEI301" s="118"/>
      <c r="LEJ301" s="118"/>
      <c r="LEK301" s="118"/>
      <c r="LEL301" s="118"/>
      <c r="LEM301" s="118"/>
      <c r="LEN301" s="118"/>
      <c r="LEO301" s="118"/>
      <c r="LEP301" s="118"/>
      <c r="LEQ301" s="118"/>
      <c r="LER301" s="118"/>
      <c r="LES301" s="118"/>
      <c r="LET301" s="118"/>
      <c r="LEU301" s="118"/>
      <c r="LEV301" s="118"/>
      <c r="LEW301" s="118"/>
      <c r="LEX301" s="118"/>
      <c r="LEY301" s="118"/>
      <c r="LEZ301" s="118"/>
      <c r="LFA301" s="118"/>
      <c r="LFB301" s="118"/>
      <c r="LFC301" s="118"/>
      <c r="LFD301" s="118"/>
      <c r="LFE301" s="118"/>
      <c r="LFF301" s="118"/>
      <c r="LFG301" s="118"/>
      <c r="LFH301" s="118"/>
      <c r="LFI301" s="118"/>
      <c r="LFJ301" s="118"/>
      <c r="LFK301" s="118"/>
      <c r="LFL301" s="118"/>
      <c r="LFM301" s="118"/>
      <c r="LFN301" s="118"/>
      <c r="LFO301" s="118"/>
      <c r="LFP301" s="118"/>
      <c r="LFQ301" s="118"/>
      <c r="LFR301" s="118"/>
      <c r="LFS301" s="118"/>
      <c r="LFT301" s="118"/>
      <c r="LFU301" s="118"/>
      <c r="LFV301" s="118"/>
      <c r="LFW301" s="118"/>
      <c r="LFX301" s="118"/>
      <c r="LFY301" s="118"/>
      <c r="LFZ301" s="118"/>
      <c r="LGA301" s="118"/>
      <c r="LGB301" s="118"/>
      <c r="LGC301" s="118"/>
      <c r="LGD301" s="118"/>
      <c r="LGE301" s="118"/>
      <c r="LGF301" s="118"/>
      <c r="LGG301" s="118"/>
      <c r="LGH301" s="118"/>
      <c r="LGI301" s="118"/>
      <c r="LGJ301" s="118"/>
      <c r="LGK301" s="118"/>
      <c r="LGL301" s="118"/>
      <c r="LGM301" s="118"/>
      <c r="LGN301" s="118"/>
      <c r="LGO301" s="118"/>
      <c r="LGP301" s="118"/>
      <c r="LGQ301" s="118"/>
      <c r="LGR301" s="118"/>
      <c r="LGS301" s="118"/>
      <c r="LGT301" s="118"/>
      <c r="LGU301" s="118"/>
      <c r="LGV301" s="118"/>
      <c r="LGW301" s="118"/>
      <c r="LGX301" s="118"/>
      <c r="LGY301" s="118"/>
      <c r="LGZ301" s="118"/>
      <c r="LHA301" s="118"/>
      <c r="LHB301" s="118"/>
      <c r="LHC301" s="118"/>
      <c r="LHD301" s="118"/>
      <c r="LHE301" s="118"/>
      <c r="LHF301" s="118"/>
      <c r="LHG301" s="118"/>
      <c r="LHH301" s="118"/>
      <c r="LHI301" s="118"/>
      <c r="LHJ301" s="118"/>
      <c r="LHK301" s="118"/>
      <c r="LHL301" s="118"/>
      <c r="LHM301" s="118"/>
      <c r="LHN301" s="118"/>
      <c r="LHO301" s="118"/>
      <c r="LHP301" s="118"/>
      <c r="LHQ301" s="118"/>
      <c r="LHR301" s="118"/>
      <c r="LHS301" s="118"/>
      <c r="LHT301" s="118"/>
      <c r="LHU301" s="118"/>
      <c r="LHV301" s="118"/>
      <c r="LHW301" s="118"/>
      <c r="LHX301" s="118"/>
      <c r="LHY301" s="118"/>
      <c r="LHZ301" s="118"/>
      <c r="LIA301" s="118"/>
      <c r="LIB301" s="118"/>
      <c r="LIC301" s="118"/>
      <c r="LID301" s="118"/>
      <c r="LIE301" s="118"/>
      <c r="LIF301" s="118"/>
      <c r="LIG301" s="118"/>
      <c r="LIH301" s="118"/>
      <c r="LII301" s="118"/>
      <c r="LIJ301" s="118"/>
      <c r="LIK301" s="118"/>
      <c r="LIL301" s="118"/>
      <c r="LIM301" s="118"/>
      <c r="LIN301" s="118"/>
      <c r="LIO301" s="118"/>
      <c r="LIP301" s="118"/>
      <c r="LIQ301" s="118"/>
      <c r="LIR301" s="118"/>
      <c r="LIS301" s="118"/>
      <c r="LIT301" s="118"/>
      <c r="LIU301" s="118"/>
      <c r="LIV301" s="118"/>
      <c r="LIW301" s="118"/>
      <c r="LIX301" s="118"/>
      <c r="LIY301" s="118"/>
      <c r="LIZ301" s="118"/>
      <c r="LJA301" s="118"/>
      <c r="LJB301" s="118"/>
      <c r="LJC301" s="118"/>
      <c r="LJD301" s="118"/>
      <c r="LJE301" s="118"/>
      <c r="LJF301" s="118"/>
      <c r="LJG301" s="118"/>
      <c r="LJH301" s="118"/>
      <c r="LJI301" s="118"/>
      <c r="LJJ301" s="118"/>
      <c r="LJK301" s="118"/>
      <c r="LJL301" s="118"/>
      <c r="LJM301" s="118"/>
      <c r="LJN301" s="118"/>
      <c r="LJO301" s="118"/>
      <c r="LJP301" s="118"/>
      <c r="LJQ301" s="118"/>
      <c r="LJR301" s="118"/>
      <c r="LJS301" s="118"/>
      <c r="LJT301" s="118"/>
      <c r="LJU301" s="118"/>
      <c r="LJV301" s="118"/>
      <c r="LJW301" s="118"/>
      <c r="LJX301" s="118"/>
      <c r="LJY301" s="118"/>
      <c r="LJZ301" s="118"/>
      <c r="LKA301" s="118"/>
      <c r="LKB301" s="118"/>
      <c r="LKC301" s="118"/>
      <c r="LKD301" s="118"/>
      <c r="LKE301" s="118"/>
      <c r="LKF301" s="118"/>
      <c r="LKG301" s="118"/>
      <c r="LKH301" s="118"/>
      <c r="LKI301" s="118"/>
      <c r="LKJ301" s="118"/>
      <c r="LKK301" s="118"/>
      <c r="LKL301" s="118"/>
      <c r="LKM301" s="118"/>
      <c r="LKN301" s="118"/>
      <c r="LKO301" s="118"/>
      <c r="LKP301" s="118"/>
      <c r="LKQ301" s="118"/>
      <c r="LKR301" s="118"/>
      <c r="LKS301" s="118"/>
      <c r="LKT301" s="118"/>
      <c r="LKU301" s="118"/>
      <c r="LKV301" s="118"/>
      <c r="LKW301" s="118"/>
      <c r="LKX301" s="118"/>
      <c r="LKY301" s="118"/>
      <c r="LKZ301" s="118"/>
      <c r="LLA301" s="118"/>
      <c r="LLB301" s="118"/>
      <c r="LLC301" s="118"/>
      <c r="LLD301" s="118"/>
      <c r="LLE301" s="118"/>
      <c r="LLF301" s="118"/>
      <c r="LLG301" s="118"/>
      <c r="LLH301" s="118"/>
      <c r="LLI301" s="118"/>
      <c r="LLJ301" s="118"/>
      <c r="LLK301" s="118"/>
      <c r="LLL301" s="118"/>
      <c r="LLM301" s="118"/>
      <c r="LLN301" s="118"/>
      <c r="LLO301" s="118"/>
      <c r="LLP301" s="118"/>
      <c r="LLQ301" s="118"/>
      <c r="LLR301" s="118"/>
      <c r="LLS301" s="118"/>
      <c r="LLT301" s="118"/>
      <c r="LLU301" s="118"/>
      <c r="LLV301" s="118"/>
      <c r="LLW301" s="118"/>
      <c r="LLX301" s="118"/>
      <c r="LLY301" s="118"/>
      <c r="LLZ301" s="118"/>
      <c r="LMA301" s="118"/>
      <c r="LMB301" s="118"/>
      <c r="LMC301" s="118"/>
      <c r="LMD301" s="118"/>
      <c r="LME301" s="118"/>
      <c r="LMF301" s="118"/>
      <c r="LMG301" s="118"/>
      <c r="LMH301" s="118"/>
      <c r="LMI301" s="118"/>
      <c r="LMJ301" s="118"/>
      <c r="LMK301" s="118"/>
      <c r="LML301" s="118"/>
      <c r="LMM301" s="118"/>
      <c r="LMN301" s="118"/>
      <c r="LMO301" s="118"/>
      <c r="LMP301" s="118"/>
      <c r="LMQ301" s="118"/>
      <c r="LMR301" s="118"/>
      <c r="LMS301" s="118"/>
      <c r="LMT301" s="118"/>
      <c r="LMU301" s="118"/>
      <c r="LMV301" s="118"/>
      <c r="LMW301" s="118"/>
      <c r="LMX301" s="118"/>
      <c r="LMY301" s="118"/>
      <c r="LMZ301" s="118"/>
      <c r="LNA301" s="118"/>
      <c r="LNB301" s="118"/>
      <c r="LNC301" s="118"/>
      <c r="LND301" s="118"/>
      <c r="LNE301" s="118"/>
      <c r="LNF301" s="118"/>
      <c r="LNG301" s="118"/>
      <c r="LNH301" s="118"/>
      <c r="LNI301" s="118"/>
      <c r="LNJ301" s="118"/>
      <c r="LNK301" s="118"/>
      <c r="LNL301" s="118"/>
      <c r="LNM301" s="118"/>
      <c r="LNN301" s="118"/>
      <c r="LNO301" s="118"/>
      <c r="LNP301" s="118"/>
      <c r="LNQ301" s="118"/>
      <c r="LNR301" s="118"/>
      <c r="LNS301" s="118"/>
      <c r="LNT301" s="118"/>
      <c r="LNU301" s="118"/>
      <c r="LNV301" s="118"/>
      <c r="LNW301" s="118"/>
      <c r="LNX301" s="118"/>
      <c r="LNY301" s="118"/>
      <c r="LNZ301" s="118"/>
      <c r="LOA301" s="118"/>
      <c r="LOB301" s="118"/>
      <c r="LOC301" s="118"/>
      <c r="LOD301" s="118"/>
      <c r="LOE301" s="118"/>
      <c r="LOF301" s="118"/>
      <c r="LOG301" s="118"/>
      <c r="LOH301" s="118"/>
      <c r="LOI301" s="118"/>
      <c r="LOJ301" s="118"/>
      <c r="LOK301" s="118"/>
      <c r="LOL301" s="118"/>
      <c r="LOM301" s="118"/>
      <c r="LON301" s="118"/>
      <c r="LOO301" s="118"/>
      <c r="LOP301" s="118"/>
      <c r="LOQ301" s="118"/>
      <c r="LOR301" s="118"/>
      <c r="LOS301" s="118"/>
      <c r="LOT301" s="118"/>
      <c r="LOU301" s="118"/>
      <c r="LOV301" s="118"/>
      <c r="LOW301" s="118"/>
      <c r="LOX301" s="118"/>
      <c r="LOY301" s="118"/>
      <c r="LOZ301" s="118"/>
      <c r="LPA301" s="118"/>
      <c r="LPB301" s="118"/>
      <c r="LPC301" s="118"/>
      <c r="LPD301" s="118"/>
      <c r="LPE301" s="118"/>
      <c r="LPF301" s="118"/>
      <c r="LPG301" s="118"/>
      <c r="LPH301" s="118"/>
      <c r="LPI301" s="118"/>
      <c r="LPJ301" s="118"/>
      <c r="LPK301" s="118"/>
      <c r="LPL301" s="118"/>
      <c r="LPM301" s="118"/>
      <c r="LPN301" s="118"/>
      <c r="LPO301" s="118"/>
      <c r="LPP301" s="118"/>
      <c r="LPQ301" s="118"/>
      <c r="LPR301" s="118"/>
      <c r="LPS301" s="118"/>
      <c r="LPT301" s="118"/>
      <c r="LPU301" s="118"/>
      <c r="LPV301" s="118"/>
      <c r="LPW301" s="118"/>
      <c r="LPX301" s="118"/>
      <c r="LPY301" s="118"/>
      <c r="LPZ301" s="118"/>
      <c r="LQA301" s="118"/>
      <c r="LQB301" s="118"/>
      <c r="LQC301" s="118"/>
      <c r="LQD301" s="118"/>
      <c r="LQE301" s="118"/>
      <c r="LQF301" s="118"/>
      <c r="LQG301" s="118"/>
      <c r="LQH301" s="118"/>
      <c r="LQI301" s="118"/>
      <c r="LQJ301" s="118"/>
      <c r="LQK301" s="118"/>
      <c r="LQL301" s="118"/>
      <c r="LQM301" s="118"/>
      <c r="LQN301" s="118"/>
      <c r="LQO301" s="118"/>
      <c r="LQP301" s="118"/>
      <c r="LQQ301" s="118"/>
      <c r="LQR301" s="118"/>
      <c r="LQS301" s="118"/>
      <c r="LQT301" s="118"/>
      <c r="LQU301" s="118"/>
      <c r="LQV301" s="118"/>
      <c r="LQW301" s="118"/>
      <c r="LQX301" s="118"/>
      <c r="LQY301" s="118"/>
      <c r="LQZ301" s="118"/>
      <c r="LRA301" s="118"/>
      <c r="LRB301" s="118"/>
      <c r="LRC301" s="118"/>
      <c r="LRD301" s="118"/>
      <c r="LRE301" s="118"/>
      <c r="LRF301" s="118"/>
      <c r="LRG301" s="118"/>
      <c r="LRH301" s="118"/>
      <c r="LRI301" s="118"/>
      <c r="LRJ301" s="118"/>
      <c r="LRK301" s="118"/>
      <c r="LRL301" s="118"/>
      <c r="LRM301" s="118"/>
      <c r="LRN301" s="118"/>
      <c r="LRO301" s="118"/>
      <c r="LRP301" s="118"/>
      <c r="LRQ301" s="118"/>
      <c r="LRR301" s="118"/>
      <c r="LRS301" s="118"/>
      <c r="LRT301" s="118"/>
      <c r="LRU301" s="118"/>
      <c r="LRV301" s="118"/>
      <c r="LRW301" s="118"/>
      <c r="LRX301" s="118"/>
      <c r="LRY301" s="118"/>
      <c r="LRZ301" s="118"/>
      <c r="LSA301" s="118"/>
      <c r="LSB301" s="118"/>
      <c r="LSC301" s="118"/>
      <c r="LSD301" s="118"/>
      <c r="LSE301" s="118"/>
      <c r="LSF301" s="118"/>
      <c r="LSG301" s="118"/>
      <c r="LSH301" s="118"/>
      <c r="LSI301" s="118"/>
      <c r="LSJ301" s="118"/>
      <c r="LSK301" s="118"/>
      <c r="LSL301" s="118"/>
      <c r="LSM301" s="118"/>
      <c r="LSN301" s="118"/>
      <c r="LSO301" s="118"/>
      <c r="LSP301" s="118"/>
      <c r="LSQ301" s="118"/>
      <c r="LSR301" s="118"/>
      <c r="LSS301" s="118"/>
      <c r="LST301" s="118"/>
      <c r="LSU301" s="118"/>
      <c r="LSV301" s="118"/>
      <c r="LSW301" s="118"/>
      <c r="LSX301" s="118"/>
      <c r="LSY301" s="118"/>
      <c r="LSZ301" s="118"/>
      <c r="LTA301" s="118"/>
      <c r="LTB301" s="118"/>
      <c r="LTC301" s="118"/>
      <c r="LTD301" s="118"/>
      <c r="LTE301" s="118"/>
      <c r="LTF301" s="118"/>
      <c r="LTG301" s="118"/>
      <c r="LTH301" s="118"/>
      <c r="LTI301" s="118"/>
      <c r="LTJ301" s="118"/>
      <c r="LTK301" s="118"/>
      <c r="LTL301" s="118"/>
      <c r="LTM301" s="118"/>
      <c r="LTN301" s="118"/>
      <c r="LTO301" s="118"/>
      <c r="LTP301" s="118"/>
      <c r="LTQ301" s="118"/>
      <c r="LTR301" s="118"/>
      <c r="LTS301" s="118"/>
      <c r="LTT301" s="118"/>
      <c r="LTU301" s="118"/>
      <c r="LTV301" s="118"/>
      <c r="LTW301" s="118"/>
      <c r="LTX301" s="118"/>
      <c r="LTY301" s="118"/>
      <c r="LTZ301" s="118"/>
      <c r="LUA301" s="118"/>
      <c r="LUB301" s="118"/>
      <c r="LUC301" s="118"/>
      <c r="LUD301" s="118"/>
      <c r="LUE301" s="118"/>
      <c r="LUF301" s="118"/>
      <c r="LUG301" s="118"/>
      <c r="LUH301" s="118"/>
      <c r="LUI301" s="118"/>
      <c r="LUJ301" s="118"/>
      <c r="LUK301" s="118"/>
      <c r="LUL301" s="118"/>
      <c r="LUM301" s="118"/>
      <c r="LUN301" s="118"/>
      <c r="LUO301" s="118"/>
      <c r="LUP301" s="118"/>
      <c r="LUQ301" s="118"/>
      <c r="LUR301" s="118"/>
      <c r="LUS301" s="118"/>
      <c r="LUT301" s="118"/>
      <c r="LUU301" s="118"/>
      <c r="LUV301" s="118"/>
      <c r="LUW301" s="118"/>
      <c r="LUX301" s="118"/>
      <c r="LUY301" s="118"/>
      <c r="LUZ301" s="118"/>
      <c r="LVA301" s="118"/>
      <c r="LVB301" s="118"/>
      <c r="LVC301" s="118"/>
      <c r="LVD301" s="118"/>
      <c r="LVE301" s="118"/>
      <c r="LVF301" s="118"/>
      <c r="LVG301" s="118"/>
      <c r="LVH301" s="118"/>
      <c r="LVI301" s="118"/>
      <c r="LVJ301" s="118"/>
      <c r="LVK301" s="118"/>
      <c r="LVL301" s="118"/>
      <c r="LVM301" s="118"/>
      <c r="LVN301" s="118"/>
      <c r="LVO301" s="118"/>
      <c r="LVP301" s="118"/>
      <c r="LVQ301" s="118"/>
      <c r="LVR301" s="118"/>
      <c r="LVS301" s="118"/>
      <c r="LVT301" s="118"/>
      <c r="LVU301" s="118"/>
      <c r="LVV301" s="118"/>
      <c r="LVW301" s="118"/>
      <c r="LVX301" s="118"/>
      <c r="LVY301" s="118"/>
      <c r="LVZ301" s="118"/>
      <c r="LWA301" s="118"/>
      <c r="LWB301" s="118"/>
      <c r="LWC301" s="118"/>
      <c r="LWD301" s="118"/>
      <c r="LWE301" s="118"/>
      <c r="LWF301" s="118"/>
      <c r="LWG301" s="118"/>
      <c r="LWH301" s="118"/>
      <c r="LWI301" s="118"/>
      <c r="LWJ301" s="118"/>
      <c r="LWK301" s="118"/>
      <c r="LWL301" s="118"/>
      <c r="LWM301" s="118"/>
      <c r="LWN301" s="118"/>
      <c r="LWO301" s="118"/>
      <c r="LWP301" s="118"/>
      <c r="LWQ301" s="118"/>
      <c r="LWR301" s="118"/>
      <c r="LWS301" s="118"/>
      <c r="LWT301" s="118"/>
      <c r="LWU301" s="118"/>
      <c r="LWV301" s="118"/>
      <c r="LWW301" s="118"/>
      <c r="LWX301" s="118"/>
      <c r="LWY301" s="118"/>
      <c r="LWZ301" s="118"/>
      <c r="LXA301" s="118"/>
      <c r="LXB301" s="118"/>
      <c r="LXC301" s="118"/>
      <c r="LXD301" s="118"/>
      <c r="LXE301" s="118"/>
      <c r="LXF301" s="118"/>
      <c r="LXG301" s="118"/>
      <c r="LXH301" s="118"/>
      <c r="LXI301" s="118"/>
      <c r="LXJ301" s="118"/>
      <c r="LXK301" s="118"/>
      <c r="LXL301" s="118"/>
      <c r="LXM301" s="118"/>
      <c r="LXN301" s="118"/>
      <c r="LXO301" s="118"/>
      <c r="LXP301" s="118"/>
      <c r="LXQ301" s="118"/>
      <c r="LXR301" s="118"/>
      <c r="LXS301" s="118"/>
      <c r="LXT301" s="118"/>
      <c r="LXU301" s="118"/>
      <c r="LXV301" s="118"/>
      <c r="LXW301" s="118"/>
      <c r="LXX301" s="118"/>
      <c r="LXY301" s="118"/>
      <c r="LXZ301" s="118"/>
      <c r="LYA301" s="118"/>
      <c r="LYB301" s="118"/>
      <c r="LYC301" s="118"/>
      <c r="LYD301" s="118"/>
      <c r="LYE301" s="118"/>
      <c r="LYF301" s="118"/>
      <c r="LYG301" s="118"/>
      <c r="LYH301" s="118"/>
      <c r="LYI301" s="118"/>
      <c r="LYJ301" s="118"/>
      <c r="LYK301" s="118"/>
      <c r="LYL301" s="118"/>
      <c r="LYM301" s="118"/>
      <c r="LYN301" s="118"/>
      <c r="LYO301" s="118"/>
      <c r="LYP301" s="118"/>
      <c r="LYQ301" s="118"/>
      <c r="LYR301" s="118"/>
      <c r="LYS301" s="118"/>
      <c r="LYT301" s="118"/>
      <c r="LYU301" s="118"/>
      <c r="LYV301" s="118"/>
      <c r="LYW301" s="118"/>
      <c r="LYX301" s="118"/>
      <c r="LYY301" s="118"/>
      <c r="LYZ301" s="118"/>
      <c r="LZA301" s="118"/>
      <c r="LZB301" s="118"/>
      <c r="LZC301" s="118"/>
      <c r="LZD301" s="118"/>
      <c r="LZE301" s="118"/>
      <c r="LZF301" s="118"/>
      <c r="LZG301" s="118"/>
      <c r="LZH301" s="118"/>
      <c r="LZI301" s="118"/>
      <c r="LZJ301" s="118"/>
      <c r="LZK301" s="118"/>
      <c r="LZL301" s="118"/>
      <c r="LZM301" s="118"/>
      <c r="LZN301" s="118"/>
      <c r="LZO301" s="118"/>
      <c r="LZP301" s="118"/>
      <c r="LZQ301" s="118"/>
      <c r="LZR301" s="118"/>
      <c r="LZS301" s="118"/>
      <c r="LZT301" s="118"/>
      <c r="LZU301" s="118"/>
      <c r="LZV301" s="118"/>
      <c r="LZW301" s="118"/>
      <c r="LZX301" s="118"/>
      <c r="LZY301" s="118"/>
      <c r="LZZ301" s="118"/>
      <c r="MAA301" s="118"/>
      <c r="MAB301" s="118"/>
      <c r="MAC301" s="118"/>
      <c r="MAD301" s="118"/>
      <c r="MAE301" s="118"/>
      <c r="MAF301" s="118"/>
      <c r="MAG301" s="118"/>
      <c r="MAH301" s="118"/>
      <c r="MAI301" s="118"/>
      <c r="MAJ301" s="118"/>
      <c r="MAK301" s="118"/>
      <c r="MAL301" s="118"/>
      <c r="MAM301" s="118"/>
      <c r="MAN301" s="118"/>
      <c r="MAO301" s="118"/>
      <c r="MAP301" s="118"/>
      <c r="MAQ301" s="118"/>
      <c r="MAR301" s="118"/>
      <c r="MAS301" s="118"/>
      <c r="MAT301" s="118"/>
      <c r="MAU301" s="118"/>
      <c r="MAV301" s="118"/>
      <c r="MAW301" s="118"/>
      <c r="MAX301" s="118"/>
      <c r="MAY301" s="118"/>
      <c r="MAZ301" s="118"/>
      <c r="MBA301" s="118"/>
      <c r="MBB301" s="118"/>
      <c r="MBC301" s="118"/>
      <c r="MBD301" s="118"/>
      <c r="MBE301" s="118"/>
      <c r="MBF301" s="118"/>
      <c r="MBG301" s="118"/>
      <c r="MBH301" s="118"/>
      <c r="MBI301" s="118"/>
      <c r="MBJ301" s="118"/>
      <c r="MBK301" s="118"/>
      <c r="MBL301" s="118"/>
      <c r="MBM301" s="118"/>
      <c r="MBN301" s="118"/>
      <c r="MBO301" s="118"/>
      <c r="MBP301" s="118"/>
      <c r="MBQ301" s="118"/>
      <c r="MBR301" s="118"/>
      <c r="MBS301" s="118"/>
      <c r="MBT301" s="118"/>
      <c r="MBU301" s="118"/>
      <c r="MBV301" s="118"/>
      <c r="MBW301" s="118"/>
      <c r="MBX301" s="118"/>
      <c r="MBY301" s="118"/>
      <c r="MBZ301" s="118"/>
      <c r="MCA301" s="118"/>
      <c r="MCB301" s="118"/>
      <c r="MCC301" s="118"/>
      <c r="MCD301" s="118"/>
      <c r="MCE301" s="118"/>
      <c r="MCF301" s="118"/>
      <c r="MCG301" s="118"/>
      <c r="MCH301" s="118"/>
      <c r="MCI301" s="118"/>
      <c r="MCJ301" s="118"/>
      <c r="MCK301" s="118"/>
      <c r="MCL301" s="118"/>
      <c r="MCM301" s="118"/>
      <c r="MCN301" s="118"/>
      <c r="MCO301" s="118"/>
      <c r="MCP301" s="118"/>
      <c r="MCQ301" s="118"/>
      <c r="MCR301" s="118"/>
      <c r="MCS301" s="118"/>
      <c r="MCT301" s="118"/>
      <c r="MCU301" s="118"/>
      <c r="MCV301" s="118"/>
      <c r="MCW301" s="118"/>
      <c r="MCX301" s="118"/>
      <c r="MCY301" s="118"/>
      <c r="MCZ301" s="118"/>
      <c r="MDA301" s="118"/>
      <c r="MDB301" s="118"/>
      <c r="MDC301" s="118"/>
      <c r="MDD301" s="118"/>
      <c r="MDE301" s="118"/>
      <c r="MDF301" s="118"/>
      <c r="MDG301" s="118"/>
      <c r="MDH301" s="118"/>
      <c r="MDI301" s="118"/>
      <c r="MDJ301" s="118"/>
      <c r="MDK301" s="118"/>
      <c r="MDL301" s="118"/>
      <c r="MDM301" s="118"/>
      <c r="MDN301" s="118"/>
      <c r="MDO301" s="118"/>
      <c r="MDP301" s="118"/>
      <c r="MDQ301" s="118"/>
      <c r="MDR301" s="118"/>
      <c r="MDS301" s="118"/>
      <c r="MDT301" s="118"/>
      <c r="MDU301" s="118"/>
      <c r="MDV301" s="118"/>
      <c r="MDW301" s="118"/>
      <c r="MDX301" s="118"/>
      <c r="MDY301" s="118"/>
      <c r="MDZ301" s="118"/>
      <c r="MEA301" s="118"/>
      <c r="MEB301" s="118"/>
      <c r="MEC301" s="118"/>
      <c r="MED301" s="118"/>
      <c r="MEE301" s="118"/>
      <c r="MEF301" s="118"/>
      <c r="MEG301" s="118"/>
      <c r="MEH301" s="118"/>
      <c r="MEI301" s="118"/>
      <c r="MEJ301" s="118"/>
      <c r="MEK301" s="118"/>
      <c r="MEL301" s="118"/>
      <c r="MEM301" s="118"/>
      <c r="MEN301" s="118"/>
      <c r="MEO301" s="118"/>
      <c r="MEP301" s="118"/>
      <c r="MEQ301" s="118"/>
      <c r="MER301" s="118"/>
      <c r="MES301" s="118"/>
      <c r="MET301" s="118"/>
      <c r="MEU301" s="118"/>
      <c r="MEV301" s="118"/>
      <c r="MEW301" s="118"/>
      <c r="MEX301" s="118"/>
      <c r="MEY301" s="118"/>
      <c r="MEZ301" s="118"/>
      <c r="MFA301" s="118"/>
      <c r="MFB301" s="118"/>
      <c r="MFC301" s="118"/>
      <c r="MFD301" s="118"/>
      <c r="MFE301" s="118"/>
      <c r="MFF301" s="118"/>
      <c r="MFG301" s="118"/>
      <c r="MFH301" s="118"/>
      <c r="MFI301" s="118"/>
      <c r="MFJ301" s="118"/>
      <c r="MFK301" s="118"/>
      <c r="MFL301" s="118"/>
      <c r="MFM301" s="118"/>
      <c r="MFN301" s="118"/>
      <c r="MFO301" s="118"/>
      <c r="MFP301" s="118"/>
      <c r="MFQ301" s="118"/>
      <c r="MFR301" s="118"/>
      <c r="MFS301" s="118"/>
      <c r="MFT301" s="118"/>
      <c r="MFU301" s="118"/>
      <c r="MFV301" s="118"/>
      <c r="MFW301" s="118"/>
      <c r="MFX301" s="118"/>
      <c r="MFY301" s="118"/>
      <c r="MFZ301" s="118"/>
      <c r="MGA301" s="118"/>
      <c r="MGB301" s="118"/>
      <c r="MGC301" s="118"/>
      <c r="MGD301" s="118"/>
      <c r="MGE301" s="118"/>
      <c r="MGF301" s="118"/>
      <c r="MGG301" s="118"/>
      <c r="MGH301" s="118"/>
      <c r="MGI301" s="118"/>
      <c r="MGJ301" s="118"/>
      <c r="MGK301" s="118"/>
      <c r="MGL301" s="118"/>
      <c r="MGM301" s="118"/>
      <c r="MGN301" s="118"/>
      <c r="MGO301" s="118"/>
      <c r="MGP301" s="118"/>
      <c r="MGQ301" s="118"/>
      <c r="MGR301" s="118"/>
      <c r="MGS301" s="118"/>
      <c r="MGT301" s="118"/>
      <c r="MGU301" s="118"/>
      <c r="MGV301" s="118"/>
      <c r="MGW301" s="118"/>
      <c r="MGX301" s="118"/>
      <c r="MGY301" s="118"/>
      <c r="MGZ301" s="118"/>
      <c r="MHA301" s="118"/>
      <c r="MHB301" s="118"/>
      <c r="MHC301" s="118"/>
      <c r="MHD301" s="118"/>
      <c r="MHE301" s="118"/>
      <c r="MHF301" s="118"/>
      <c r="MHG301" s="118"/>
      <c r="MHH301" s="118"/>
      <c r="MHI301" s="118"/>
      <c r="MHJ301" s="118"/>
      <c r="MHK301" s="118"/>
      <c r="MHL301" s="118"/>
      <c r="MHM301" s="118"/>
      <c r="MHN301" s="118"/>
      <c r="MHO301" s="118"/>
      <c r="MHP301" s="118"/>
      <c r="MHQ301" s="118"/>
      <c r="MHR301" s="118"/>
      <c r="MHS301" s="118"/>
      <c r="MHT301" s="118"/>
      <c r="MHU301" s="118"/>
      <c r="MHV301" s="118"/>
      <c r="MHW301" s="118"/>
      <c r="MHX301" s="118"/>
      <c r="MHY301" s="118"/>
      <c r="MHZ301" s="118"/>
      <c r="MIA301" s="118"/>
      <c r="MIB301" s="118"/>
      <c r="MIC301" s="118"/>
      <c r="MID301" s="118"/>
      <c r="MIE301" s="118"/>
      <c r="MIF301" s="118"/>
      <c r="MIG301" s="118"/>
      <c r="MIH301" s="118"/>
      <c r="MII301" s="118"/>
      <c r="MIJ301" s="118"/>
      <c r="MIK301" s="118"/>
      <c r="MIL301" s="118"/>
      <c r="MIM301" s="118"/>
      <c r="MIN301" s="118"/>
      <c r="MIO301" s="118"/>
      <c r="MIP301" s="118"/>
      <c r="MIQ301" s="118"/>
      <c r="MIR301" s="118"/>
      <c r="MIS301" s="118"/>
      <c r="MIT301" s="118"/>
      <c r="MIU301" s="118"/>
      <c r="MIV301" s="118"/>
      <c r="MIW301" s="118"/>
      <c r="MIX301" s="118"/>
      <c r="MIY301" s="118"/>
      <c r="MIZ301" s="118"/>
      <c r="MJA301" s="118"/>
      <c r="MJB301" s="118"/>
      <c r="MJC301" s="118"/>
      <c r="MJD301" s="118"/>
      <c r="MJE301" s="118"/>
      <c r="MJF301" s="118"/>
      <c r="MJG301" s="118"/>
      <c r="MJH301" s="118"/>
      <c r="MJI301" s="118"/>
      <c r="MJJ301" s="118"/>
      <c r="MJK301" s="118"/>
      <c r="MJL301" s="118"/>
      <c r="MJM301" s="118"/>
      <c r="MJN301" s="118"/>
      <c r="MJO301" s="118"/>
      <c r="MJP301" s="118"/>
      <c r="MJQ301" s="118"/>
      <c r="MJR301" s="118"/>
      <c r="MJS301" s="118"/>
      <c r="MJT301" s="118"/>
      <c r="MJU301" s="118"/>
      <c r="MJV301" s="118"/>
      <c r="MJW301" s="118"/>
      <c r="MJX301" s="118"/>
      <c r="MJY301" s="118"/>
      <c r="MJZ301" s="118"/>
      <c r="MKA301" s="118"/>
      <c r="MKB301" s="118"/>
      <c r="MKC301" s="118"/>
      <c r="MKD301" s="118"/>
      <c r="MKE301" s="118"/>
      <c r="MKF301" s="118"/>
      <c r="MKG301" s="118"/>
      <c r="MKH301" s="118"/>
      <c r="MKI301" s="118"/>
      <c r="MKJ301" s="118"/>
      <c r="MKK301" s="118"/>
      <c r="MKL301" s="118"/>
      <c r="MKM301" s="118"/>
      <c r="MKN301" s="118"/>
      <c r="MKO301" s="118"/>
      <c r="MKP301" s="118"/>
      <c r="MKQ301" s="118"/>
      <c r="MKR301" s="118"/>
      <c r="MKS301" s="118"/>
      <c r="MKT301" s="118"/>
      <c r="MKU301" s="118"/>
      <c r="MKV301" s="118"/>
      <c r="MKW301" s="118"/>
      <c r="MKX301" s="118"/>
      <c r="MKY301" s="118"/>
      <c r="MKZ301" s="118"/>
      <c r="MLA301" s="118"/>
      <c r="MLB301" s="118"/>
      <c r="MLC301" s="118"/>
      <c r="MLD301" s="118"/>
      <c r="MLE301" s="118"/>
      <c r="MLF301" s="118"/>
      <c r="MLG301" s="118"/>
      <c r="MLH301" s="118"/>
      <c r="MLI301" s="118"/>
      <c r="MLJ301" s="118"/>
      <c r="MLK301" s="118"/>
      <c r="MLL301" s="118"/>
      <c r="MLM301" s="118"/>
      <c r="MLN301" s="118"/>
      <c r="MLO301" s="118"/>
      <c r="MLP301" s="118"/>
      <c r="MLQ301" s="118"/>
      <c r="MLR301" s="118"/>
      <c r="MLS301" s="118"/>
      <c r="MLT301" s="118"/>
      <c r="MLU301" s="118"/>
      <c r="MLV301" s="118"/>
      <c r="MLW301" s="118"/>
      <c r="MLX301" s="118"/>
      <c r="MLY301" s="118"/>
      <c r="MLZ301" s="118"/>
      <c r="MMA301" s="118"/>
      <c r="MMB301" s="118"/>
      <c r="MMC301" s="118"/>
      <c r="MMD301" s="118"/>
      <c r="MME301" s="118"/>
      <c r="MMF301" s="118"/>
      <c r="MMG301" s="118"/>
      <c r="MMH301" s="118"/>
      <c r="MMI301" s="118"/>
      <c r="MMJ301" s="118"/>
      <c r="MMK301" s="118"/>
      <c r="MML301" s="118"/>
      <c r="MMM301" s="118"/>
      <c r="MMN301" s="118"/>
      <c r="MMO301" s="118"/>
      <c r="MMP301" s="118"/>
      <c r="MMQ301" s="118"/>
      <c r="MMR301" s="118"/>
      <c r="MMS301" s="118"/>
      <c r="MMT301" s="118"/>
      <c r="MMU301" s="118"/>
      <c r="MMV301" s="118"/>
      <c r="MMW301" s="118"/>
      <c r="MMX301" s="118"/>
      <c r="MMY301" s="118"/>
      <c r="MMZ301" s="118"/>
      <c r="MNA301" s="118"/>
      <c r="MNB301" s="118"/>
      <c r="MNC301" s="118"/>
      <c r="MND301" s="118"/>
      <c r="MNE301" s="118"/>
      <c r="MNF301" s="118"/>
      <c r="MNG301" s="118"/>
      <c r="MNH301" s="118"/>
      <c r="MNI301" s="118"/>
      <c r="MNJ301" s="118"/>
      <c r="MNK301" s="118"/>
      <c r="MNL301" s="118"/>
      <c r="MNM301" s="118"/>
      <c r="MNN301" s="118"/>
      <c r="MNO301" s="118"/>
      <c r="MNP301" s="118"/>
      <c r="MNQ301" s="118"/>
      <c r="MNR301" s="118"/>
      <c r="MNS301" s="118"/>
      <c r="MNT301" s="118"/>
      <c r="MNU301" s="118"/>
      <c r="MNV301" s="118"/>
      <c r="MNW301" s="118"/>
      <c r="MNX301" s="118"/>
      <c r="MNY301" s="118"/>
      <c r="MNZ301" s="118"/>
      <c r="MOA301" s="118"/>
      <c r="MOB301" s="118"/>
      <c r="MOC301" s="118"/>
      <c r="MOD301" s="118"/>
      <c r="MOE301" s="118"/>
      <c r="MOF301" s="118"/>
      <c r="MOG301" s="118"/>
      <c r="MOH301" s="118"/>
      <c r="MOI301" s="118"/>
      <c r="MOJ301" s="118"/>
      <c r="MOK301" s="118"/>
      <c r="MOL301" s="118"/>
      <c r="MOM301" s="118"/>
      <c r="MON301" s="118"/>
      <c r="MOO301" s="118"/>
      <c r="MOP301" s="118"/>
      <c r="MOQ301" s="118"/>
      <c r="MOR301" s="118"/>
      <c r="MOS301" s="118"/>
      <c r="MOT301" s="118"/>
      <c r="MOU301" s="118"/>
      <c r="MOV301" s="118"/>
      <c r="MOW301" s="118"/>
      <c r="MOX301" s="118"/>
      <c r="MOY301" s="118"/>
      <c r="MOZ301" s="118"/>
      <c r="MPA301" s="118"/>
      <c r="MPB301" s="118"/>
      <c r="MPC301" s="118"/>
      <c r="MPD301" s="118"/>
      <c r="MPE301" s="118"/>
      <c r="MPF301" s="118"/>
      <c r="MPG301" s="118"/>
      <c r="MPH301" s="118"/>
      <c r="MPI301" s="118"/>
      <c r="MPJ301" s="118"/>
      <c r="MPK301" s="118"/>
      <c r="MPL301" s="118"/>
      <c r="MPM301" s="118"/>
      <c r="MPN301" s="118"/>
      <c r="MPO301" s="118"/>
      <c r="MPP301" s="118"/>
      <c r="MPQ301" s="118"/>
      <c r="MPR301" s="118"/>
      <c r="MPS301" s="118"/>
      <c r="MPT301" s="118"/>
      <c r="MPU301" s="118"/>
      <c r="MPV301" s="118"/>
      <c r="MPW301" s="118"/>
      <c r="MPX301" s="118"/>
      <c r="MPY301" s="118"/>
      <c r="MPZ301" s="118"/>
      <c r="MQA301" s="118"/>
      <c r="MQB301" s="118"/>
      <c r="MQC301" s="118"/>
      <c r="MQD301" s="118"/>
      <c r="MQE301" s="118"/>
      <c r="MQF301" s="118"/>
      <c r="MQG301" s="118"/>
      <c r="MQH301" s="118"/>
      <c r="MQI301" s="118"/>
      <c r="MQJ301" s="118"/>
      <c r="MQK301" s="118"/>
      <c r="MQL301" s="118"/>
      <c r="MQM301" s="118"/>
      <c r="MQN301" s="118"/>
      <c r="MQO301" s="118"/>
      <c r="MQP301" s="118"/>
      <c r="MQQ301" s="118"/>
      <c r="MQR301" s="118"/>
      <c r="MQS301" s="118"/>
      <c r="MQT301" s="118"/>
      <c r="MQU301" s="118"/>
      <c r="MQV301" s="118"/>
      <c r="MQW301" s="118"/>
      <c r="MQX301" s="118"/>
      <c r="MQY301" s="118"/>
      <c r="MQZ301" s="118"/>
      <c r="MRA301" s="118"/>
      <c r="MRB301" s="118"/>
      <c r="MRC301" s="118"/>
      <c r="MRD301" s="118"/>
      <c r="MRE301" s="118"/>
      <c r="MRF301" s="118"/>
      <c r="MRG301" s="118"/>
      <c r="MRH301" s="118"/>
      <c r="MRI301" s="118"/>
      <c r="MRJ301" s="118"/>
      <c r="MRK301" s="118"/>
      <c r="MRL301" s="118"/>
      <c r="MRM301" s="118"/>
      <c r="MRN301" s="118"/>
      <c r="MRO301" s="118"/>
      <c r="MRP301" s="118"/>
      <c r="MRQ301" s="118"/>
      <c r="MRR301" s="118"/>
      <c r="MRS301" s="118"/>
      <c r="MRT301" s="118"/>
      <c r="MRU301" s="118"/>
      <c r="MRV301" s="118"/>
      <c r="MRW301" s="118"/>
      <c r="MRX301" s="118"/>
      <c r="MRY301" s="118"/>
      <c r="MRZ301" s="118"/>
      <c r="MSA301" s="118"/>
      <c r="MSB301" s="118"/>
      <c r="MSC301" s="118"/>
      <c r="MSD301" s="118"/>
      <c r="MSE301" s="118"/>
      <c r="MSF301" s="118"/>
      <c r="MSG301" s="118"/>
      <c r="MSH301" s="118"/>
      <c r="MSI301" s="118"/>
      <c r="MSJ301" s="118"/>
      <c r="MSK301" s="118"/>
      <c r="MSL301" s="118"/>
      <c r="MSM301" s="118"/>
      <c r="MSN301" s="118"/>
      <c r="MSO301" s="118"/>
      <c r="MSP301" s="118"/>
      <c r="MSQ301" s="118"/>
      <c r="MSR301" s="118"/>
      <c r="MSS301" s="118"/>
      <c r="MST301" s="118"/>
      <c r="MSU301" s="118"/>
      <c r="MSV301" s="118"/>
      <c r="MSW301" s="118"/>
      <c r="MSX301" s="118"/>
      <c r="MSY301" s="118"/>
      <c r="MSZ301" s="118"/>
      <c r="MTA301" s="118"/>
      <c r="MTB301" s="118"/>
      <c r="MTC301" s="118"/>
      <c r="MTD301" s="118"/>
      <c r="MTE301" s="118"/>
      <c r="MTF301" s="118"/>
      <c r="MTG301" s="118"/>
      <c r="MTH301" s="118"/>
      <c r="MTI301" s="118"/>
      <c r="MTJ301" s="118"/>
      <c r="MTK301" s="118"/>
      <c r="MTL301" s="118"/>
      <c r="MTM301" s="118"/>
      <c r="MTN301" s="118"/>
      <c r="MTO301" s="118"/>
      <c r="MTP301" s="118"/>
      <c r="MTQ301" s="118"/>
      <c r="MTR301" s="118"/>
      <c r="MTS301" s="118"/>
      <c r="MTT301" s="118"/>
      <c r="MTU301" s="118"/>
      <c r="MTV301" s="118"/>
      <c r="MTW301" s="118"/>
      <c r="MTX301" s="118"/>
      <c r="MTY301" s="118"/>
      <c r="MTZ301" s="118"/>
      <c r="MUA301" s="118"/>
      <c r="MUB301" s="118"/>
      <c r="MUC301" s="118"/>
      <c r="MUD301" s="118"/>
      <c r="MUE301" s="118"/>
      <c r="MUF301" s="118"/>
      <c r="MUG301" s="118"/>
      <c r="MUH301" s="118"/>
      <c r="MUI301" s="118"/>
      <c r="MUJ301" s="118"/>
      <c r="MUK301" s="118"/>
      <c r="MUL301" s="118"/>
      <c r="MUM301" s="118"/>
      <c r="MUN301" s="118"/>
      <c r="MUO301" s="118"/>
      <c r="MUP301" s="118"/>
      <c r="MUQ301" s="118"/>
      <c r="MUR301" s="118"/>
      <c r="MUS301" s="118"/>
      <c r="MUT301" s="118"/>
      <c r="MUU301" s="118"/>
      <c r="MUV301" s="118"/>
      <c r="MUW301" s="118"/>
      <c r="MUX301" s="118"/>
      <c r="MUY301" s="118"/>
      <c r="MUZ301" s="118"/>
      <c r="MVA301" s="118"/>
      <c r="MVB301" s="118"/>
      <c r="MVC301" s="118"/>
      <c r="MVD301" s="118"/>
      <c r="MVE301" s="118"/>
      <c r="MVF301" s="118"/>
      <c r="MVG301" s="118"/>
      <c r="MVH301" s="118"/>
      <c r="MVI301" s="118"/>
      <c r="MVJ301" s="118"/>
      <c r="MVK301" s="118"/>
      <c r="MVL301" s="118"/>
      <c r="MVM301" s="118"/>
      <c r="MVN301" s="118"/>
      <c r="MVO301" s="118"/>
      <c r="MVP301" s="118"/>
      <c r="MVQ301" s="118"/>
      <c r="MVR301" s="118"/>
      <c r="MVS301" s="118"/>
      <c r="MVT301" s="118"/>
      <c r="MVU301" s="118"/>
      <c r="MVV301" s="118"/>
      <c r="MVW301" s="118"/>
      <c r="MVX301" s="118"/>
      <c r="MVY301" s="118"/>
      <c r="MVZ301" s="118"/>
      <c r="MWA301" s="118"/>
      <c r="MWB301" s="118"/>
      <c r="MWC301" s="118"/>
      <c r="MWD301" s="118"/>
      <c r="MWE301" s="118"/>
      <c r="MWF301" s="118"/>
      <c r="MWG301" s="118"/>
      <c r="MWH301" s="118"/>
      <c r="MWI301" s="118"/>
      <c r="MWJ301" s="118"/>
      <c r="MWK301" s="118"/>
      <c r="MWL301" s="118"/>
      <c r="MWM301" s="118"/>
      <c r="MWN301" s="118"/>
      <c r="MWO301" s="118"/>
      <c r="MWP301" s="118"/>
      <c r="MWQ301" s="118"/>
      <c r="MWR301" s="118"/>
      <c r="MWS301" s="118"/>
      <c r="MWT301" s="118"/>
      <c r="MWU301" s="118"/>
      <c r="MWV301" s="118"/>
      <c r="MWW301" s="118"/>
      <c r="MWX301" s="118"/>
      <c r="MWY301" s="118"/>
      <c r="MWZ301" s="118"/>
      <c r="MXA301" s="118"/>
      <c r="MXB301" s="118"/>
      <c r="MXC301" s="118"/>
      <c r="MXD301" s="118"/>
      <c r="MXE301" s="118"/>
      <c r="MXF301" s="118"/>
      <c r="MXG301" s="118"/>
      <c r="MXH301" s="118"/>
      <c r="MXI301" s="118"/>
      <c r="MXJ301" s="118"/>
      <c r="MXK301" s="118"/>
      <c r="MXL301" s="118"/>
      <c r="MXM301" s="118"/>
      <c r="MXN301" s="118"/>
      <c r="MXO301" s="118"/>
      <c r="MXP301" s="118"/>
      <c r="MXQ301" s="118"/>
      <c r="MXR301" s="118"/>
      <c r="MXS301" s="118"/>
      <c r="MXT301" s="118"/>
      <c r="MXU301" s="118"/>
      <c r="MXV301" s="118"/>
      <c r="MXW301" s="118"/>
      <c r="MXX301" s="118"/>
      <c r="MXY301" s="118"/>
      <c r="MXZ301" s="118"/>
      <c r="MYA301" s="118"/>
      <c r="MYB301" s="118"/>
      <c r="MYC301" s="118"/>
      <c r="MYD301" s="118"/>
      <c r="MYE301" s="118"/>
      <c r="MYF301" s="118"/>
      <c r="MYG301" s="118"/>
      <c r="MYH301" s="118"/>
      <c r="MYI301" s="118"/>
      <c r="MYJ301" s="118"/>
      <c r="MYK301" s="118"/>
      <c r="MYL301" s="118"/>
      <c r="MYM301" s="118"/>
      <c r="MYN301" s="118"/>
      <c r="MYO301" s="118"/>
      <c r="MYP301" s="118"/>
      <c r="MYQ301" s="118"/>
      <c r="MYR301" s="118"/>
      <c r="MYS301" s="118"/>
      <c r="MYT301" s="118"/>
      <c r="MYU301" s="118"/>
      <c r="MYV301" s="118"/>
      <c r="MYW301" s="118"/>
      <c r="MYX301" s="118"/>
      <c r="MYY301" s="118"/>
      <c r="MYZ301" s="118"/>
      <c r="MZA301" s="118"/>
      <c r="MZB301" s="118"/>
      <c r="MZC301" s="118"/>
      <c r="MZD301" s="118"/>
      <c r="MZE301" s="118"/>
      <c r="MZF301" s="118"/>
      <c r="MZG301" s="118"/>
      <c r="MZH301" s="118"/>
      <c r="MZI301" s="118"/>
      <c r="MZJ301" s="118"/>
      <c r="MZK301" s="118"/>
      <c r="MZL301" s="118"/>
      <c r="MZM301" s="118"/>
      <c r="MZN301" s="118"/>
      <c r="MZO301" s="118"/>
      <c r="MZP301" s="118"/>
      <c r="MZQ301" s="118"/>
      <c r="MZR301" s="118"/>
      <c r="MZS301" s="118"/>
      <c r="MZT301" s="118"/>
      <c r="MZU301" s="118"/>
      <c r="MZV301" s="118"/>
      <c r="MZW301" s="118"/>
      <c r="MZX301" s="118"/>
      <c r="MZY301" s="118"/>
      <c r="MZZ301" s="118"/>
      <c r="NAA301" s="118"/>
      <c r="NAB301" s="118"/>
      <c r="NAC301" s="118"/>
      <c r="NAD301" s="118"/>
      <c r="NAE301" s="118"/>
      <c r="NAF301" s="118"/>
      <c r="NAG301" s="118"/>
      <c r="NAH301" s="118"/>
      <c r="NAI301" s="118"/>
      <c r="NAJ301" s="118"/>
      <c r="NAK301" s="118"/>
      <c r="NAL301" s="118"/>
      <c r="NAM301" s="118"/>
      <c r="NAN301" s="118"/>
      <c r="NAO301" s="118"/>
      <c r="NAP301" s="118"/>
      <c r="NAQ301" s="118"/>
      <c r="NAR301" s="118"/>
      <c r="NAS301" s="118"/>
      <c r="NAT301" s="118"/>
      <c r="NAU301" s="118"/>
      <c r="NAV301" s="118"/>
      <c r="NAW301" s="118"/>
      <c r="NAX301" s="118"/>
      <c r="NAY301" s="118"/>
      <c r="NAZ301" s="118"/>
      <c r="NBA301" s="118"/>
      <c r="NBB301" s="118"/>
      <c r="NBC301" s="118"/>
      <c r="NBD301" s="118"/>
      <c r="NBE301" s="118"/>
      <c r="NBF301" s="118"/>
      <c r="NBG301" s="118"/>
      <c r="NBH301" s="118"/>
      <c r="NBI301" s="118"/>
      <c r="NBJ301" s="118"/>
      <c r="NBK301" s="118"/>
      <c r="NBL301" s="118"/>
      <c r="NBM301" s="118"/>
      <c r="NBN301" s="118"/>
      <c r="NBO301" s="118"/>
      <c r="NBP301" s="118"/>
      <c r="NBQ301" s="118"/>
      <c r="NBR301" s="118"/>
      <c r="NBS301" s="118"/>
      <c r="NBT301" s="118"/>
      <c r="NBU301" s="118"/>
      <c r="NBV301" s="118"/>
      <c r="NBW301" s="118"/>
      <c r="NBX301" s="118"/>
      <c r="NBY301" s="118"/>
      <c r="NBZ301" s="118"/>
      <c r="NCA301" s="118"/>
      <c r="NCB301" s="118"/>
      <c r="NCC301" s="118"/>
      <c r="NCD301" s="118"/>
      <c r="NCE301" s="118"/>
      <c r="NCF301" s="118"/>
      <c r="NCG301" s="118"/>
      <c r="NCH301" s="118"/>
      <c r="NCI301" s="118"/>
      <c r="NCJ301" s="118"/>
      <c r="NCK301" s="118"/>
      <c r="NCL301" s="118"/>
      <c r="NCM301" s="118"/>
      <c r="NCN301" s="118"/>
      <c r="NCO301" s="118"/>
      <c r="NCP301" s="118"/>
      <c r="NCQ301" s="118"/>
      <c r="NCR301" s="118"/>
      <c r="NCS301" s="118"/>
      <c r="NCT301" s="118"/>
      <c r="NCU301" s="118"/>
      <c r="NCV301" s="118"/>
      <c r="NCW301" s="118"/>
      <c r="NCX301" s="118"/>
      <c r="NCY301" s="118"/>
      <c r="NCZ301" s="118"/>
      <c r="NDA301" s="118"/>
      <c r="NDB301" s="118"/>
      <c r="NDC301" s="118"/>
      <c r="NDD301" s="118"/>
      <c r="NDE301" s="118"/>
      <c r="NDF301" s="118"/>
      <c r="NDG301" s="118"/>
      <c r="NDH301" s="118"/>
      <c r="NDI301" s="118"/>
      <c r="NDJ301" s="118"/>
      <c r="NDK301" s="118"/>
      <c r="NDL301" s="118"/>
      <c r="NDM301" s="118"/>
      <c r="NDN301" s="118"/>
      <c r="NDO301" s="118"/>
      <c r="NDP301" s="118"/>
      <c r="NDQ301" s="118"/>
      <c r="NDR301" s="118"/>
      <c r="NDS301" s="118"/>
      <c r="NDT301" s="118"/>
      <c r="NDU301" s="118"/>
      <c r="NDV301" s="118"/>
      <c r="NDW301" s="118"/>
      <c r="NDX301" s="118"/>
      <c r="NDY301" s="118"/>
      <c r="NDZ301" s="118"/>
      <c r="NEA301" s="118"/>
      <c r="NEB301" s="118"/>
      <c r="NEC301" s="118"/>
      <c r="NED301" s="118"/>
      <c r="NEE301" s="118"/>
      <c r="NEF301" s="118"/>
      <c r="NEG301" s="118"/>
      <c r="NEH301" s="118"/>
      <c r="NEI301" s="118"/>
      <c r="NEJ301" s="118"/>
      <c r="NEK301" s="118"/>
      <c r="NEL301" s="118"/>
      <c r="NEM301" s="118"/>
      <c r="NEN301" s="118"/>
      <c r="NEO301" s="118"/>
      <c r="NEP301" s="118"/>
      <c r="NEQ301" s="118"/>
      <c r="NER301" s="118"/>
      <c r="NES301" s="118"/>
      <c r="NET301" s="118"/>
      <c r="NEU301" s="118"/>
      <c r="NEV301" s="118"/>
      <c r="NEW301" s="118"/>
      <c r="NEX301" s="118"/>
      <c r="NEY301" s="118"/>
      <c r="NEZ301" s="118"/>
      <c r="NFA301" s="118"/>
      <c r="NFB301" s="118"/>
      <c r="NFC301" s="118"/>
      <c r="NFD301" s="118"/>
      <c r="NFE301" s="118"/>
      <c r="NFF301" s="118"/>
      <c r="NFG301" s="118"/>
      <c r="NFH301" s="118"/>
      <c r="NFI301" s="118"/>
      <c r="NFJ301" s="118"/>
      <c r="NFK301" s="118"/>
      <c r="NFL301" s="118"/>
      <c r="NFM301" s="118"/>
      <c r="NFN301" s="118"/>
      <c r="NFO301" s="118"/>
      <c r="NFP301" s="118"/>
      <c r="NFQ301" s="118"/>
      <c r="NFR301" s="118"/>
      <c r="NFS301" s="118"/>
      <c r="NFT301" s="118"/>
      <c r="NFU301" s="118"/>
      <c r="NFV301" s="118"/>
      <c r="NFW301" s="118"/>
      <c r="NFX301" s="118"/>
      <c r="NFY301" s="118"/>
      <c r="NFZ301" s="118"/>
      <c r="NGA301" s="118"/>
      <c r="NGB301" s="118"/>
      <c r="NGC301" s="118"/>
      <c r="NGD301" s="118"/>
      <c r="NGE301" s="118"/>
      <c r="NGF301" s="118"/>
      <c r="NGG301" s="118"/>
      <c r="NGH301" s="118"/>
      <c r="NGI301" s="118"/>
      <c r="NGJ301" s="118"/>
      <c r="NGK301" s="118"/>
      <c r="NGL301" s="118"/>
      <c r="NGM301" s="118"/>
      <c r="NGN301" s="118"/>
      <c r="NGO301" s="118"/>
      <c r="NGP301" s="118"/>
      <c r="NGQ301" s="118"/>
      <c r="NGR301" s="118"/>
      <c r="NGS301" s="118"/>
      <c r="NGT301" s="118"/>
      <c r="NGU301" s="118"/>
      <c r="NGV301" s="118"/>
      <c r="NGW301" s="118"/>
      <c r="NGX301" s="118"/>
      <c r="NGY301" s="118"/>
      <c r="NGZ301" s="118"/>
      <c r="NHA301" s="118"/>
      <c r="NHB301" s="118"/>
      <c r="NHC301" s="118"/>
      <c r="NHD301" s="118"/>
      <c r="NHE301" s="118"/>
      <c r="NHF301" s="118"/>
      <c r="NHG301" s="118"/>
      <c r="NHH301" s="118"/>
      <c r="NHI301" s="118"/>
      <c r="NHJ301" s="118"/>
      <c r="NHK301" s="118"/>
      <c r="NHL301" s="118"/>
      <c r="NHM301" s="118"/>
      <c r="NHN301" s="118"/>
      <c r="NHO301" s="118"/>
      <c r="NHP301" s="118"/>
      <c r="NHQ301" s="118"/>
      <c r="NHR301" s="118"/>
      <c r="NHS301" s="118"/>
      <c r="NHT301" s="118"/>
      <c r="NHU301" s="118"/>
      <c r="NHV301" s="118"/>
      <c r="NHW301" s="118"/>
      <c r="NHX301" s="118"/>
      <c r="NHY301" s="118"/>
      <c r="NHZ301" s="118"/>
      <c r="NIA301" s="118"/>
      <c r="NIB301" s="118"/>
      <c r="NIC301" s="118"/>
      <c r="NID301" s="118"/>
      <c r="NIE301" s="118"/>
      <c r="NIF301" s="118"/>
      <c r="NIG301" s="118"/>
      <c r="NIH301" s="118"/>
      <c r="NII301" s="118"/>
      <c r="NIJ301" s="118"/>
      <c r="NIK301" s="118"/>
      <c r="NIL301" s="118"/>
      <c r="NIM301" s="118"/>
      <c r="NIN301" s="118"/>
      <c r="NIO301" s="118"/>
      <c r="NIP301" s="118"/>
      <c r="NIQ301" s="118"/>
      <c r="NIR301" s="118"/>
      <c r="NIS301" s="118"/>
      <c r="NIT301" s="118"/>
      <c r="NIU301" s="118"/>
      <c r="NIV301" s="118"/>
      <c r="NIW301" s="118"/>
      <c r="NIX301" s="118"/>
      <c r="NIY301" s="118"/>
      <c r="NIZ301" s="118"/>
      <c r="NJA301" s="118"/>
      <c r="NJB301" s="118"/>
      <c r="NJC301" s="118"/>
      <c r="NJD301" s="118"/>
      <c r="NJE301" s="118"/>
      <c r="NJF301" s="118"/>
      <c r="NJG301" s="118"/>
      <c r="NJH301" s="118"/>
      <c r="NJI301" s="118"/>
      <c r="NJJ301" s="118"/>
      <c r="NJK301" s="118"/>
      <c r="NJL301" s="118"/>
      <c r="NJM301" s="118"/>
      <c r="NJN301" s="118"/>
      <c r="NJO301" s="118"/>
      <c r="NJP301" s="118"/>
      <c r="NJQ301" s="118"/>
      <c r="NJR301" s="118"/>
      <c r="NJS301" s="118"/>
      <c r="NJT301" s="118"/>
      <c r="NJU301" s="118"/>
      <c r="NJV301" s="118"/>
      <c r="NJW301" s="118"/>
      <c r="NJX301" s="118"/>
      <c r="NJY301" s="118"/>
      <c r="NJZ301" s="118"/>
      <c r="NKA301" s="118"/>
      <c r="NKB301" s="118"/>
      <c r="NKC301" s="118"/>
      <c r="NKD301" s="118"/>
      <c r="NKE301" s="118"/>
      <c r="NKF301" s="118"/>
      <c r="NKG301" s="118"/>
      <c r="NKH301" s="118"/>
      <c r="NKI301" s="118"/>
      <c r="NKJ301" s="118"/>
      <c r="NKK301" s="118"/>
      <c r="NKL301" s="118"/>
      <c r="NKM301" s="118"/>
      <c r="NKN301" s="118"/>
      <c r="NKO301" s="118"/>
      <c r="NKP301" s="118"/>
      <c r="NKQ301" s="118"/>
      <c r="NKR301" s="118"/>
      <c r="NKS301" s="118"/>
      <c r="NKT301" s="118"/>
      <c r="NKU301" s="118"/>
      <c r="NKV301" s="118"/>
      <c r="NKW301" s="118"/>
      <c r="NKX301" s="118"/>
      <c r="NKY301" s="118"/>
      <c r="NKZ301" s="118"/>
      <c r="NLA301" s="118"/>
      <c r="NLB301" s="118"/>
      <c r="NLC301" s="118"/>
      <c r="NLD301" s="118"/>
      <c r="NLE301" s="118"/>
      <c r="NLF301" s="118"/>
      <c r="NLG301" s="118"/>
      <c r="NLH301" s="118"/>
      <c r="NLI301" s="118"/>
      <c r="NLJ301" s="118"/>
      <c r="NLK301" s="118"/>
      <c r="NLL301" s="118"/>
      <c r="NLM301" s="118"/>
      <c r="NLN301" s="118"/>
      <c r="NLO301" s="118"/>
      <c r="NLP301" s="118"/>
      <c r="NLQ301" s="118"/>
      <c r="NLR301" s="118"/>
      <c r="NLS301" s="118"/>
      <c r="NLT301" s="118"/>
      <c r="NLU301" s="118"/>
      <c r="NLV301" s="118"/>
      <c r="NLW301" s="118"/>
      <c r="NLX301" s="118"/>
      <c r="NLY301" s="118"/>
      <c r="NLZ301" s="118"/>
      <c r="NMA301" s="118"/>
      <c r="NMB301" s="118"/>
      <c r="NMC301" s="118"/>
      <c r="NMD301" s="118"/>
      <c r="NME301" s="118"/>
      <c r="NMF301" s="118"/>
      <c r="NMG301" s="118"/>
      <c r="NMH301" s="118"/>
      <c r="NMI301" s="118"/>
      <c r="NMJ301" s="118"/>
      <c r="NMK301" s="118"/>
      <c r="NML301" s="118"/>
      <c r="NMM301" s="118"/>
      <c r="NMN301" s="118"/>
      <c r="NMO301" s="118"/>
      <c r="NMP301" s="118"/>
      <c r="NMQ301" s="118"/>
      <c r="NMR301" s="118"/>
      <c r="NMS301" s="118"/>
      <c r="NMT301" s="118"/>
      <c r="NMU301" s="118"/>
      <c r="NMV301" s="118"/>
      <c r="NMW301" s="118"/>
      <c r="NMX301" s="118"/>
      <c r="NMY301" s="118"/>
      <c r="NMZ301" s="118"/>
      <c r="NNA301" s="118"/>
      <c r="NNB301" s="118"/>
      <c r="NNC301" s="118"/>
      <c r="NND301" s="118"/>
      <c r="NNE301" s="118"/>
      <c r="NNF301" s="118"/>
      <c r="NNG301" s="118"/>
      <c r="NNH301" s="118"/>
      <c r="NNI301" s="118"/>
      <c r="NNJ301" s="118"/>
      <c r="NNK301" s="118"/>
      <c r="NNL301" s="118"/>
      <c r="NNM301" s="118"/>
      <c r="NNN301" s="118"/>
      <c r="NNO301" s="118"/>
      <c r="NNP301" s="118"/>
      <c r="NNQ301" s="118"/>
      <c r="NNR301" s="118"/>
      <c r="NNS301" s="118"/>
      <c r="NNT301" s="118"/>
      <c r="NNU301" s="118"/>
      <c r="NNV301" s="118"/>
      <c r="NNW301" s="118"/>
      <c r="NNX301" s="118"/>
      <c r="NNY301" s="118"/>
      <c r="NNZ301" s="118"/>
      <c r="NOA301" s="118"/>
      <c r="NOB301" s="118"/>
      <c r="NOC301" s="118"/>
      <c r="NOD301" s="118"/>
      <c r="NOE301" s="118"/>
      <c r="NOF301" s="118"/>
      <c r="NOG301" s="118"/>
      <c r="NOH301" s="118"/>
      <c r="NOI301" s="118"/>
      <c r="NOJ301" s="118"/>
      <c r="NOK301" s="118"/>
      <c r="NOL301" s="118"/>
      <c r="NOM301" s="118"/>
      <c r="NON301" s="118"/>
      <c r="NOO301" s="118"/>
      <c r="NOP301" s="118"/>
      <c r="NOQ301" s="118"/>
      <c r="NOR301" s="118"/>
      <c r="NOS301" s="118"/>
      <c r="NOT301" s="118"/>
      <c r="NOU301" s="118"/>
      <c r="NOV301" s="118"/>
      <c r="NOW301" s="118"/>
      <c r="NOX301" s="118"/>
      <c r="NOY301" s="118"/>
      <c r="NOZ301" s="118"/>
      <c r="NPA301" s="118"/>
      <c r="NPB301" s="118"/>
      <c r="NPC301" s="118"/>
      <c r="NPD301" s="118"/>
      <c r="NPE301" s="118"/>
      <c r="NPF301" s="118"/>
      <c r="NPG301" s="118"/>
      <c r="NPH301" s="118"/>
      <c r="NPI301" s="118"/>
      <c r="NPJ301" s="118"/>
      <c r="NPK301" s="118"/>
      <c r="NPL301" s="118"/>
      <c r="NPM301" s="118"/>
      <c r="NPN301" s="118"/>
      <c r="NPO301" s="118"/>
      <c r="NPP301" s="118"/>
      <c r="NPQ301" s="118"/>
      <c r="NPR301" s="118"/>
      <c r="NPS301" s="118"/>
      <c r="NPT301" s="118"/>
      <c r="NPU301" s="118"/>
      <c r="NPV301" s="118"/>
      <c r="NPW301" s="118"/>
      <c r="NPX301" s="118"/>
      <c r="NPY301" s="118"/>
      <c r="NPZ301" s="118"/>
      <c r="NQA301" s="118"/>
      <c r="NQB301" s="118"/>
      <c r="NQC301" s="118"/>
      <c r="NQD301" s="118"/>
      <c r="NQE301" s="118"/>
      <c r="NQF301" s="118"/>
      <c r="NQG301" s="118"/>
      <c r="NQH301" s="118"/>
      <c r="NQI301" s="118"/>
      <c r="NQJ301" s="118"/>
      <c r="NQK301" s="118"/>
      <c r="NQL301" s="118"/>
      <c r="NQM301" s="118"/>
      <c r="NQN301" s="118"/>
      <c r="NQO301" s="118"/>
      <c r="NQP301" s="118"/>
      <c r="NQQ301" s="118"/>
      <c r="NQR301" s="118"/>
      <c r="NQS301" s="118"/>
      <c r="NQT301" s="118"/>
      <c r="NQU301" s="118"/>
      <c r="NQV301" s="118"/>
      <c r="NQW301" s="118"/>
      <c r="NQX301" s="118"/>
      <c r="NQY301" s="118"/>
      <c r="NQZ301" s="118"/>
      <c r="NRA301" s="118"/>
      <c r="NRB301" s="118"/>
      <c r="NRC301" s="118"/>
      <c r="NRD301" s="118"/>
      <c r="NRE301" s="118"/>
      <c r="NRF301" s="118"/>
      <c r="NRG301" s="118"/>
      <c r="NRH301" s="118"/>
      <c r="NRI301" s="118"/>
      <c r="NRJ301" s="118"/>
      <c r="NRK301" s="118"/>
      <c r="NRL301" s="118"/>
      <c r="NRM301" s="118"/>
      <c r="NRN301" s="118"/>
      <c r="NRO301" s="118"/>
      <c r="NRP301" s="118"/>
      <c r="NRQ301" s="118"/>
      <c r="NRR301" s="118"/>
      <c r="NRS301" s="118"/>
      <c r="NRT301" s="118"/>
      <c r="NRU301" s="118"/>
      <c r="NRV301" s="118"/>
      <c r="NRW301" s="118"/>
      <c r="NRX301" s="118"/>
      <c r="NRY301" s="118"/>
      <c r="NRZ301" s="118"/>
      <c r="NSA301" s="118"/>
      <c r="NSB301" s="118"/>
      <c r="NSC301" s="118"/>
      <c r="NSD301" s="118"/>
      <c r="NSE301" s="118"/>
      <c r="NSF301" s="118"/>
      <c r="NSG301" s="118"/>
      <c r="NSH301" s="118"/>
      <c r="NSI301" s="118"/>
      <c r="NSJ301" s="118"/>
      <c r="NSK301" s="118"/>
      <c r="NSL301" s="118"/>
      <c r="NSM301" s="118"/>
      <c r="NSN301" s="118"/>
      <c r="NSO301" s="118"/>
      <c r="NSP301" s="118"/>
      <c r="NSQ301" s="118"/>
      <c r="NSR301" s="118"/>
      <c r="NSS301" s="118"/>
      <c r="NST301" s="118"/>
      <c r="NSU301" s="118"/>
      <c r="NSV301" s="118"/>
      <c r="NSW301" s="118"/>
      <c r="NSX301" s="118"/>
      <c r="NSY301" s="118"/>
      <c r="NSZ301" s="118"/>
      <c r="NTA301" s="118"/>
      <c r="NTB301" s="118"/>
      <c r="NTC301" s="118"/>
      <c r="NTD301" s="118"/>
      <c r="NTE301" s="118"/>
      <c r="NTF301" s="118"/>
      <c r="NTG301" s="118"/>
      <c r="NTH301" s="118"/>
      <c r="NTI301" s="118"/>
      <c r="NTJ301" s="118"/>
      <c r="NTK301" s="118"/>
      <c r="NTL301" s="118"/>
      <c r="NTM301" s="118"/>
      <c r="NTN301" s="118"/>
      <c r="NTO301" s="118"/>
      <c r="NTP301" s="118"/>
      <c r="NTQ301" s="118"/>
      <c r="NTR301" s="118"/>
      <c r="NTS301" s="118"/>
      <c r="NTT301" s="118"/>
      <c r="NTU301" s="118"/>
      <c r="NTV301" s="118"/>
      <c r="NTW301" s="118"/>
      <c r="NTX301" s="118"/>
      <c r="NTY301" s="118"/>
      <c r="NTZ301" s="118"/>
      <c r="NUA301" s="118"/>
      <c r="NUB301" s="118"/>
      <c r="NUC301" s="118"/>
      <c r="NUD301" s="118"/>
      <c r="NUE301" s="118"/>
      <c r="NUF301" s="118"/>
      <c r="NUG301" s="118"/>
      <c r="NUH301" s="118"/>
      <c r="NUI301" s="118"/>
      <c r="NUJ301" s="118"/>
      <c r="NUK301" s="118"/>
      <c r="NUL301" s="118"/>
      <c r="NUM301" s="118"/>
      <c r="NUN301" s="118"/>
      <c r="NUO301" s="118"/>
      <c r="NUP301" s="118"/>
      <c r="NUQ301" s="118"/>
      <c r="NUR301" s="118"/>
      <c r="NUS301" s="118"/>
      <c r="NUT301" s="118"/>
      <c r="NUU301" s="118"/>
      <c r="NUV301" s="118"/>
      <c r="NUW301" s="118"/>
      <c r="NUX301" s="118"/>
      <c r="NUY301" s="118"/>
      <c r="NUZ301" s="118"/>
      <c r="NVA301" s="118"/>
      <c r="NVB301" s="118"/>
      <c r="NVC301" s="118"/>
      <c r="NVD301" s="118"/>
      <c r="NVE301" s="118"/>
      <c r="NVF301" s="118"/>
      <c r="NVG301" s="118"/>
      <c r="NVH301" s="118"/>
      <c r="NVI301" s="118"/>
      <c r="NVJ301" s="118"/>
      <c r="NVK301" s="118"/>
      <c r="NVL301" s="118"/>
      <c r="NVM301" s="118"/>
      <c r="NVN301" s="118"/>
      <c r="NVO301" s="118"/>
      <c r="NVP301" s="118"/>
      <c r="NVQ301" s="118"/>
      <c r="NVR301" s="118"/>
      <c r="NVS301" s="118"/>
      <c r="NVT301" s="118"/>
      <c r="NVU301" s="118"/>
      <c r="NVV301" s="118"/>
      <c r="NVW301" s="118"/>
      <c r="NVX301" s="118"/>
      <c r="NVY301" s="118"/>
      <c r="NVZ301" s="118"/>
      <c r="NWA301" s="118"/>
      <c r="NWB301" s="118"/>
      <c r="NWC301" s="118"/>
      <c r="NWD301" s="118"/>
      <c r="NWE301" s="118"/>
      <c r="NWF301" s="118"/>
      <c r="NWG301" s="118"/>
      <c r="NWH301" s="118"/>
      <c r="NWI301" s="118"/>
      <c r="NWJ301" s="118"/>
      <c r="NWK301" s="118"/>
      <c r="NWL301" s="118"/>
      <c r="NWM301" s="118"/>
      <c r="NWN301" s="118"/>
      <c r="NWO301" s="118"/>
      <c r="NWP301" s="118"/>
      <c r="NWQ301" s="118"/>
      <c r="NWR301" s="118"/>
      <c r="NWS301" s="118"/>
      <c r="NWT301" s="118"/>
      <c r="NWU301" s="118"/>
      <c r="NWV301" s="118"/>
      <c r="NWW301" s="118"/>
      <c r="NWX301" s="118"/>
      <c r="NWY301" s="118"/>
      <c r="NWZ301" s="118"/>
      <c r="NXA301" s="118"/>
      <c r="NXB301" s="118"/>
      <c r="NXC301" s="118"/>
      <c r="NXD301" s="118"/>
      <c r="NXE301" s="118"/>
      <c r="NXF301" s="118"/>
      <c r="NXG301" s="118"/>
      <c r="NXH301" s="118"/>
      <c r="NXI301" s="118"/>
      <c r="NXJ301" s="118"/>
      <c r="NXK301" s="118"/>
      <c r="NXL301" s="118"/>
      <c r="NXM301" s="118"/>
      <c r="NXN301" s="118"/>
      <c r="NXO301" s="118"/>
      <c r="NXP301" s="118"/>
      <c r="NXQ301" s="118"/>
      <c r="NXR301" s="118"/>
      <c r="NXS301" s="118"/>
      <c r="NXT301" s="118"/>
      <c r="NXU301" s="118"/>
      <c r="NXV301" s="118"/>
      <c r="NXW301" s="118"/>
      <c r="NXX301" s="118"/>
      <c r="NXY301" s="118"/>
      <c r="NXZ301" s="118"/>
      <c r="NYA301" s="118"/>
      <c r="NYB301" s="118"/>
      <c r="NYC301" s="118"/>
      <c r="NYD301" s="118"/>
      <c r="NYE301" s="118"/>
      <c r="NYF301" s="118"/>
      <c r="NYG301" s="118"/>
      <c r="NYH301" s="118"/>
      <c r="NYI301" s="118"/>
      <c r="NYJ301" s="118"/>
      <c r="NYK301" s="118"/>
      <c r="NYL301" s="118"/>
      <c r="NYM301" s="118"/>
      <c r="NYN301" s="118"/>
      <c r="NYO301" s="118"/>
      <c r="NYP301" s="118"/>
      <c r="NYQ301" s="118"/>
      <c r="NYR301" s="118"/>
      <c r="NYS301" s="118"/>
      <c r="NYT301" s="118"/>
      <c r="NYU301" s="118"/>
      <c r="NYV301" s="118"/>
      <c r="NYW301" s="118"/>
      <c r="NYX301" s="118"/>
      <c r="NYY301" s="118"/>
      <c r="NYZ301" s="118"/>
      <c r="NZA301" s="118"/>
      <c r="NZB301" s="118"/>
      <c r="NZC301" s="118"/>
      <c r="NZD301" s="118"/>
      <c r="NZE301" s="118"/>
      <c r="NZF301" s="118"/>
      <c r="NZG301" s="118"/>
      <c r="NZH301" s="118"/>
      <c r="NZI301" s="118"/>
      <c r="NZJ301" s="118"/>
      <c r="NZK301" s="118"/>
      <c r="NZL301" s="118"/>
      <c r="NZM301" s="118"/>
      <c r="NZN301" s="118"/>
      <c r="NZO301" s="118"/>
      <c r="NZP301" s="118"/>
      <c r="NZQ301" s="118"/>
      <c r="NZR301" s="118"/>
      <c r="NZS301" s="118"/>
      <c r="NZT301" s="118"/>
      <c r="NZU301" s="118"/>
      <c r="NZV301" s="118"/>
      <c r="NZW301" s="118"/>
      <c r="NZX301" s="118"/>
      <c r="NZY301" s="118"/>
      <c r="NZZ301" s="118"/>
      <c r="OAA301" s="118"/>
      <c r="OAB301" s="118"/>
      <c r="OAC301" s="118"/>
      <c r="OAD301" s="118"/>
      <c r="OAE301" s="118"/>
      <c r="OAF301" s="118"/>
      <c r="OAG301" s="118"/>
      <c r="OAH301" s="118"/>
      <c r="OAI301" s="118"/>
      <c r="OAJ301" s="118"/>
      <c r="OAK301" s="118"/>
      <c r="OAL301" s="118"/>
      <c r="OAM301" s="118"/>
      <c r="OAN301" s="118"/>
      <c r="OAO301" s="118"/>
      <c r="OAP301" s="118"/>
      <c r="OAQ301" s="118"/>
      <c r="OAR301" s="118"/>
      <c r="OAS301" s="118"/>
      <c r="OAT301" s="118"/>
      <c r="OAU301" s="118"/>
      <c r="OAV301" s="118"/>
      <c r="OAW301" s="118"/>
      <c r="OAX301" s="118"/>
      <c r="OAY301" s="118"/>
      <c r="OAZ301" s="118"/>
      <c r="OBA301" s="118"/>
      <c r="OBB301" s="118"/>
      <c r="OBC301" s="118"/>
      <c r="OBD301" s="118"/>
      <c r="OBE301" s="118"/>
      <c r="OBF301" s="118"/>
      <c r="OBG301" s="118"/>
      <c r="OBH301" s="118"/>
      <c r="OBI301" s="118"/>
      <c r="OBJ301" s="118"/>
      <c r="OBK301" s="118"/>
      <c r="OBL301" s="118"/>
      <c r="OBM301" s="118"/>
      <c r="OBN301" s="118"/>
      <c r="OBO301" s="118"/>
      <c r="OBP301" s="118"/>
      <c r="OBQ301" s="118"/>
      <c r="OBR301" s="118"/>
      <c r="OBS301" s="118"/>
      <c r="OBT301" s="118"/>
      <c r="OBU301" s="118"/>
      <c r="OBV301" s="118"/>
      <c r="OBW301" s="118"/>
      <c r="OBX301" s="118"/>
      <c r="OBY301" s="118"/>
      <c r="OBZ301" s="118"/>
      <c r="OCA301" s="118"/>
      <c r="OCB301" s="118"/>
      <c r="OCC301" s="118"/>
      <c r="OCD301" s="118"/>
      <c r="OCE301" s="118"/>
      <c r="OCF301" s="118"/>
      <c r="OCG301" s="118"/>
      <c r="OCH301" s="118"/>
      <c r="OCI301" s="118"/>
      <c r="OCJ301" s="118"/>
      <c r="OCK301" s="118"/>
      <c r="OCL301" s="118"/>
      <c r="OCM301" s="118"/>
      <c r="OCN301" s="118"/>
      <c r="OCO301" s="118"/>
      <c r="OCP301" s="118"/>
      <c r="OCQ301" s="118"/>
      <c r="OCR301" s="118"/>
      <c r="OCS301" s="118"/>
      <c r="OCT301" s="118"/>
      <c r="OCU301" s="118"/>
      <c r="OCV301" s="118"/>
      <c r="OCW301" s="118"/>
      <c r="OCX301" s="118"/>
      <c r="OCY301" s="118"/>
      <c r="OCZ301" s="118"/>
      <c r="ODA301" s="118"/>
      <c r="ODB301" s="118"/>
      <c r="ODC301" s="118"/>
      <c r="ODD301" s="118"/>
      <c r="ODE301" s="118"/>
      <c r="ODF301" s="118"/>
      <c r="ODG301" s="118"/>
      <c r="ODH301" s="118"/>
      <c r="ODI301" s="118"/>
      <c r="ODJ301" s="118"/>
      <c r="ODK301" s="118"/>
      <c r="ODL301" s="118"/>
      <c r="ODM301" s="118"/>
      <c r="ODN301" s="118"/>
      <c r="ODO301" s="118"/>
      <c r="ODP301" s="118"/>
      <c r="ODQ301" s="118"/>
      <c r="ODR301" s="118"/>
      <c r="ODS301" s="118"/>
      <c r="ODT301" s="118"/>
      <c r="ODU301" s="118"/>
      <c r="ODV301" s="118"/>
      <c r="ODW301" s="118"/>
      <c r="ODX301" s="118"/>
      <c r="ODY301" s="118"/>
      <c r="ODZ301" s="118"/>
      <c r="OEA301" s="118"/>
      <c r="OEB301" s="118"/>
      <c r="OEC301" s="118"/>
      <c r="OED301" s="118"/>
      <c r="OEE301" s="118"/>
      <c r="OEF301" s="118"/>
      <c r="OEG301" s="118"/>
      <c r="OEH301" s="118"/>
      <c r="OEI301" s="118"/>
      <c r="OEJ301" s="118"/>
      <c r="OEK301" s="118"/>
      <c r="OEL301" s="118"/>
      <c r="OEM301" s="118"/>
      <c r="OEN301" s="118"/>
      <c r="OEO301" s="118"/>
      <c r="OEP301" s="118"/>
      <c r="OEQ301" s="118"/>
      <c r="OER301" s="118"/>
      <c r="OES301" s="118"/>
      <c r="OET301" s="118"/>
      <c r="OEU301" s="118"/>
      <c r="OEV301" s="118"/>
      <c r="OEW301" s="118"/>
      <c r="OEX301" s="118"/>
      <c r="OEY301" s="118"/>
      <c r="OEZ301" s="118"/>
      <c r="OFA301" s="118"/>
      <c r="OFB301" s="118"/>
      <c r="OFC301" s="118"/>
      <c r="OFD301" s="118"/>
      <c r="OFE301" s="118"/>
      <c r="OFF301" s="118"/>
      <c r="OFG301" s="118"/>
      <c r="OFH301" s="118"/>
      <c r="OFI301" s="118"/>
      <c r="OFJ301" s="118"/>
      <c r="OFK301" s="118"/>
      <c r="OFL301" s="118"/>
      <c r="OFM301" s="118"/>
      <c r="OFN301" s="118"/>
      <c r="OFO301" s="118"/>
      <c r="OFP301" s="118"/>
      <c r="OFQ301" s="118"/>
      <c r="OFR301" s="118"/>
      <c r="OFS301" s="118"/>
      <c r="OFT301" s="118"/>
      <c r="OFU301" s="118"/>
      <c r="OFV301" s="118"/>
      <c r="OFW301" s="118"/>
      <c r="OFX301" s="118"/>
      <c r="OFY301" s="118"/>
      <c r="OFZ301" s="118"/>
      <c r="OGA301" s="118"/>
      <c r="OGB301" s="118"/>
      <c r="OGC301" s="118"/>
      <c r="OGD301" s="118"/>
      <c r="OGE301" s="118"/>
      <c r="OGF301" s="118"/>
      <c r="OGG301" s="118"/>
      <c r="OGH301" s="118"/>
      <c r="OGI301" s="118"/>
      <c r="OGJ301" s="118"/>
      <c r="OGK301" s="118"/>
      <c r="OGL301" s="118"/>
      <c r="OGM301" s="118"/>
      <c r="OGN301" s="118"/>
      <c r="OGO301" s="118"/>
      <c r="OGP301" s="118"/>
      <c r="OGQ301" s="118"/>
      <c r="OGR301" s="118"/>
      <c r="OGS301" s="118"/>
      <c r="OGT301" s="118"/>
      <c r="OGU301" s="118"/>
      <c r="OGV301" s="118"/>
      <c r="OGW301" s="118"/>
      <c r="OGX301" s="118"/>
      <c r="OGY301" s="118"/>
      <c r="OGZ301" s="118"/>
      <c r="OHA301" s="118"/>
      <c r="OHB301" s="118"/>
      <c r="OHC301" s="118"/>
      <c r="OHD301" s="118"/>
      <c r="OHE301" s="118"/>
      <c r="OHF301" s="118"/>
      <c r="OHG301" s="118"/>
      <c r="OHH301" s="118"/>
      <c r="OHI301" s="118"/>
      <c r="OHJ301" s="118"/>
      <c r="OHK301" s="118"/>
      <c r="OHL301" s="118"/>
      <c r="OHM301" s="118"/>
      <c r="OHN301" s="118"/>
      <c r="OHO301" s="118"/>
      <c r="OHP301" s="118"/>
      <c r="OHQ301" s="118"/>
      <c r="OHR301" s="118"/>
      <c r="OHS301" s="118"/>
      <c r="OHT301" s="118"/>
      <c r="OHU301" s="118"/>
      <c r="OHV301" s="118"/>
      <c r="OHW301" s="118"/>
      <c r="OHX301" s="118"/>
      <c r="OHY301" s="118"/>
      <c r="OHZ301" s="118"/>
      <c r="OIA301" s="118"/>
      <c r="OIB301" s="118"/>
      <c r="OIC301" s="118"/>
      <c r="OID301" s="118"/>
      <c r="OIE301" s="118"/>
      <c r="OIF301" s="118"/>
      <c r="OIG301" s="118"/>
      <c r="OIH301" s="118"/>
      <c r="OII301" s="118"/>
      <c r="OIJ301" s="118"/>
      <c r="OIK301" s="118"/>
      <c r="OIL301" s="118"/>
      <c r="OIM301" s="118"/>
      <c r="OIN301" s="118"/>
      <c r="OIO301" s="118"/>
      <c r="OIP301" s="118"/>
      <c r="OIQ301" s="118"/>
      <c r="OIR301" s="118"/>
      <c r="OIS301" s="118"/>
      <c r="OIT301" s="118"/>
      <c r="OIU301" s="118"/>
      <c r="OIV301" s="118"/>
      <c r="OIW301" s="118"/>
      <c r="OIX301" s="118"/>
      <c r="OIY301" s="118"/>
      <c r="OIZ301" s="118"/>
      <c r="OJA301" s="118"/>
      <c r="OJB301" s="118"/>
      <c r="OJC301" s="118"/>
      <c r="OJD301" s="118"/>
      <c r="OJE301" s="118"/>
      <c r="OJF301" s="118"/>
      <c r="OJG301" s="118"/>
      <c r="OJH301" s="118"/>
      <c r="OJI301" s="118"/>
      <c r="OJJ301" s="118"/>
      <c r="OJK301" s="118"/>
      <c r="OJL301" s="118"/>
      <c r="OJM301" s="118"/>
      <c r="OJN301" s="118"/>
      <c r="OJO301" s="118"/>
      <c r="OJP301" s="118"/>
      <c r="OJQ301" s="118"/>
      <c r="OJR301" s="118"/>
      <c r="OJS301" s="118"/>
      <c r="OJT301" s="118"/>
      <c r="OJU301" s="118"/>
      <c r="OJV301" s="118"/>
      <c r="OJW301" s="118"/>
      <c r="OJX301" s="118"/>
      <c r="OJY301" s="118"/>
      <c r="OJZ301" s="118"/>
      <c r="OKA301" s="118"/>
      <c r="OKB301" s="118"/>
      <c r="OKC301" s="118"/>
      <c r="OKD301" s="118"/>
      <c r="OKE301" s="118"/>
      <c r="OKF301" s="118"/>
      <c r="OKG301" s="118"/>
      <c r="OKH301" s="118"/>
      <c r="OKI301" s="118"/>
      <c r="OKJ301" s="118"/>
      <c r="OKK301" s="118"/>
      <c r="OKL301" s="118"/>
      <c r="OKM301" s="118"/>
      <c r="OKN301" s="118"/>
      <c r="OKO301" s="118"/>
      <c r="OKP301" s="118"/>
      <c r="OKQ301" s="118"/>
      <c r="OKR301" s="118"/>
      <c r="OKS301" s="118"/>
      <c r="OKT301" s="118"/>
      <c r="OKU301" s="118"/>
      <c r="OKV301" s="118"/>
      <c r="OKW301" s="118"/>
      <c r="OKX301" s="118"/>
      <c r="OKY301" s="118"/>
      <c r="OKZ301" s="118"/>
      <c r="OLA301" s="118"/>
      <c r="OLB301" s="118"/>
      <c r="OLC301" s="118"/>
      <c r="OLD301" s="118"/>
      <c r="OLE301" s="118"/>
      <c r="OLF301" s="118"/>
      <c r="OLG301" s="118"/>
      <c r="OLH301" s="118"/>
      <c r="OLI301" s="118"/>
      <c r="OLJ301" s="118"/>
      <c r="OLK301" s="118"/>
      <c r="OLL301" s="118"/>
      <c r="OLM301" s="118"/>
      <c r="OLN301" s="118"/>
      <c r="OLO301" s="118"/>
      <c r="OLP301" s="118"/>
      <c r="OLQ301" s="118"/>
      <c r="OLR301" s="118"/>
      <c r="OLS301" s="118"/>
      <c r="OLT301" s="118"/>
      <c r="OLU301" s="118"/>
      <c r="OLV301" s="118"/>
      <c r="OLW301" s="118"/>
      <c r="OLX301" s="118"/>
      <c r="OLY301" s="118"/>
      <c r="OLZ301" s="118"/>
      <c r="OMA301" s="118"/>
      <c r="OMB301" s="118"/>
      <c r="OMC301" s="118"/>
      <c r="OMD301" s="118"/>
      <c r="OME301" s="118"/>
      <c r="OMF301" s="118"/>
      <c r="OMG301" s="118"/>
      <c r="OMH301" s="118"/>
      <c r="OMI301" s="118"/>
      <c r="OMJ301" s="118"/>
      <c r="OMK301" s="118"/>
      <c r="OML301" s="118"/>
      <c r="OMM301" s="118"/>
      <c r="OMN301" s="118"/>
      <c r="OMO301" s="118"/>
      <c r="OMP301" s="118"/>
      <c r="OMQ301" s="118"/>
      <c r="OMR301" s="118"/>
      <c r="OMS301" s="118"/>
      <c r="OMT301" s="118"/>
      <c r="OMU301" s="118"/>
      <c r="OMV301" s="118"/>
      <c r="OMW301" s="118"/>
      <c r="OMX301" s="118"/>
      <c r="OMY301" s="118"/>
      <c r="OMZ301" s="118"/>
      <c r="ONA301" s="118"/>
      <c r="ONB301" s="118"/>
      <c r="ONC301" s="118"/>
      <c r="OND301" s="118"/>
      <c r="ONE301" s="118"/>
      <c r="ONF301" s="118"/>
      <c r="ONG301" s="118"/>
      <c r="ONH301" s="118"/>
      <c r="ONI301" s="118"/>
      <c r="ONJ301" s="118"/>
      <c r="ONK301" s="118"/>
      <c r="ONL301" s="118"/>
      <c r="ONM301" s="118"/>
      <c r="ONN301" s="118"/>
      <c r="ONO301" s="118"/>
      <c r="ONP301" s="118"/>
      <c r="ONQ301" s="118"/>
      <c r="ONR301" s="118"/>
      <c r="ONS301" s="118"/>
      <c r="ONT301" s="118"/>
      <c r="ONU301" s="118"/>
      <c r="ONV301" s="118"/>
      <c r="ONW301" s="118"/>
      <c r="ONX301" s="118"/>
      <c r="ONY301" s="118"/>
      <c r="ONZ301" s="118"/>
      <c r="OOA301" s="118"/>
      <c r="OOB301" s="118"/>
      <c r="OOC301" s="118"/>
      <c r="OOD301" s="118"/>
      <c r="OOE301" s="118"/>
      <c r="OOF301" s="118"/>
      <c r="OOG301" s="118"/>
      <c r="OOH301" s="118"/>
      <c r="OOI301" s="118"/>
      <c r="OOJ301" s="118"/>
      <c r="OOK301" s="118"/>
      <c r="OOL301" s="118"/>
      <c r="OOM301" s="118"/>
      <c r="OON301" s="118"/>
      <c r="OOO301" s="118"/>
      <c r="OOP301" s="118"/>
      <c r="OOQ301" s="118"/>
      <c r="OOR301" s="118"/>
      <c r="OOS301" s="118"/>
      <c r="OOT301" s="118"/>
      <c r="OOU301" s="118"/>
      <c r="OOV301" s="118"/>
      <c r="OOW301" s="118"/>
      <c r="OOX301" s="118"/>
      <c r="OOY301" s="118"/>
      <c r="OOZ301" s="118"/>
      <c r="OPA301" s="118"/>
      <c r="OPB301" s="118"/>
      <c r="OPC301" s="118"/>
      <c r="OPD301" s="118"/>
      <c r="OPE301" s="118"/>
      <c r="OPF301" s="118"/>
      <c r="OPG301" s="118"/>
      <c r="OPH301" s="118"/>
      <c r="OPI301" s="118"/>
      <c r="OPJ301" s="118"/>
      <c r="OPK301" s="118"/>
      <c r="OPL301" s="118"/>
      <c r="OPM301" s="118"/>
      <c r="OPN301" s="118"/>
      <c r="OPO301" s="118"/>
      <c r="OPP301" s="118"/>
      <c r="OPQ301" s="118"/>
      <c r="OPR301" s="118"/>
      <c r="OPS301" s="118"/>
      <c r="OPT301" s="118"/>
      <c r="OPU301" s="118"/>
      <c r="OPV301" s="118"/>
      <c r="OPW301" s="118"/>
      <c r="OPX301" s="118"/>
      <c r="OPY301" s="118"/>
      <c r="OPZ301" s="118"/>
      <c r="OQA301" s="118"/>
      <c r="OQB301" s="118"/>
      <c r="OQC301" s="118"/>
      <c r="OQD301" s="118"/>
      <c r="OQE301" s="118"/>
      <c r="OQF301" s="118"/>
      <c r="OQG301" s="118"/>
      <c r="OQH301" s="118"/>
      <c r="OQI301" s="118"/>
      <c r="OQJ301" s="118"/>
      <c r="OQK301" s="118"/>
      <c r="OQL301" s="118"/>
      <c r="OQM301" s="118"/>
      <c r="OQN301" s="118"/>
      <c r="OQO301" s="118"/>
      <c r="OQP301" s="118"/>
      <c r="OQQ301" s="118"/>
      <c r="OQR301" s="118"/>
      <c r="OQS301" s="118"/>
      <c r="OQT301" s="118"/>
      <c r="OQU301" s="118"/>
      <c r="OQV301" s="118"/>
      <c r="OQW301" s="118"/>
      <c r="OQX301" s="118"/>
      <c r="OQY301" s="118"/>
      <c r="OQZ301" s="118"/>
      <c r="ORA301" s="118"/>
      <c r="ORB301" s="118"/>
      <c r="ORC301" s="118"/>
      <c r="ORD301" s="118"/>
      <c r="ORE301" s="118"/>
      <c r="ORF301" s="118"/>
      <c r="ORG301" s="118"/>
      <c r="ORH301" s="118"/>
      <c r="ORI301" s="118"/>
      <c r="ORJ301" s="118"/>
      <c r="ORK301" s="118"/>
      <c r="ORL301" s="118"/>
      <c r="ORM301" s="118"/>
      <c r="ORN301" s="118"/>
      <c r="ORO301" s="118"/>
      <c r="ORP301" s="118"/>
      <c r="ORQ301" s="118"/>
      <c r="ORR301" s="118"/>
      <c r="ORS301" s="118"/>
      <c r="ORT301" s="118"/>
      <c r="ORU301" s="118"/>
      <c r="ORV301" s="118"/>
      <c r="ORW301" s="118"/>
      <c r="ORX301" s="118"/>
      <c r="ORY301" s="118"/>
      <c r="ORZ301" s="118"/>
      <c r="OSA301" s="118"/>
      <c r="OSB301" s="118"/>
      <c r="OSC301" s="118"/>
      <c r="OSD301" s="118"/>
      <c r="OSE301" s="118"/>
      <c r="OSF301" s="118"/>
      <c r="OSG301" s="118"/>
      <c r="OSH301" s="118"/>
      <c r="OSI301" s="118"/>
      <c r="OSJ301" s="118"/>
      <c r="OSK301" s="118"/>
      <c r="OSL301" s="118"/>
      <c r="OSM301" s="118"/>
      <c r="OSN301" s="118"/>
      <c r="OSO301" s="118"/>
      <c r="OSP301" s="118"/>
      <c r="OSQ301" s="118"/>
      <c r="OSR301" s="118"/>
      <c r="OSS301" s="118"/>
      <c r="OST301" s="118"/>
      <c r="OSU301" s="118"/>
      <c r="OSV301" s="118"/>
      <c r="OSW301" s="118"/>
      <c r="OSX301" s="118"/>
      <c r="OSY301" s="118"/>
      <c r="OSZ301" s="118"/>
      <c r="OTA301" s="118"/>
      <c r="OTB301" s="118"/>
      <c r="OTC301" s="118"/>
      <c r="OTD301" s="118"/>
      <c r="OTE301" s="118"/>
      <c r="OTF301" s="118"/>
      <c r="OTG301" s="118"/>
      <c r="OTH301" s="118"/>
      <c r="OTI301" s="118"/>
      <c r="OTJ301" s="118"/>
      <c r="OTK301" s="118"/>
      <c r="OTL301" s="118"/>
      <c r="OTM301" s="118"/>
      <c r="OTN301" s="118"/>
      <c r="OTO301" s="118"/>
      <c r="OTP301" s="118"/>
      <c r="OTQ301" s="118"/>
      <c r="OTR301" s="118"/>
      <c r="OTS301" s="118"/>
      <c r="OTT301" s="118"/>
      <c r="OTU301" s="118"/>
      <c r="OTV301" s="118"/>
      <c r="OTW301" s="118"/>
      <c r="OTX301" s="118"/>
      <c r="OTY301" s="118"/>
      <c r="OTZ301" s="118"/>
      <c r="OUA301" s="118"/>
      <c r="OUB301" s="118"/>
      <c r="OUC301" s="118"/>
      <c r="OUD301" s="118"/>
      <c r="OUE301" s="118"/>
      <c r="OUF301" s="118"/>
      <c r="OUG301" s="118"/>
      <c r="OUH301" s="118"/>
      <c r="OUI301" s="118"/>
      <c r="OUJ301" s="118"/>
      <c r="OUK301" s="118"/>
      <c r="OUL301" s="118"/>
      <c r="OUM301" s="118"/>
      <c r="OUN301" s="118"/>
      <c r="OUO301" s="118"/>
      <c r="OUP301" s="118"/>
      <c r="OUQ301" s="118"/>
      <c r="OUR301" s="118"/>
      <c r="OUS301" s="118"/>
      <c r="OUT301" s="118"/>
      <c r="OUU301" s="118"/>
      <c r="OUV301" s="118"/>
      <c r="OUW301" s="118"/>
      <c r="OUX301" s="118"/>
      <c r="OUY301" s="118"/>
      <c r="OUZ301" s="118"/>
      <c r="OVA301" s="118"/>
      <c r="OVB301" s="118"/>
      <c r="OVC301" s="118"/>
      <c r="OVD301" s="118"/>
      <c r="OVE301" s="118"/>
      <c r="OVF301" s="118"/>
      <c r="OVG301" s="118"/>
      <c r="OVH301" s="118"/>
      <c r="OVI301" s="118"/>
      <c r="OVJ301" s="118"/>
      <c r="OVK301" s="118"/>
      <c r="OVL301" s="118"/>
      <c r="OVM301" s="118"/>
      <c r="OVN301" s="118"/>
      <c r="OVO301" s="118"/>
      <c r="OVP301" s="118"/>
      <c r="OVQ301" s="118"/>
      <c r="OVR301" s="118"/>
      <c r="OVS301" s="118"/>
      <c r="OVT301" s="118"/>
      <c r="OVU301" s="118"/>
      <c r="OVV301" s="118"/>
      <c r="OVW301" s="118"/>
      <c r="OVX301" s="118"/>
      <c r="OVY301" s="118"/>
      <c r="OVZ301" s="118"/>
      <c r="OWA301" s="118"/>
      <c r="OWB301" s="118"/>
      <c r="OWC301" s="118"/>
      <c r="OWD301" s="118"/>
      <c r="OWE301" s="118"/>
      <c r="OWF301" s="118"/>
      <c r="OWG301" s="118"/>
      <c r="OWH301" s="118"/>
      <c r="OWI301" s="118"/>
      <c r="OWJ301" s="118"/>
      <c r="OWK301" s="118"/>
      <c r="OWL301" s="118"/>
      <c r="OWM301" s="118"/>
      <c r="OWN301" s="118"/>
      <c r="OWO301" s="118"/>
      <c r="OWP301" s="118"/>
      <c r="OWQ301" s="118"/>
      <c r="OWR301" s="118"/>
      <c r="OWS301" s="118"/>
      <c r="OWT301" s="118"/>
      <c r="OWU301" s="118"/>
      <c r="OWV301" s="118"/>
      <c r="OWW301" s="118"/>
      <c r="OWX301" s="118"/>
      <c r="OWY301" s="118"/>
      <c r="OWZ301" s="118"/>
      <c r="OXA301" s="118"/>
      <c r="OXB301" s="118"/>
      <c r="OXC301" s="118"/>
      <c r="OXD301" s="118"/>
      <c r="OXE301" s="118"/>
      <c r="OXF301" s="118"/>
      <c r="OXG301" s="118"/>
      <c r="OXH301" s="118"/>
      <c r="OXI301" s="118"/>
      <c r="OXJ301" s="118"/>
      <c r="OXK301" s="118"/>
      <c r="OXL301" s="118"/>
      <c r="OXM301" s="118"/>
      <c r="OXN301" s="118"/>
      <c r="OXO301" s="118"/>
      <c r="OXP301" s="118"/>
      <c r="OXQ301" s="118"/>
      <c r="OXR301" s="118"/>
      <c r="OXS301" s="118"/>
      <c r="OXT301" s="118"/>
      <c r="OXU301" s="118"/>
      <c r="OXV301" s="118"/>
      <c r="OXW301" s="118"/>
      <c r="OXX301" s="118"/>
      <c r="OXY301" s="118"/>
      <c r="OXZ301" s="118"/>
      <c r="OYA301" s="118"/>
      <c r="OYB301" s="118"/>
      <c r="OYC301" s="118"/>
      <c r="OYD301" s="118"/>
      <c r="OYE301" s="118"/>
      <c r="OYF301" s="118"/>
      <c r="OYG301" s="118"/>
      <c r="OYH301" s="118"/>
      <c r="OYI301" s="118"/>
      <c r="OYJ301" s="118"/>
      <c r="OYK301" s="118"/>
      <c r="OYL301" s="118"/>
      <c r="OYM301" s="118"/>
      <c r="OYN301" s="118"/>
      <c r="OYO301" s="118"/>
      <c r="OYP301" s="118"/>
      <c r="OYQ301" s="118"/>
      <c r="OYR301" s="118"/>
      <c r="OYS301" s="118"/>
      <c r="OYT301" s="118"/>
      <c r="OYU301" s="118"/>
      <c r="OYV301" s="118"/>
      <c r="OYW301" s="118"/>
      <c r="OYX301" s="118"/>
      <c r="OYY301" s="118"/>
      <c r="OYZ301" s="118"/>
      <c r="OZA301" s="118"/>
      <c r="OZB301" s="118"/>
      <c r="OZC301" s="118"/>
      <c r="OZD301" s="118"/>
      <c r="OZE301" s="118"/>
      <c r="OZF301" s="118"/>
      <c r="OZG301" s="118"/>
      <c r="OZH301" s="118"/>
      <c r="OZI301" s="118"/>
      <c r="OZJ301" s="118"/>
      <c r="OZK301" s="118"/>
      <c r="OZL301" s="118"/>
      <c r="OZM301" s="118"/>
      <c r="OZN301" s="118"/>
      <c r="OZO301" s="118"/>
      <c r="OZP301" s="118"/>
      <c r="OZQ301" s="118"/>
      <c r="OZR301" s="118"/>
      <c r="OZS301" s="118"/>
      <c r="OZT301" s="118"/>
      <c r="OZU301" s="118"/>
      <c r="OZV301" s="118"/>
      <c r="OZW301" s="118"/>
      <c r="OZX301" s="118"/>
      <c r="OZY301" s="118"/>
      <c r="OZZ301" s="118"/>
      <c r="PAA301" s="118"/>
      <c r="PAB301" s="118"/>
      <c r="PAC301" s="118"/>
      <c r="PAD301" s="118"/>
      <c r="PAE301" s="118"/>
      <c r="PAF301" s="118"/>
      <c r="PAG301" s="118"/>
      <c r="PAH301" s="118"/>
      <c r="PAI301" s="118"/>
      <c r="PAJ301" s="118"/>
      <c r="PAK301" s="118"/>
      <c r="PAL301" s="118"/>
      <c r="PAM301" s="118"/>
      <c r="PAN301" s="118"/>
      <c r="PAO301" s="118"/>
      <c r="PAP301" s="118"/>
      <c r="PAQ301" s="118"/>
      <c r="PAR301" s="118"/>
      <c r="PAS301" s="118"/>
      <c r="PAT301" s="118"/>
      <c r="PAU301" s="118"/>
      <c r="PAV301" s="118"/>
      <c r="PAW301" s="118"/>
      <c r="PAX301" s="118"/>
      <c r="PAY301" s="118"/>
      <c r="PAZ301" s="118"/>
      <c r="PBA301" s="118"/>
      <c r="PBB301" s="118"/>
      <c r="PBC301" s="118"/>
      <c r="PBD301" s="118"/>
      <c r="PBE301" s="118"/>
      <c r="PBF301" s="118"/>
      <c r="PBG301" s="118"/>
      <c r="PBH301" s="118"/>
      <c r="PBI301" s="118"/>
      <c r="PBJ301" s="118"/>
      <c r="PBK301" s="118"/>
      <c r="PBL301" s="118"/>
      <c r="PBM301" s="118"/>
      <c r="PBN301" s="118"/>
      <c r="PBO301" s="118"/>
      <c r="PBP301" s="118"/>
      <c r="PBQ301" s="118"/>
      <c r="PBR301" s="118"/>
      <c r="PBS301" s="118"/>
      <c r="PBT301" s="118"/>
      <c r="PBU301" s="118"/>
      <c r="PBV301" s="118"/>
      <c r="PBW301" s="118"/>
      <c r="PBX301" s="118"/>
      <c r="PBY301" s="118"/>
      <c r="PBZ301" s="118"/>
      <c r="PCA301" s="118"/>
      <c r="PCB301" s="118"/>
      <c r="PCC301" s="118"/>
      <c r="PCD301" s="118"/>
      <c r="PCE301" s="118"/>
      <c r="PCF301" s="118"/>
      <c r="PCG301" s="118"/>
      <c r="PCH301" s="118"/>
      <c r="PCI301" s="118"/>
      <c r="PCJ301" s="118"/>
      <c r="PCK301" s="118"/>
      <c r="PCL301" s="118"/>
      <c r="PCM301" s="118"/>
      <c r="PCN301" s="118"/>
      <c r="PCO301" s="118"/>
      <c r="PCP301" s="118"/>
      <c r="PCQ301" s="118"/>
      <c r="PCR301" s="118"/>
      <c r="PCS301" s="118"/>
      <c r="PCT301" s="118"/>
      <c r="PCU301" s="118"/>
      <c r="PCV301" s="118"/>
      <c r="PCW301" s="118"/>
      <c r="PCX301" s="118"/>
      <c r="PCY301" s="118"/>
      <c r="PCZ301" s="118"/>
      <c r="PDA301" s="118"/>
      <c r="PDB301" s="118"/>
      <c r="PDC301" s="118"/>
      <c r="PDD301" s="118"/>
      <c r="PDE301" s="118"/>
      <c r="PDF301" s="118"/>
      <c r="PDG301" s="118"/>
      <c r="PDH301" s="118"/>
      <c r="PDI301" s="118"/>
      <c r="PDJ301" s="118"/>
      <c r="PDK301" s="118"/>
      <c r="PDL301" s="118"/>
      <c r="PDM301" s="118"/>
      <c r="PDN301" s="118"/>
      <c r="PDO301" s="118"/>
      <c r="PDP301" s="118"/>
      <c r="PDQ301" s="118"/>
      <c r="PDR301" s="118"/>
      <c r="PDS301" s="118"/>
      <c r="PDT301" s="118"/>
      <c r="PDU301" s="118"/>
      <c r="PDV301" s="118"/>
      <c r="PDW301" s="118"/>
      <c r="PDX301" s="118"/>
      <c r="PDY301" s="118"/>
      <c r="PDZ301" s="118"/>
      <c r="PEA301" s="118"/>
      <c r="PEB301" s="118"/>
      <c r="PEC301" s="118"/>
      <c r="PED301" s="118"/>
      <c r="PEE301" s="118"/>
      <c r="PEF301" s="118"/>
      <c r="PEG301" s="118"/>
      <c r="PEH301" s="118"/>
      <c r="PEI301" s="118"/>
      <c r="PEJ301" s="118"/>
      <c r="PEK301" s="118"/>
      <c r="PEL301" s="118"/>
      <c r="PEM301" s="118"/>
      <c r="PEN301" s="118"/>
      <c r="PEO301" s="118"/>
      <c r="PEP301" s="118"/>
      <c r="PEQ301" s="118"/>
      <c r="PER301" s="118"/>
      <c r="PES301" s="118"/>
      <c r="PET301" s="118"/>
      <c r="PEU301" s="118"/>
      <c r="PEV301" s="118"/>
      <c r="PEW301" s="118"/>
      <c r="PEX301" s="118"/>
      <c r="PEY301" s="118"/>
      <c r="PEZ301" s="118"/>
      <c r="PFA301" s="118"/>
      <c r="PFB301" s="118"/>
      <c r="PFC301" s="118"/>
      <c r="PFD301" s="118"/>
      <c r="PFE301" s="118"/>
      <c r="PFF301" s="118"/>
      <c r="PFG301" s="118"/>
      <c r="PFH301" s="118"/>
      <c r="PFI301" s="118"/>
      <c r="PFJ301" s="118"/>
      <c r="PFK301" s="118"/>
      <c r="PFL301" s="118"/>
      <c r="PFM301" s="118"/>
      <c r="PFN301" s="118"/>
      <c r="PFO301" s="118"/>
      <c r="PFP301" s="118"/>
      <c r="PFQ301" s="118"/>
      <c r="PFR301" s="118"/>
      <c r="PFS301" s="118"/>
      <c r="PFT301" s="118"/>
      <c r="PFU301" s="118"/>
      <c r="PFV301" s="118"/>
      <c r="PFW301" s="118"/>
      <c r="PFX301" s="118"/>
      <c r="PFY301" s="118"/>
      <c r="PFZ301" s="118"/>
      <c r="PGA301" s="118"/>
      <c r="PGB301" s="118"/>
      <c r="PGC301" s="118"/>
      <c r="PGD301" s="118"/>
      <c r="PGE301" s="118"/>
      <c r="PGF301" s="118"/>
      <c r="PGG301" s="118"/>
      <c r="PGH301" s="118"/>
      <c r="PGI301" s="118"/>
      <c r="PGJ301" s="118"/>
      <c r="PGK301" s="118"/>
      <c r="PGL301" s="118"/>
      <c r="PGM301" s="118"/>
      <c r="PGN301" s="118"/>
      <c r="PGO301" s="118"/>
      <c r="PGP301" s="118"/>
      <c r="PGQ301" s="118"/>
      <c r="PGR301" s="118"/>
      <c r="PGS301" s="118"/>
      <c r="PGT301" s="118"/>
      <c r="PGU301" s="118"/>
      <c r="PGV301" s="118"/>
      <c r="PGW301" s="118"/>
      <c r="PGX301" s="118"/>
      <c r="PGY301" s="118"/>
      <c r="PGZ301" s="118"/>
      <c r="PHA301" s="118"/>
      <c r="PHB301" s="118"/>
      <c r="PHC301" s="118"/>
      <c r="PHD301" s="118"/>
      <c r="PHE301" s="118"/>
      <c r="PHF301" s="118"/>
      <c r="PHG301" s="118"/>
      <c r="PHH301" s="118"/>
      <c r="PHI301" s="118"/>
      <c r="PHJ301" s="118"/>
      <c r="PHK301" s="118"/>
      <c r="PHL301" s="118"/>
      <c r="PHM301" s="118"/>
      <c r="PHN301" s="118"/>
      <c r="PHO301" s="118"/>
      <c r="PHP301" s="118"/>
      <c r="PHQ301" s="118"/>
      <c r="PHR301" s="118"/>
      <c r="PHS301" s="118"/>
      <c r="PHT301" s="118"/>
      <c r="PHU301" s="118"/>
      <c r="PHV301" s="118"/>
      <c r="PHW301" s="118"/>
      <c r="PHX301" s="118"/>
      <c r="PHY301" s="118"/>
      <c r="PHZ301" s="118"/>
      <c r="PIA301" s="118"/>
      <c r="PIB301" s="118"/>
      <c r="PIC301" s="118"/>
      <c r="PID301" s="118"/>
      <c r="PIE301" s="118"/>
      <c r="PIF301" s="118"/>
      <c r="PIG301" s="118"/>
      <c r="PIH301" s="118"/>
      <c r="PII301" s="118"/>
      <c r="PIJ301" s="118"/>
      <c r="PIK301" s="118"/>
      <c r="PIL301" s="118"/>
      <c r="PIM301" s="118"/>
      <c r="PIN301" s="118"/>
      <c r="PIO301" s="118"/>
      <c r="PIP301" s="118"/>
      <c r="PIQ301" s="118"/>
      <c r="PIR301" s="118"/>
      <c r="PIS301" s="118"/>
      <c r="PIT301" s="118"/>
      <c r="PIU301" s="118"/>
      <c r="PIV301" s="118"/>
      <c r="PIW301" s="118"/>
      <c r="PIX301" s="118"/>
      <c r="PIY301" s="118"/>
      <c r="PIZ301" s="118"/>
      <c r="PJA301" s="118"/>
      <c r="PJB301" s="118"/>
      <c r="PJC301" s="118"/>
      <c r="PJD301" s="118"/>
      <c r="PJE301" s="118"/>
      <c r="PJF301" s="118"/>
      <c r="PJG301" s="118"/>
      <c r="PJH301" s="118"/>
      <c r="PJI301" s="118"/>
      <c r="PJJ301" s="118"/>
      <c r="PJK301" s="118"/>
      <c r="PJL301" s="118"/>
      <c r="PJM301" s="118"/>
      <c r="PJN301" s="118"/>
      <c r="PJO301" s="118"/>
      <c r="PJP301" s="118"/>
      <c r="PJQ301" s="118"/>
      <c r="PJR301" s="118"/>
      <c r="PJS301" s="118"/>
      <c r="PJT301" s="118"/>
      <c r="PJU301" s="118"/>
      <c r="PJV301" s="118"/>
      <c r="PJW301" s="118"/>
      <c r="PJX301" s="118"/>
      <c r="PJY301" s="118"/>
      <c r="PJZ301" s="118"/>
      <c r="PKA301" s="118"/>
      <c r="PKB301" s="118"/>
      <c r="PKC301" s="118"/>
      <c r="PKD301" s="118"/>
      <c r="PKE301" s="118"/>
      <c r="PKF301" s="118"/>
      <c r="PKG301" s="118"/>
      <c r="PKH301" s="118"/>
      <c r="PKI301" s="118"/>
      <c r="PKJ301" s="118"/>
      <c r="PKK301" s="118"/>
      <c r="PKL301" s="118"/>
      <c r="PKM301" s="118"/>
      <c r="PKN301" s="118"/>
      <c r="PKO301" s="118"/>
      <c r="PKP301" s="118"/>
      <c r="PKQ301" s="118"/>
      <c r="PKR301" s="118"/>
      <c r="PKS301" s="118"/>
      <c r="PKT301" s="118"/>
      <c r="PKU301" s="118"/>
      <c r="PKV301" s="118"/>
      <c r="PKW301" s="118"/>
      <c r="PKX301" s="118"/>
      <c r="PKY301" s="118"/>
      <c r="PKZ301" s="118"/>
      <c r="PLA301" s="118"/>
      <c r="PLB301" s="118"/>
      <c r="PLC301" s="118"/>
      <c r="PLD301" s="118"/>
      <c r="PLE301" s="118"/>
      <c r="PLF301" s="118"/>
      <c r="PLG301" s="118"/>
      <c r="PLH301" s="118"/>
      <c r="PLI301" s="118"/>
      <c r="PLJ301" s="118"/>
      <c r="PLK301" s="118"/>
      <c r="PLL301" s="118"/>
      <c r="PLM301" s="118"/>
      <c r="PLN301" s="118"/>
      <c r="PLO301" s="118"/>
      <c r="PLP301" s="118"/>
      <c r="PLQ301" s="118"/>
      <c r="PLR301" s="118"/>
      <c r="PLS301" s="118"/>
      <c r="PLT301" s="118"/>
      <c r="PLU301" s="118"/>
      <c r="PLV301" s="118"/>
      <c r="PLW301" s="118"/>
      <c r="PLX301" s="118"/>
      <c r="PLY301" s="118"/>
      <c r="PLZ301" s="118"/>
      <c r="PMA301" s="118"/>
      <c r="PMB301" s="118"/>
      <c r="PMC301" s="118"/>
      <c r="PMD301" s="118"/>
      <c r="PME301" s="118"/>
      <c r="PMF301" s="118"/>
      <c r="PMG301" s="118"/>
      <c r="PMH301" s="118"/>
      <c r="PMI301" s="118"/>
      <c r="PMJ301" s="118"/>
      <c r="PMK301" s="118"/>
      <c r="PML301" s="118"/>
      <c r="PMM301" s="118"/>
      <c r="PMN301" s="118"/>
      <c r="PMO301" s="118"/>
      <c r="PMP301" s="118"/>
      <c r="PMQ301" s="118"/>
      <c r="PMR301" s="118"/>
      <c r="PMS301" s="118"/>
      <c r="PMT301" s="118"/>
      <c r="PMU301" s="118"/>
      <c r="PMV301" s="118"/>
      <c r="PMW301" s="118"/>
      <c r="PMX301" s="118"/>
      <c r="PMY301" s="118"/>
      <c r="PMZ301" s="118"/>
      <c r="PNA301" s="118"/>
      <c r="PNB301" s="118"/>
      <c r="PNC301" s="118"/>
      <c r="PND301" s="118"/>
      <c r="PNE301" s="118"/>
      <c r="PNF301" s="118"/>
      <c r="PNG301" s="118"/>
      <c r="PNH301" s="118"/>
      <c r="PNI301" s="118"/>
      <c r="PNJ301" s="118"/>
      <c r="PNK301" s="118"/>
      <c r="PNL301" s="118"/>
      <c r="PNM301" s="118"/>
      <c r="PNN301" s="118"/>
      <c r="PNO301" s="118"/>
      <c r="PNP301" s="118"/>
      <c r="PNQ301" s="118"/>
      <c r="PNR301" s="118"/>
      <c r="PNS301" s="118"/>
      <c r="PNT301" s="118"/>
      <c r="PNU301" s="118"/>
      <c r="PNV301" s="118"/>
      <c r="PNW301" s="118"/>
      <c r="PNX301" s="118"/>
      <c r="PNY301" s="118"/>
      <c r="PNZ301" s="118"/>
      <c r="POA301" s="118"/>
      <c r="POB301" s="118"/>
      <c r="POC301" s="118"/>
      <c r="POD301" s="118"/>
      <c r="POE301" s="118"/>
      <c r="POF301" s="118"/>
      <c r="POG301" s="118"/>
      <c r="POH301" s="118"/>
      <c r="POI301" s="118"/>
      <c r="POJ301" s="118"/>
      <c r="POK301" s="118"/>
      <c r="POL301" s="118"/>
      <c r="POM301" s="118"/>
      <c r="PON301" s="118"/>
      <c r="POO301" s="118"/>
      <c r="POP301" s="118"/>
      <c r="POQ301" s="118"/>
      <c r="POR301" s="118"/>
      <c r="POS301" s="118"/>
      <c r="POT301" s="118"/>
      <c r="POU301" s="118"/>
      <c r="POV301" s="118"/>
      <c r="POW301" s="118"/>
      <c r="POX301" s="118"/>
      <c r="POY301" s="118"/>
      <c r="POZ301" s="118"/>
      <c r="PPA301" s="118"/>
      <c r="PPB301" s="118"/>
      <c r="PPC301" s="118"/>
      <c r="PPD301" s="118"/>
      <c r="PPE301" s="118"/>
      <c r="PPF301" s="118"/>
      <c r="PPG301" s="118"/>
      <c r="PPH301" s="118"/>
      <c r="PPI301" s="118"/>
      <c r="PPJ301" s="118"/>
      <c r="PPK301" s="118"/>
      <c r="PPL301" s="118"/>
      <c r="PPM301" s="118"/>
      <c r="PPN301" s="118"/>
      <c r="PPO301" s="118"/>
      <c r="PPP301" s="118"/>
      <c r="PPQ301" s="118"/>
      <c r="PPR301" s="118"/>
      <c r="PPS301" s="118"/>
      <c r="PPT301" s="118"/>
      <c r="PPU301" s="118"/>
      <c r="PPV301" s="118"/>
      <c r="PPW301" s="118"/>
      <c r="PPX301" s="118"/>
      <c r="PPY301" s="118"/>
      <c r="PPZ301" s="118"/>
      <c r="PQA301" s="118"/>
      <c r="PQB301" s="118"/>
      <c r="PQC301" s="118"/>
      <c r="PQD301" s="118"/>
      <c r="PQE301" s="118"/>
      <c r="PQF301" s="118"/>
      <c r="PQG301" s="118"/>
      <c r="PQH301" s="118"/>
      <c r="PQI301" s="118"/>
      <c r="PQJ301" s="118"/>
      <c r="PQK301" s="118"/>
      <c r="PQL301" s="118"/>
      <c r="PQM301" s="118"/>
      <c r="PQN301" s="118"/>
      <c r="PQO301" s="118"/>
      <c r="PQP301" s="118"/>
      <c r="PQQ301" s="118"/>
      <c r="PQR301" s="118"/>
      <c r="PQS301" s="118"/>
      <c r="PQT301" s="118"/>
      <c r="PQU301" s="118"/>
      <c r="PQV301" s="118"/>
      <c r="PQW301" s="118"/>
      <c r="PQX301" s="118"/>
      <c r="PQY301" s="118"/>
      <c r="PQZ301" s="118"/>
      <c r="PRA301" s="118"/>
      <c r="PRB301" s="118"/>
      <c r="PRC301" s="118"/>
      <c r="PRD301" s="118"/>
      <c r="PRE301" s="118"/>
      <c r="PRF301" s="118"/>
      <c r="PRG301" s="118"/>
      <c r="PRH301" s="118"/>
      <c r="PRI301" s="118"/>
      <c r="PRJ301" s="118"/>
      <c r="PRK301" s="118"/>
      <c r="PRL301" s="118"/>
      <c r="PRM301" s="118"/>
      <c r="PRN301" s="118"/>
      <c r="PRO301" s="118"/>
      <c r="PRP301" s="118"/>
      <c r="PRQ301" s="118"/>
      <c r="PRR301" s="118"/>
      <c r="PRS301" s="118"/>
      <c r="PRT301" s="118"/>
      <c r="PRU301" s="118"/>
      <c r="PRV301" s="118"/>
      <c r="PRW301" s="118"/>
      <c r="PRX301" s="118"/>
      <c r="PRY301" s="118"/>
      <c r="PRZ301" s="118"/>
      <c r="PSA301" s="118"/>
      <c r="PSB301" s="118"/>
      <c r="PSC301" s="118"/>
      <c r="PSD301" s="118"/>
      <c r="PSE301" s="118"/>
      <c r="PSF301" s="118"/>
      <c r="PSG301" s="118"/>
      <c r="PSH301" s="118"/>
      <c r="PSI301" s="118"/>
      <c r="PSJ301" s="118"/>
      <c r="PSK301" s="118"/>
      <c r="PSL301" s="118"/>
      <c r="PSM301" s="118"/>
      <c r="PSN301" s="118"/>
      <c r="PSO301" s="118"/>
      <c r="PSP301" s="118"/>
      <c r="PSQ301" s="118"/>
      <c r="PSR301" s="118"/>
      <c r="PSS301" s="118"/>
      <c r="PST301" s="118"/>
      <c r="PSU301" s="118"/>
      <c r="PSV301" s="118"/>
      <c r="PSW301" s="118"/>
      <c r="PSX301" s="118"/>
      <c r="PSY301" s="118"/>
      <c r="PSZ301" s="118"/>
      <c r="PTA301" s="118"/>
      <c r="PTB301" s="118"/>
      <c r="PTC301" s="118"/>
      <c r="PTD301" s="118"/>
      <c r="PTE301" s="118"/>
      <c r="PTF301" s="118"/>
      <c r="PTG301" s="118"/>
      <c r="PTH301" s="118"/>
      <c r="PTI301" s="118"/>
      <c r="PTJ301" s="118"/>
      <c r="PTK301" s="118"/>
      <c r="PTL301" s="118"/>
      <c r="PTM301" s="118"/>
      <c r="PTN301" s="118"/>
      <c r="PTO301" s="118"/>
      <c r="PTP301" s="118"/>
      <c r="PTQ301" s="118"/>
      <c r="PTR301" s="118"/>
      <c r="PTS301" s="118"/>
      <c r="PTT301" s="118"/>
      <c r="PTU301" s="118"/>
      <c r="PTV301" s="118"/>
      <c r="PTW301" s="118"/>
      <c r="PTX301" s="118"/>
      <c r="PTY301" s="118"/>
      <c r="PTZ301" s="118"/>
      <c r="PUA301" s="118"/>
      <c r="PUB301" s="118"/>
      <c r="PUC301" s="118"/>
      <c r="PUD301" s="118"/>
      <c r="PUE301" s="118"/>
      <c r="PUF301" s="118"/>
      <c r="PUG301" s="118"/>
      <c r="PUH301" s="118"/>
      <c r="PUI301" s="118"/>
      <c r="PUJ301" s="118"/>
      <c r="PUK301" s="118"/>
      <c r="PUL301" s="118"/>
      <c r="PUM301" s="118"/>
      <c r="PUN301" s="118"/>
      <c r="PUO301" s="118"/>
      <c r="PUP301" s="118"/>
      <c r="PUQ301" s="118"/>
      <c r="PUR301" s="118"/>
      <c r="PUS301" s="118"/>
      <c r="PUT301" s="118"/>
      <c r="PUU301" s="118"/>
      <c r="PUV301" s="118"/>
      <c r="PUW301" s="118"/>
      <c r="PUX301" s="118"/>
      <c r="PUY301" s="118"/>
      <c r="PUZ301" s="118"/>
      <c r="PVA301" s="118"/>
      <c r="PVB301" s="118"/>
      <c r="PVC301" s="118"/>
      <c r="PVD301" s="118"/>
      <c r="PVE301" s="118"/>
      <c r="PVF301" s="118"/>
      <c r="PVG301" s="118"/>
      <c r="PVH301" s="118"/>
      <c r="PVI301" s="118"/>
      <c r="PVJ301" s="118"/>
      <c r="PVK301" s="118"/>
      <c r="PVL301" s="118"/>
      <c r="PVM301" s="118"/>
      <c r="PVN301" s="118"/>
      <c r="PVO301" s="118"/>
      <c r="PVP301" s="118"/>
      <c r="PVQ301" s="118"/>
      <c r="PVR301" s="118"/>
      <c r="PVS301" s="118"/>
      <c r="PVT301" s="118"/>
      <c r="PVU301" s="118"/>
      <c r="PVV301" s="118"/>
      <c r="PVW301" s="118"/>
      <c r="PVX301" s="118"/>
      <c r="PVY301" s="118"/>
      <c r="PVZ301" s="118"/>
      <c r="PWA301" s="118"/>
      <c r="PWB301" s="118"/>
      <c r="PWC301" s="118"/>
      <c r="PWD301" s="118"/>
      <c r="PWE301" s="118"/>
      <c r="PWF301" s="118"/>
      <c r="PWG301" s="118"/>
      <c r="PWH301" s="118"/>
      <c r="PWI301" s="118"/>
      <c r="PWJ301" s="118"/>
      <c r="PWK301" s="118"/>
      <c r="PWL301" s="118"/>
      <c r="PWM301" s="118"/>
      <c r="PWN301" s="118"/>
      <c r="PWO301" s="118"/>
      <c r="PWP301" s="118"/>
      <c r="PWQ301" s="118"/>
      <c r="PWR301" s="118"/>
      <c r="PWS301" s="118"/>
      <c r="PWT301" s="118"/>
      <c r="PWU301" s="118"/>
      <c r="PWV301" s="118"/>
      <c r="PWW301" s="118"/>
      <c r="PWX301" s="118"/>
      <c r="PWY301" s="118"/>
      <c r="PWZ301" s="118"/>
      <c r="PXA301" s="118"/>
      <c r="PXB301" s="118"/>
      <c r="PXC301" s="118"/>
      <c r="PXD301" s="118"/>
      <c r="PXE301" s="118"/>
      <c r="PXF301" s="118"/>
      <c r="PXG301" s="118"/>
      <c r="PXH301" s="118"/>
      <c r="PXI301" s="118"/>
      <c r="PXJ301" s="118"/>
      <c r="PXK301" s="118"/>
      <c r="PXL301" s="118"/>
      <c r="PXM301" s="118"/>
      <c r="PXN301" s="118"/>
      <c r="PXO301" s="118"/>
      <c r="PXP301" s="118"/>
      <c r="PXQ301" s="118"/>
      <c r="PXR301" s="118"/>
      <c r="PXS301" s="118"/>
      <c r="PXT301" s="118"/>
      <c r="PXU301" s="118"/>
      <c r="PXV301" s="118"/>
      <c r="PXW301" s="118"/>
      <c r="PXX301" s="118"/>
      <c r="PXY301" s="118"/>
      <c r="PXZ301" s="118"/>
      <c r="PYA301" s="118"/>
      <c r="PYB301" s="118"/>
      <c r="PYC301" s="118"/>
      <c r="PYD301" s="118"/>
      <c r="PYE301" s="118"/>
      <c r="PYF301" s="118"/>
      <c r="PYG301" s="118"/>
      <c r="PYH301" s="118"/>
      <c r="PYI301" s="118"/>
      <c r="PYJ301" s="118"/>
      <c r="PYK301" s="118"/>
      <c r="PYL301" s="118"/>
      <c r="PYM301" s="118"/>
      <c r="PYN301" s="118"/>
      <c r="PYO301" s="118"/>
      <c r="PYP301" s="118"/>
      <c r="PYQ301" s="118"/>
      <c r="PYR301" s="118"/>
      <c r="PYS301" s="118"/>
      <c r="PYT301" s="118"/>
      <c r="PYU301" s="118"/>
      <c r="PYV301" s="118"/>
      <c r="PYW301" s="118"/>
      <c r="PYX301" s="118"/>
      <c r="PYY301" s="118"/>
      <c r="PYZ301" s="118"/>
      <c r="PZA301" s="118"/>
      <c r="PZB301" s="118"/>
      <c r="PZC301" s="118"/>
      <c r="PZD301" s="118"/>
      <c r="PZE301" s="118"/>
      <c r="PZF301" s="118"/>
      <c r="PZG301" s="118"/>
      <c r="PZH301" s="118"/>
      <c r="PZI301" s="118"/>
      <c r="PZJ301" s="118"/>
      <c r="PZK301" s="118"/>
      <c r="PZL301" s="118"/>
      <c r="PZM301" s="118"/>
      <c r="PZN301" s="118"/>
      <c r="PZO301" s="118"/>
      <c r="PZP301" s="118"/>
      <c r="PZQ301" s="118"/>
      <c r="PZR301" s="118"/>
      <c r="PZS301" s="118"/>
      <c r="PZT301" s="118"/>
      <c r="PZU301" s="118"/>
      <c r="PZV301" s="118"/>
      <c r="PZW301" s="118"/>
      <c r="PZX301" s="118"/>
      <c r="PZY301" s="118"/>
      <c r="PZZ301" s="118"/>
      <c r="QAA301" s="118"/>
      <c r="QAB301" s="118"/>
      <c r="QAC301" s="118"/>
      <c r="QAD301" s="118"/>
      <c r="QAE301" s="118"/>
      <c r="QAF301" s="118"/>
      <c r="QAG301" s="118"/>
      <c r="QAH301" s="118"/>
      <c r="QAI301" s="118"/>
      <c r="QAJ301" s="118"/>
      <c r="QAK301" s="118"/>
      <c r="QAL301" s="118"/>
      <c r="QAM301" s="118"/>
      <c r="QAN301" s="118"/>
      <c r="QAO301" s="118"/>
      <c r="QAP301" s="118"/>
      <c r="QAQ301" s="118"/>
      <c r="QAR301" s="118"/>
      <c r="QAS301" s="118"/>
      <c r="QAT301" s="118"/>
      <c r="QAU301" s="118"/>
      <c r="QAV301" s="118"/>
      <c r="QAW301" s="118"/>
      <c r="QAX301" s="118"/>
      <c r="QAY301" s="118"/>
      <c r="QAZ301" s="118"/>
      <c r="QBA301" s="118"/>
      <c r="QBB301" s="118"/>
      <c r="QBC301" s="118"/>
      <c r="QBD301" s="118"/>
      <c r="QBE301" s="118"/>
      <c r="QBF301" s="118"/>
      <c r="QBG301" s="118"/>
      <c r="QBH301" s="118"/>
      <c r="QBI301" s="118"/>
      <c r="QBJ301" s="118"/>
      <c r="QBK301" s="118"/>
      <c r="QBL301" s="118"/>
      <c r="QBM301" s="118"/>
      <c r="QBN301" s="118"/>
      <c r="QBO301" s="118"/>
      <c r="QBP301" s="118"/>
      <c r="QBQ301" s="118"/>
      <c r="QBR301" s="118"/>
      <c r="QBS301" s="118"/>
      <c r="QBT301" s="118"/>
      <c r="QBU301" s="118"/>
      <c r="QBV301" s="118"/>
      <c r="QBW301" s="118"/>
      <c r="QBX301" s="118"/>
      <c r="QBY301" s="118"/>
      <c r="QBZ301" s="118"/>
      <c r="QCA301" s="118"/>
      <c r="QCB301" s="118"/>
      <c r="QCC301" s="118"/>
      <c r="QCD301" s="118"/>
      <c r="QCE301" s="118"/>
      <c r="QCF301" s="118"/>
      <c r="QCG301" s="118"/>
      <c r="QCH301" s="118"/>
      <c r="QCI301" s="118"/>
      <c r="QCJ301" s="118"/>
      <c r="QCK301" s="118"/>
      <c r="QCL301" s="118"/>
      <c r="QCM301" s="118"/>
      <c r="QCN301" s="118"/>
      <c r="QCO301" s="118"/>
      <c r="QCP301" s="118"/>
      <c r="QCQ301" s="118"/>
      <c r="QCR301" s="118"/>
      <c r="QCS301" s="118"/>
      <c r="QCT301" s="118"/>
      <c r="QCU301" s="118"/>
      <c r="QCV301" s="118"/>
      <c r="QCW301" s="118"/>
      <c r="QCX301" s="118"/>
      <c r="QCY301" s="118"/>
      <c r="QCZ301" s="118"/>
      <c r="QDA301" s="118"/>
      <c r="QDB301" s="118"/>
      <c r="QDC301" s="118"/>
      <c r="QDD301" s="118"/>
      <c r="QDE301" s="118"/>
      <c r="QDF301" s="118"/>
      <c r="QDG301" s="118"/>
      <c r="QDH301" s="118"/>
      <c r="QDI301" s="118"/>
      <c r="QDJ301" s="118"/>
      <c r="QDK301" s="118"/>
      <c r="QDL301" s="118"/>
      <c r="QDM301" s="118"/>
      <c r="QDN301" s="118"/>
      <c r="QDO301" s="118"/>
      <c r="QDP301" s="118"/>
      <c r="QDQ301" s="118"/>
      <c r="QDR301" s="118"/>
      <c r="QDS301" s="118"/>
      <c r="QDT301" s="118"/>
      <c r="QDU301" s="118"/>
      <c r="QDV301" s="118"/>
      <c r="QDW301" s="118"/>
      <c r="QDX301" s="118"/>
      <c r="QDY301" s="118"/>
      <c r="QDZ301" s="118"/>
      <c r="QEA301" s="118"/>
      <c r="QEB301" s="118"/>
      <c r="QEC301" s="118"/>
      <c r="QED301" s="118"/>
      <c r="QEE301" s="118"/>
      <c r="QEF301" s="118"/>
      <c r="QEG301" s="118"/>
      <c r="QEH301" s="118"/>
      <c r="QEI301" s="118"/>
      <c r="QEJ301" s="118"/>
      <c r="QEK301" s="118"/>
      <c r="QEL301" s="118"/>
      <c r="QEM301" s="118"/>
      <c r="QEN301" s="118"/>
      <c r="QEO301" s="118"/>
      <c r="QEP301" s="118"/>
      <c r="QEQ301" s="118"/>
      <c r="QER301" s="118"/>
      <c r="QES301" s="118"/>
      <c r="QET301" s="118"/>
      <c r="QEU301" s="118"/>
      <c r="QEV301" s="118"/>
      <c r="QEW301" s="118"/>
      <c r="QEX301" s="118"/>
      <c r="QEY301" s="118"/>
      <c r="QEZ301" s="118"/>
      <c r="QFA301" s="118"/>
      <c r="QFB301" s="118"/>
      <c r="QFC301" s="118"/>
      <c r="QFD301" s="118"/>
      <c r="QFE301" s="118"/>
      <c r="QFF301" s="118"/>
      <c r="QFG301" s="118"/>
      <c r="QFH301" s="118"/>
      <c r="QFI301" s="118"/>
      <c r="QFJ301" s="118"/>
      <c r="QFK301" s="118"/>
      <c r="QFL301" s="118"/>
      <c r="QFM301" s="118"/>
      <c r="QFN301" s="118"/>
      <c r="QFO301" s="118"/>
      <c r="QFP301" s="118"/>
      <c r="QFQ301" s="118"/>
      <c r="QFR301" s="118"/>
      <c r="QFS301" s="118"/>
      <c r="QFT301" s="118"/>
      <c r="QFU301" s="118"/>
      <c r="QFV301" s="118"/>
      <c r="QFW301" s="118"/>
      <c r="QFX301" s="118"/>
      <c r="QFY301" s="118"/>
      <c r="QFZ301" s="118"/>
      <c r="QGA301" s="118"/>
      <c r="QGB301" s="118"/>
      <c r="QGC301" s="118"/>
      <c r="QGD301" s="118"/>
      <c r="QGE301" s="118"/>
      <c r="QGF301" s="118"/>
      <c r="QGG301" s="118"/>
      <c r="QGH301" s="118"/>
      <c r="QGI301" s="118"/>
      <c r="QGJ301" s="118"/>
      <c r="QGK301" s="118"/>
      <c r="QGL301" s="118"/>
      <c r="QGM301" s="118"/>
      <c r="QGN301" s="118"/>
      <c r="QGO301" s="118"/>
      <c r="QGP301" s="118"/>
      <c r="QGQ301" s="118"/>
      <c r="QGR301" s="118"/>
      <c r="QGS301" s="118"/>
      <c r="QGT301" s="118"/>
      <c r="QGU301" s="118"/>
      <c r="QGV301" s="118"/>
      <c r="QGW301" s="118"/>
      <c r="QGX301" s="118"/>
      <c r="QGY301" s="118"/>
      <c r="QGZ301" s="118"/>
      <c r="QHA301" s="118"/>
      <c r="QHB301" s="118"/>
      <c r="QHC301" s="118"/>
      <c r="QHD301" s="118"/>
      <c r="QHE301" s="118"/>
      <c r="QHF301" s="118"/>
      <c r="QHG301" s="118"/>
      <c r="QHH301" s="118"/>
      <c r="QHI301" s="118"/>
      <c r="QHJ301" s="118"/>
      <c r="QHK301" s="118"/>
      <c r="QHL301" s="118"/>
      <c r="QHM301" s="118"/>
      <c r="QHN301" s="118"/>
      <c r="QHO301" s="118"/>
      <c r="QHP301" s="118"/>
      <c r="QHQ301" s="118"/>
      <c r="QHR301" s="118"/>
      <c r="QHS301" s="118"/>
      <c r="QHT301" s="118"/>
      <c r="QHU301" s="118"/>
      <c r="QHV301" s="118"/>
      <c r="QHW301" s="118"/>
      <c r="QHX301" s="118"/>
      <c r="QHY301" s="118"/>
      <c r="QHZ301" s="118"/>
      <c r="QIA301" s="118"/>
      <c r="QIB301" s="118"/>
      <c r="QIC301" s="118"/>
      <c r="QID301" s="118"/>
      <c r="QIE301" s="118"/>
      <c r="QIF301" s="118"/>
      <c r="QIG301" s="118"/>
      <c r="QIH301" s="118"/>
      <c r="QII301" s="118"/>
      <c r="QIJ301" s="118"/>
      <c r="QIK301" s="118"/>
      <c r="QIL301" s="118"/>
      <c r="QIM301" s="118"/>
      <c r="QIN301" s="118"/>
      <c r="QIO301" s="118"/>
      <c r="QIP301" s="118"/>
      <c r="QIQ301" s="118"/>
      <c r="QIR301" s="118"/>
      <c r="QIS301" s="118"/>
      <c r="QIT301" s="118"/>
      <c r="QIU301" s="118"/>
      <c r="QIV301" s="118"/>
      <c r="QIW301" s="118"/>
      <c r="QIX301" s="118"/>
      <c r="QIY301" s="118"/>
      <c r="QIZ301" s="118"/>
      <c r="QJA301" s="118"/>
      <c r="QJB301" s="118"/>
      <c r="QJC301" s="118"/>
      <c r="QJD301" s="118"/>
      <c r="QJE301" s="118"/>
      <c r="QJF301" s="118"/>
      <c r="QJG301" s="118"/>
      <c r="QJH301" s="118"/>
      <c r="QJI301" s="118"/>
      <c r="QJJ301" s="118"/>
      <c r="QJK301" s="118"/>
      <c r="QJL301" s="118"/>
      <c r="QJM301" s="118"/>
      <c r="QJN301" s="118"/>
      <c r="QJO301" s="118"/>
      <c r="QJP301" s="118"/>
      <c r="QJQ301" s="118"/>
      <c r="QJR301" s="118"/>
      <c r="QJS301" s="118"/>
      <c r="QJT301" s="118"/>
      <c r="QJU301" s="118"/>
      <c r="QJV301" s="118"/>
      <c r="QJW301" s="118"/>
      <c r="QJX301" s="118"/>
      <c r="QJY301" s="118"/>
      <c r="QJZ301" s="118"/>
      <c r="QKA301" s="118"/>
      <c r="QKB301" s="118"/>
      <c r="QKC301" s="118"/>
      <c r="QKD301" s="118"/>
      <c r="QKE301" s="118"/>
      <c r="QKF301" s="118"/>
      <c r="QKG301" s="118"/>
      <c r="QKH301" s="118"/>
      <c r="QKI301" s="118"/>
      <c r="QKJ301" s="118"/>
      <c r="QKK301" s="118"/>
      <c r="QKL301" s="118"/>
      <c r="QKM301" s="118"/>
      <c r="QKN301" s="118"/>
      <c r="QKO301" s="118"/>
      <c r="QKP301" s="118"/>
      <c r="QKQ301" s="118"/>
      <c r="QKR301" s="118"/>
      <c r="QKS301" s="118"/>
      <c r="QKT301" s="118"/>
      <c r="QKU301" s="118"/>
      <c r="QKV301" s="118"/>
      <c r="QKW301" s="118"/>
      <c r="QKX301" s="118"/>
      <c r="QKY301" s="118"/>
      <c r="QKZ301" s="118"/>
      <c r="QLA301" s="118"/>
      <c r="QLB301" s="118"/>
      <c r="QLC301" s="118"/>
      <c r="QLD301" s="118"/>
      <c r="QLE301" s="118"/>
      <c r="QLF301" s="118"/>
      <c r="QLG301" s="118"/>
      <c r="QLH301" s="118"/>
      <c r="QLI301" s="118"/>
      <c r="QLJ301" s="118"/>
      <c r="QLK301" s="118"/>
      <c r="QLL301" s="118"/>
      <c r="QLM301" s="118"/>
      <c r="QLN301" s="118"/>
      <c r="QLO301" s="118"/>
      <c r="QLP301" s="118"/>
      <c r="QLQ301" s="118"/>
      <c r="QLR301" s="118"/>
      <c r="QLS301" s="118"/>
      <c r="QLT301" s="118"/>
      <c r="QLU301" s="118"/>
      <c r="QLV301" s="118"/>
      <c r="QLW301" s="118"/>
      <c r="QLX301" s="118"/>
      <c r="QLY301" s="118"/>
      <c r="QLZ301" s="118"/>
      <c r="QMA301" s="118"/>
      <c r="QMB301" s="118"/>
      <c r="QMC301" s="118"/>
      <c r="QMD301" s="118"/>
      <c r="QME301" s="118"/>
      <c r="QMF301" s="118"/>
      <c r="QMG301" s="118"/>
      <c r="QMH301" s="118"/>
      <c r="QMI301" s="118"/>
      <c r="QMJ301" s="118"/>
      <c r="QMK301" s="118"/>
      <c r="QML301" s="118"/>
      <c r="QMM301" s="118"/>
      <c r="QMN301" s="118"/>
      <c r="QMO301" s="118"/>
      <c r="QMP301" s="118"/>
      <c r="QMQ301" s="118"/>
      <c r="QMR301" s="118"/>
      <c r="QMS301" s="118"/>
      <c r="QMT301" s="118"/>
      <c r="QMU301" s="118"/>
      <c r="QMV301" s="118"/>
      <c r="QMW301" s="118"/>
      <c r="QMX301" s="118"/>
      <c r="QMY301" s="118"/>
      <c r="QMZ301" s="118"/>
      <c r="QNA301" s="118"/>
      <c r="QNB301" s="118"/>
      <c r="QNC301" s="118"/>
      <c r="QND301" s="118"/>
      <c r="QNE301" s="118"/>
      <c r="QNF301" s="118"/>
      <c r="QNG301" s="118"/>
      <c r="QNH301" s="118"/>
      <c r="QNI301" s="118"/>
      <c r="QNJ301" s="118"/>
      <c r="QNK301" s="118"/>
      <c r="QNL301" s="118"/>
      <c r="QNM301" s="118"/>
      <c r="QNN301" s="118"/>
      <c r="QNO301" s="118"/>
      <c r="QNP301" s="118"/>
      <c r="QNQ301" s="118"/>
      <c r="QNR301" s="118"/>
      <c r="QNS301" s="118"/>
      <c r="QNT301" s="118"/>
      <c r="QNU301" s="118"/>
      <c r="QNV301" s="118"/>
      <c r="QNW301" s="118"/>
      <c r="QNX301" s="118"/>
      <c r="QNY301" s="118"/>
      <c r="QNZ301" s="118"/>
      <c r="QOA301" s="118"/>
      <c r="QOB301" s="118"/>
      <c r="QOC301" s="118"/>
      <c r="QOD301" s="118"/>
      <c r="QOE301" s="118"/>
      <c r="QOF301" s="118"/>
      <c r="QOG301" s="118"/>
      <c r="QOH301" s="118"/>
      <c r="QOI301" s="118"/>
      <c r="QOJ301" s="118"/>
      <c r="QOK301" s="118"/>
      <c r="QOL301" s="118"/>
      <c r="QOM301" s="118"/>
      <c r="QON301" s="118"/>
      <c r="QOO301" s="118"/>
      <c r="QOP301" s="118"/>
      <c r="QOQ301" s="118"/>
      <c r="QOR301" s="118"/>
      <c r="QOS301" s="118"/>
      <c r="QOT301" s="118"/>
      <c r="QOU301" s="118"/>
      <c r="QOV301" s="118"/>
      <c r="QOW301" s="118"/>
      <c r="QOX301" s="118"/>
      <c r="QOY301" s="118"/>
      <c r="QOZ301" s="118"/>
      <c r="QPA301" s="118"/>
      <c r="QPB301" s="118"/>
      <c r="QPC301" s="118"/>
      <c r="QPD301" s="118"/>
      <c r="QPE301" s="118"/>
      <c r="QPF301" s="118"/>
      <c r="QPG301" s="118"/>
      <c r="QPH301" s="118"/>
      <c r="QPI301" s="118"/>
      <c r="QPJ301" s="118"/>
      <c r="QPK301" s="118"/>
      <c r="QPL301" s="118"/>
      <c r="QPM301" s="118"/>
      <c r="QPN301" s="118"/>
      <c r="QPO301" s="118"/>
      <c r="QPP301" s="118"/>
      <c r="QPQ301" s="118"/>
      <c r="QPR301" s="118"/>
      <c r="QPS301" s="118"/>
      <c r="QPT301" s="118"/>
      <c r="QPU301" s="118"/>
      <c r="QPV301" s="118"/>
      <c r="QPW301" s="118"/>
      <c r="QPX301" s="118"/>
      <c r="QPY301" s="118"/>
      <c r="QPZ301" s="118"/>
      <c r="QQA301" s="118"/>
      <c r="QQB301" s="118"/>
      <c r="QQC301" s="118"/>
      <c r="QQD301" s="118"/>
      <c r="QQE301" s="118"/>
      <c r="QQF301" s="118"/>
      <c r="QQG301" s="118"/>
      <c r="QQH301" s="118"/>
      <c r="QQI301" s="118"/>
      <c r="QQJ301" s="118"/>
      <c r="QQK301" s="118"/>
      <c r="QQL301" s="118"/>
      <c r="QQM301" s="118"/>
      <c r="QQN301" s="118"/>
      <c r="QQO301" s="118"/>
      <c r="QQP301" s="118"/>
      <c r="QQQ301" s="118"/>
      <c r="QQR301" s="118"/>
      <c r="QQS301" s="118"/>
      <c r="QQT301" s="118"/>
      <c r="QQU301" s="118"/>
      <c r="QQV301" s="118"/>
      <c r="QQW301" s="118"/>
      <c r="QQX301" s="118"/>
      <c r="QQY301" s="118"/>
      <c r="QQZ301" s="118"/>
      <c r="QRA301" s="118"/>
      <c r="QRB301" s="118"/>
      <c r="QRC301" s="118"/>
      <c r="QRD301" s="118"/>
      <c r="QRE301" s="118"/>
      <c r="QRF301" s="118"/>
      <c r="QRG301" s="118"/>
      <c r="QRH301" s="118"/>
      <c r="QRI301" s="118"/>
      <c r="QRJ301" s="118"/>
      <c r="QRK301" s="118"/>
      <c r="QRL301" s="118"/>
      <c r="QRM301" s="118"/>
      <c r="QRN301" s="118"/>
      <c r="QRO301" s="118"/>
      <c r="QRP301" s="118"/>
      <c r="QRQ301" s="118"/>
      <c r="QRR301" s="118"/>
      <c r="QRS301" s="118"/>
      <c r="QRT301" s="118"/>
      <c r="QRU301" s="118"/>
      <c r="QRV301" s="118"/>
      <c r="QRW301" s="118"/>
      <c r="QRX301" s="118"/>
      <c r="QRY301" s="118"/>
      <c r="QRZ301" s="118"/>
      <c r="QSA301" s="118"/>
      <c r="QSB301" s="118"/>
      <c r="QSC301" s="118"/>
      <c r="QSD301" s="118"/>
      <c r="QSE301" s="118"/>
      <c r="QSF301" s="118"/>
      <c r="QSG301" s="118"/>
      <c r="QSH301" s="118"/>
      <c r="QSI301" s="118"/>
      <c r="QSJ301" s="118"/>
      <c r="QSK301" s="118"/>
      <c r="QSL301" s="118"/>
      <c r="QSM301" s="118"/>
      <c r="QSN301" s="118"/>
      <c r="QSO301" s="118"/>
      <c r="QSP301" s="118"/>
      <c r="QSQ301" s="118"/>
      <c r="QSR301" s="118"/>
      <c r="QSS301" s="118"/>
      <c r="QST301" s="118"/>
      <c r="QSU301" s="118"/>
      <c r="QSV301" s="118"/>
      <c r="QSW301" s="118"/>
      <c r="QSX301" s="118"/>
      <c r="QSY301" s="118"/>
      <c r="QSZ301" s="118"/>
      <c r="QTA301" s="118"/>
      <c r="QTB301" s="118"/>
      <c r="QTC301" s="118"/>
      <c r="QTD301" s="118"/>
      <c r="QTE301" s="118"/>
      <c r="QTF301" s="118"/>
      <c r="QTG301" s="118"/>
      <c r="QTH301" s="118"/>
      <c r="QTI301" s="118"/>
      <c r="QTJ301" s="118"/>
      <c r="QTK301" s="118"/>
      <c r="QTL301" s="118"/>
      <c r="QTM301" s="118"/>
      <c r="QTN301" s="118"/>
      <c r="QTO301" s="118"/>
      <c r="QTP301" s="118"/>
      <c r="QTQ301" s="118"/>
      <c r="QTR301" s="118"/>
      <c r="QTS301" s="118"/>
      <c r="QTT301" s="118"/>
      <c r="QTU301" s="118"/>
      <c r="QTV301" s="118"/>
      <c r="QTW301" s="118"/>
      <c r="QTX301" s="118"/>
      <c r="QTY301" s="118"/>
      <c r="QTZ301" s="118"/>
      <c r="QUA301" s="118"/>
      <c r="QUB301" s="118"/>
      <c r="QUC301" s="118"/>
      <c r="QUD301" s="118"/>
      <c r="QUE301" s="118"/>
      <c r="QUF301" s="118"/>
      <c r="QUG301" s="118"/>
      <c r="QUH301" s="118"/>
      <c r="QUI301" s="118"/>
      <c r="QUJ301" s="118"/>
      <c r="QUK301" s="118"/>
      <c r="QUL301" s="118"/>
      <c r="QUM301" s="118"/>
      <c r="QUN301" s="118"/>
      <c r="QUO301" s="118"/>
      <c r="QUP301" s="118"/>
      <c r="QUQ301" s="118"/>
      <c r="QUR301" s="118"/>
      <c r="QUS301" s="118"/>
      <c r="QUT301" s="118"/>
      <c r="QUU301" s="118"/>
      <c r="QUV301" s="118"/>
      <c r="QUW301" s="118"/>
      <c r="QUX301" s="118"/>
      <c r="QUY301" s="118"/>
      <c r="QUZ301" s="118"/>
      <c r="QVA301" s="118"/>
      <c r="QVB301" s="118"/>
      <c r="QVC301" s="118"/>
      <c r="QVD301" s="118"/>
      <c r="QVE301" s="118"/>
      <c r="QVF301" s="118"/>
      <c r="QVG301" s="118"/>
      <c r="QVH301" s="118"/>
      <c r="QVI301" s="118"/>
      <c r="QVJ301" s="118"/>
      <c r="QVK301" s="118"/>
      <c r="QVL301" s="118"/>
      <c r="QVM301" s="118"/>
      <c r="QVN301" s="118"/>
      <c r="QVO301" s="118"/>
      <c r="QVP301" s="118"/>
      <c r="QVQ301" s="118"/>
      <c r="QVR301" s="118"/>
      <c r="QVS301" s="118"/>
      <c r="QVT301" s="118"/>
      <c r="QVU301" s="118"/>
      <c r="QVV301" s="118"/>
      <c r="QVW301" s="118"/>
      <c r="QVX301" s="118"/>
      <c r="QVY301" s="118"/>
      <c r="QVZ301" s="118"/>
      <c r="QWA301" s="118"/>
      <c r="QWB301" s="118"/>
      <c r="QWC301" s="118"/>
      <c r="QWD301" s="118"/>
      <c r="QWE301" s="118"/>
      <c r="QWF301" s="118"/>
      <c r="QWG301" s="118"/>
      <c r="QWH301" s="118"/>
      <c r="QWI301" s="118"/>
      <c r="QWJ301" s="118"/>
      <c r="QWK301" s="118"/>
      <c r="QWL301" s="118"/>
      <c r="QWM301" s="118"/>
      <c r="QWN301" s="118"/>
      <c r="QWO301" s="118"/>
      <c r="QWP301" s="118"/>
      <c r="QWQ301" s="118"/>
      <c r="QWR301" s="118"/>
      <c r="QWS301" s="118"/>
      <c r="QWT301" s="118"/>
      <c r="QWU301" s="118"/>
      <c r="QWV301" s="118"/>
      <c r="QWW301" s="118"/>
      <c r="QWX301" s="118"/>
      <c r="QWY301" s="118"/>
      <c r="QWZ301" s="118"/>
      <c r="QXA301" s="118"/>
      <c r="QXB301" s="118"/>
      <c r="QXC301" s="118"/>
      <c r="QXD301" s="118"/>
      <c r="QXE301" s="118"/>
      <c r="QXF301" s="118"/>
      <c r="QXG301" s="118"/>
      <c r="QXH301" s="118"/>
      <c r="QXI301" s="118"/>
      <c r="QXJ301" s="118"/>
      <c r="QXK301" s="118"/>
      <c r="QXL301" s="118"/>
      <c r="QXM301" s="118"/>
      <c r="QXN301" s="118"/>
      <c r="QXO301" s="118"/>
      <c r="QXP301" s="118"/>
      <c r="QXQ301" s="118"/>
      <c r="QXR301" s="118"/>
      <c r="QXS301" s="118"/>
      <c r="QXT301" s="118"/>
      <c r="QXU301" s="118"/>
      <c r="QXV301" s="118"/>
      <c r="QXW301" s="118"/>
      <c r="QXX301" s="118"/>
      <c r="QXY301" s="118"/>
      <c r="QXZ301" s="118"/>
      <c r="QYA301" s="118"/>
      <c r="QYB301" s="118"/>
      <c r="QYC301" s="118"/>
      <c r="QYD301" s="118"/>
      <c r="QYE301" s="118"/>
      <c r="QYF301" s="118"/>
      <c r="QYG301" s="118"/>
      <c r="QYH301" s="118"/>
      <c r="QYI301" s="118"/>
      <c r="QYJ301" s="118"/>
      <c r="QYK301" s="118"/>
      <c r="QYL301" s="118"/>
      <c r="QYM301" s="118"/>
      <c r="QYN301" s="118"/>
      <c r="QYO301" s="118"/>
      <c r="QYP301" s="118"/>
      <c r="QYQ301" s="118"/>
      <c r="QYR301" s="118"/>
      <c r="QYS301" s="118"/>
      <c r="QYT301" s="118"/>
      <c r="QYU301" s="118"/>
      <c r="QYV301" s="118"/>
      <c r="QYW301" s="118"/>
      <c r="QYX301" s="118"/>
      <c r="QYY301" s="118"/>
      <c r="QYZ301" s="118"/>
      <c r="QZA301" s="118"/>
      <c r="QZB301" s="118"/>
      <c r="QZC301" s="118"/>
      <c r="QZD301" s="118"/>
      <c r="QZE301" s="118"/>
      <c r="QZF301" s="118"/>
      <c r="QZG301" s="118"/>
      <c r="QZH301" s="118"/>
      <c r="QZI301" s="118"/>
      <c r="QZJ301" s="118"/>
      <c r="QZK301" s="118"/>
      <c r="QZL301" s="118"/>
      <c r="QZM301" s="118"/>
      <c r="QZN301" s="118"/>
      <c r="QZO301" s="118"/>
      <c r="QZP301" s="118"/>
      <c r="QZQ301" s="118"/>
      <c r="QZR301" s="118"/>
      <c r="QZS301" s="118"/>
      <c r="QZT301" s="118"/>
      <c r="QZU301" s="118"/>
      <c r="QZV301" s="118"/>
      <c r="QZW301" s="118"/>
      <c r="QZX301" s="118"/>
      <c r="QZY301" s="118"/>
      <c r="QZZ301" s="118"/>
      <c r="RAA301" s="118"/>
      <c r="RAB301" s="118"/>
      <c r="RAC301" s="118"/>
      <c r="RAD301" s="118"/>
      <c r="RAE301" s="118"/>
      <c r="RAF301" s="118"/>
      <c r="RAG301" s="118"/>
      <c r="RAH301" s="118"/>
      <c r="RAI301" s="118"/>
      <c r="RAJ301" s="118"/>
      <c r="RAK301" s="118"/>
      <c r="RAL301" s="118"/>
      <c r="RAM301" s="118"/>
      <c r="RAN301" s="118"/>
      <c r="RAO301" s="118"/>
      <c r="RAP301" s="118"/>
      <c r="RAQ301" s="118"/>
      <c r="RAR301" s="118"/>
      <c r="RAS301" s="118"/>
      <c r="RAT301" s="118"/>
      <c r="RAU301" s="118"/>
      <c r="RAV301" s="118"/>
      <c r="RAW301" s="118"/>
      <c r="RAX301" s="118"/>
      <c r="RAY301" s="118"/>
      <c r="RAZ301" s="118"/>
      <c r="RBA301" s="118"/>
      <c r="RBB301" s="118"/>
      <c r="RBC301" s="118"/>
      <c r="RBD301" s="118"/>
      <c r="RBE301" s="118"/>
      <c r="RBF301" s="118"/>
      <c r="RBG301" s="118"/>
      <c r="RBH301" s="118"/>
      <c r="RBI301" s="118"/>
      <c r="RBJ301" s="118"/>
      <c r="RBK301" s="118"/>
      <c r="RBL301" s="118"/>
      <c r="RBM301" s="118"/>
      <c r="RBN301" s="118"/>
      <c r="RBO301" s="118"/>
      <c r="RBP301" s="118"/>
      <c r="RBQ301" s="118"/>
      <c r="RBR301" s="118"/>
      <c r="RBS301" s="118"/>
      <c r="RBT301" s="118"/>
      <c r="RBU301" s="118"/>
      <c r="RBV301" s="118"/>
      <c r="RBW301" s="118"/>
      <c r="RBX301" s="118"/>
      <c r="RBY301" s="118"/>
      <c r="RBZ301" s="118"/>
      <c r="RCA301" s="118"/>
      <c r="RCB301" s="118"/>
      <c r="RCC301" s="118"/>
      <c r="RCD301" s="118"/>
      <c r="RCE301" s="118"/>
      <c r="RCF301" s="118"/>
      <c r="RCG301" s="118"/>
      <c r="RCH301" s="118"/>
      <c r="RCI301" s="118"/>
      <c r="RCJ301" s="118"/>
      <c r="RCK301" s="118"/>
      <c r="RCL301" s="118"/>
      <c r="RCM301" s="118"/>
      <c r="RCN301" s="118"/>
      <c r="RCO301" s="118"/>
      <c r="RCP301" s="118"/>
      <c r="RCQ301" s="118"/>
      <c r="RCR301" s="118"/>
      <c r="RCS301" s="118"/>
      <c r="RCT301" s="118"/>
      <c r="RCU301" s="118"/>
      <c r="RCV301" s="118"/>
      <c r="RCW301" s="118"/>
      <c r="RCX301" s="118"/>
      <c r="RCY301" s="118"/>
      <c r="RCZ301" s="118"/>
      <c r="RDA301" s="118"/>
      <c r="RDB301" s="118"/>
      <c r="RDC301" s="118"/>
      <c r="RDD301" s="118"/>
      <c r="RDE301" s="118"/>
      <c r="RDF301" s="118"/>
      <c r="RDG301" s="118"/>
      <c r="RDH301" s="118"/>
      <c r="RDI301" s="118"/>
      <c r="RDJ301" s="118"/>
      <c r="RDK301" s="118"/>
      <c r="RDL301" s="118"/>
      <c r="RDM301" s="118"/>
      <c r="RDN301" s="118"/>
      <c r="RDO301" s="118"/>
      <c r="RDP301" s="118"/>
      <c r="RDQ301" s="118"/>
      <c r="RDR301" s="118"/>
      <c r="RDS301" s="118"/>
      <c r="RDT301" s="118"/>
      <c r="RDU301" s="118"/>
      <c r="RDV301" s="118"/>
      <c r="RDW301" s="118"/>
      <c r="RDX301" s="118"/>
      <c r="RDY301" s="118"/>
      <c r="RDZ301" s="118"/>
      <c r="REA301" s="118"/>
      <c r="REB301" s="118"/>
      <c r="REC301" s="118"/>
      <c r="RED301" s="118"/>
      <c r="REE301" s="118"/>
      <c r="REF301" s="118"/>
      <c r="REG301" s="118"/>
      <c r="REH301" s="118"/>
      <c r="REI301" s="118"/>
      <c r="REJ301" s="118"/>
      <c r="REK301" s="118"/>
      <c r="REL301" s="118"/>
      <c r="REM301" s="118"/>
      <c r="REN301" s="118"/>
      <c r="REO301" s="118"/>
      <c r="REP301" s="118"/>
      <c r="REQ301" s="118"/>
      <c r="RER301" s="118"/>
      <c r="RES301" s="118"/>
      <c r="RET301" s="118"/>
      <c r="REU301" s="118"/>
      <c r="REV301" s="118"/>
      <c r="REW301" s="118"/>
      <c r="REX301" s="118"/>
      <c r="REY301" s="118"/>
      <c r="REZ301" s="118"/>
      <c r="RFA301" s="118"/>
      <c r="RFB301" s="118"/>
      <c r="RFC301" s="118"/>
      <c r="RFD301" s="118"/>
      <c r="RFE301" s="118"/>
      <c r="RFF301" s="118"/>
      <c r="RFG301" s="118"/>
      <c r="RFH301" s="118"/>
      <c r="RFI301" s="118"/>
      <c r="RFJ301" s="118"/>
      <c r="RFK301" s="118"/>
      <c r="RFL301" s="118"/>
      <c r="RFM301" s="118"/>
      <c r="RFN301" s="118"/>
      <c r="RFO301" s="118"/>
      <c r="RFP301" s="118"/>
      <c r="RFQ301" s="118"/>
      <c r="RFR301" s="118"/>
      <c r="RFS301" s="118"/>
      <c r="RFT301" s="118"/>
      <c r="RFU301" s="118"/>
      <c r="RFV301" s="118"/>
      <c r="RFW301" s="118"/>
      <c r="RFX301" s="118"/>
      <c r="RFY301" s="118"/>
      <c r="RFZ301" s="118"/>
      <c r="RGA301" s="118"/>
      <c r="RGB301" s="118"/>
      <c r="RGC301" s="118"/>
      <c r="RGD301" s="118"/>
      <c r="RGE301" s="118"/>
      <c r="RGF301" s="118"/>
      <c r="RGG301" s="118"/>
      <c r="RGH301" s="118"/>
      <c r="RGI301" s="118"/>
      <c r="RGJ301" s="118"/>
      <c r="RGK301" s="118"/>
      <c r="RGL301" s="118"/>
      <c r="RGM301" s="118"/>
      <c r="RGN301" s="118"/>
      <c r="RGO301" s="118"/>
      <c r="RGP301" s="118"/>
      <c r="RGQ301" s="118"/>
      <c r="RGR301" s="118"/>
      <c r="RGS301" s="118"/>
      <c r="RGT301" s="118"/>
      <c r="RGU301" s="118"/>
      <c r="RGV301" s="118"/>
      <c r="RGW301" s="118"/>
      <c r="RGX301" s="118"/>
      <c r="RGY301" s="118"/>
      <c r="RGZ301" s="118"/>
      <c r="RHA301" s="118"/>
      <c r="RHB301" s="118"/>
      <c r="RHC301" s="118"/>
      <c r="RHD301" s="118"/>
      <c r="RHE301" s="118"/>
      <c r="RHF301" s="118"/>
      <c r="RHG301" s="118"/>
      <c r="RHH301" s="118"/>
      <c r="RHI301" s="118"/>
      <c r="RHJ301" s="118"/>
      <c r="RHK301" s="118"/>
      <c r="RHL301" s="118"/>
      <c r="RHM301" s="118"/>
      <c r="RHN301" s="118"/>
      <c r="RHO301" s="118"/>
      <c r="RHP301" s="118"/>
      <c r="RHQ301" s="118"/>
      <c r="RHR301" s="118"/>
      <c r="RHS301" s="118"/>
      <c r="RHT301" s="118"/>
      <c r="RHU301" s="118"/>
      <c r="RHV301" s="118"/>
      <c r="RHW301" s="118"/>
      <c r="RHX301" s="118"/>
      <c r="RHY301" s="118"/>
      <c r="RHZ301" s="118"/>
      <c r="RIA301" s="118"/>
      <c r="RIB301" s="118"/>
      <c r="RIC301" s="118"/>
      <c r="RID301" s="118"/>
      <c r="RIE301" s="118"/>
      <c r="RIF301" s="118"/>
      <c r="RIG301" s="118"/>
      <c r="RIH301" s="118"/>
      <c r="RII301" s="118"/>
      <c r="RIJ301" s="118"/>
      <c r="RIK301" s="118"/>
      <c r="RIL301" s="118"/>
      <c r="RIM301" s="118"/>
      <c r="RIN301" s="118"/>
      <c r="RIO301" s="118"/>
      <c r="RIP301" s="118"/>
      <c r="RIQ301" s="118"/>
      <c r="RIR301" s="118"/>
      <c r="RIS301" s="118"/>
      <c r="RIT301" s="118"/>
      <c r="RIU301" s="118"/>
      <c r="RIV301" s="118"/>
      <c r="RIW301" s="118"/>
      <c r="RIX301" s="118"/>
      <c r="RIY301" s="118"/>
      <c r="RIZ301" s="118"/>
      <c r="RJA301" s="118"/>
      <c r="RJB301" s="118"/>
      <c r="RJC301" s="118"/>
      <c r="RJD301" s="118"/>
      <c r="RJE301" s="118"/>
      <c r="RJF301" s="118"/>
      <c r="RJG301" s="118"/>
      <c r="RJH301" s="118"/>
      <c r="RJI301" s="118"/>
      <c r="RJJ301" s="118"/>
      <c r="RJK301" s="118"/>
      <c r="RJL301" s="118"/>
      <c r="RJM301" s="118"/>
      <c r="RJN301" s="118"/>
      <c r="RJO301" s="118"/>
      <c r="RJP301" s="118"/>
      <c r="RJQ301" s="118"/>
      <c r="RJR301" s="118"/>
      <c r="RJS301" s="118"/>
      <c r="RJT301" s="118"/>
      <c r="RJU301" s="118"/>
      <c r="RJV301" s="118"/>
      <c r="RJW301" s="118"/>
      <c r="RJX301" s="118"/>
      <c r="RJY301" s="118"/>
      <c r="RJZ301" s="118"/>
      <c r="RKA301" s="118"/>
      <c r="RKB301" s="118"/>
      <c r="RKC301" s="118"/>
      <c r="RKD301" s="118"/>
      <c r="RKE301" s="118"/>
      <c r="RKF301" s="118"/>
      <c r="RKG301" s="118"/>
      <c r="RKH301" s="118"/>
      <c r="RKI301" s="118"/>
      <c r="RKJ301" s="118"/>
      <c r="RKK301" s="118"/>
      <c r="RKL301" s="118"/>
      <c r="RKM301" s="118"/>
      <c r="RKN301" s="118"/>
      <c r="RKO301" s="118"/>
      <c r="RKP301" s="118"/>
      <c r="RKQ301" s="118"/>
      <c r="RKR301" s="118"/>
      <c r="RKS301" s="118"/>
      <c r="RKT301" s="118"/>
      <c r="RKU301" s="118"/>
      <c r="RKV301" s="118"/>
      <c r="RKW301" s="118"/>
      <c r="RKX301" s="118"/>
      <c r="RKY301" s="118"/>
      <c r="RKZ301" s="118"/>
      <c r="RLA301" s="118"/>
      <c r="RLB301" s="118"/>
      <c r="RLC301" s="118"/>
      <c r="RLD301" s="118"/>
      <c r="RLE301" s="118"/>
      <c r="RLF301" s="118"/>
      <c r="RLG301" s="118"/>
      <c r="RLH301" s="118"/>
      <c r="RLI301" s="118"/>
      <c r="RLJ301" s="118"/>
      <c r="RLK301" s="118"/>
      <c r="RLL301" s="118"/>
      <c r="RLM301" s="118"/>
      <c r="RLN301" s="118"/>
      <c r="RLO301" s="118"/>
      <c r="RLP301" s="118"/>
      <c r="RLQ301" s="118"/>
      <c r="RLR301" s="118"/>
      <c r="RLS301" s="118"/>
      <c r="RLT301" s="118"/>
      <c r="RLU301" s="118"/>
      <c r="RLV301" s="118"/>
      <c r="RLW301" s="118"/>
      <c r="RLX301" s="118"/>
      <c r="RLY301" s="118"/>
      <c r="RLZ301" s="118"/>
      <c r="RMA301" s="118"/>
      <c r="RMB301" s="118"/>
      <c r="RMC301" s="118"/>
      <c r="RMD301" s="118"/>
      <c r="RME301" s="118"/>
      <c r="RMF301" s="118"/>
      <c r="RMG301" s="118"/>
      <c r="RMH301" s="118"/>
      <c r="RMI301" s="118"/>
      <c r="RMJ301" s="118"/>
      <c r="RMK301" s="118"/>
      <c r="RML301" s="118"/>
      <c r="RMM301" s="118"/>
      <c r="RMN301" s="118"/>
      <c r="RMO301" s="118"/>
      <c r="RMP301" s="118"/>
      <c r="RMQ301" s="118"/>
      <c r="RMR301" s="118"/>
      <c r="RMS301" s="118"/>
      <c r="RMT301" s="118"/>
      <c r="RMU301" s="118"/>
      <c r="RMV301" s="118"/>
      <c r="RMW301" s="118"/>
      <c r="RMX301" s="118"/>
      <c r="RMY301" s="118"/>
      <c r="RMZ301" s="118"/>
      <c r="RNA301" s="118"/>
      <c r="RNB301" s="118"/>
      <c r="RNC301" s="118"/>
      <c r="RND301" s="118"/>
      <c r="RNE301" s="118"/>
      <c r="RNF301" s="118"/>
      <c r="RNG301" s="118"/>
      <c r="RNH301" s="118"/>
      <c r="RNI301" s="118"/>
      <c r="RNJ301" s="118"/>
      <c r="RNK301" s="118"/>
      <c r="RNL301" s="118"/>
      <c r="RNM301" s="118"/>
      <c r="RNN301" s="118"/>
      <c r="RNO301" s="118"/>
      <c r="RNP301" s="118"/>
      <c r="RNQ301" s="118"/>
      <c r="RNR301" s="118"/>
      <c r="RNS301" s="118"/>
      <c r="RNT301" s="118"/>
      <c r="RNU301" s="118"/>
      <c r="RNV301" s="118"/>
      <c r="RNW301" s="118"/>
      <c r="RNX301" s="118"/>
      <c r="RNY301" s="118"/>
      <c r="RNZ301" s="118"/>
      <c r="ROA301" s="118"/>
      <c r="ROB301" s="118"/>
      <c r="ROC301" s="118"/>
      <c r="ROD301" s="118"/>
      <c r="ROE301" s="118"/>
      <c r="ROF301" s="118"/>
      <c r="ROG301" s="118"/>
      <c r="ROH301" s="118"/>
      <c r="ROI301" s="118"/>
      <c r="ROJ301" s="118"/>
      <c r="ROK301" s="118"/>
      <c r="ROL301" s="118"/>
      <c r="ROM301" s="118"/>
      <c r="RON301" s="118"/>
      <c r="ROO301" s="118"/>
      <c r="ROP301" s="118"/>
      <c r="ROQ301" s="118"/>
      <c r="ROR301" s="118"/>
      <c r="ROS301" s="118"/>
      <c r="ROT301" s="118"/>
      <c r="ROU301" s="118"/>
      <c r="ROV301" s="118"/>
      <c r="ROW301" s="118"/>
      <c r="ROX301" s="118"/>
      <c r="ROY301" s="118"/>
      <c r="ROZ301" s="118"/>
      <c r="RPA301" s="118"/>
      <c r="RPB301" s="118"/>
      <c r="RPC301" s="118"/>
      <c r="RPD301" s="118"/>
      <c r="RPE301" s="118"/>
      <c r="RPF301" s="118"/>
      <c r="RPG301" s="118"/>
      <c r="RPH301" s="118"/>
      <c r="RPI301" s="118"/>
      <c r="RPJ301" s="118"/>
      <c r="RPK301" s="118"/>
      <c r="RPL301" s="118"/>
      <c r="RPM301" s="118"/>
      <c r="RPN301" s="118"/>
      <c r="RPO301" s="118"/>
      <c r="RPP301" s="118"/>
      <c r="RPQ301" s="118"/>
      <c r="RPR301" s="118"/>
      <c r="RPS301" s="118"/>
      <c r="RPT301" s="118"/>
      <c r="RPU301" s="118"/>
      <c r="RPV301" s="118"/>
      <c r="RPW301" s="118"/>
      <c r="RPX301" s="118"/>
      <c r="RPY301" s="118"/>
      <c r="RPZ301" s="118"/>
      <c r="RQA301" s="118"/>
      <c r="RQB301" s="118"/>
      <c r="RQC301" s="118"/>
      <c r="RQD301" s="118"/>
      <c r="RQE301" s="118"/>
      <c r="RQF301" s="118"/>
      <c r="RQG301" s="118"/>
      <c r="RQH301" s="118"/>
      <c r="RQI301" s="118"/>
      <c r="RQJ301" s="118"/>
      <c r="RQK301" s="118"/>
      <c r="RQL301" s="118"/>
      <c r="RQM301" s="118"/>
      <c r="RQN301" s="118"/>
      <c r="RQO301" s="118"/>
      <c r="RQP301" s="118"/>
      <c r="RQQ301" s="118"/>
      <c r="RQR301" s="118"/>
      <c r="RQS301" s="118"/>
      <c r="RQT301" s="118"/>
      <c r="RQU301" s="118"/>
      <c r="RQV301" s="118"/>
      <c r="RQW301" s="118"/>
      <c r="RQX301" s="118"/>
      <c r="RQY301" s="118"/>
      <c r="RQZ301" s="118"/>
      <c r="RRA301" s="118"/>
      <c r="RRB301" s="118"/>
      <c r="RRC301" s="118"/>
      <c r="RRD301" s="118"/>
      <c r="RRE301" s="118"/>
      <c r="RRF301" s="118"/>
      <c r="RRG301" s="118"/>
      <c r="RRH301" s="118"/>
      <c r="RRI301" s="118"/>
      <c r="RRJ301" s="118"/>
      <c r="RRK301" s="118"/>
      <c r="RRL301" s="118"/>
      <c r="RRM301" s="118"/>
      <c r="RRN301" s="118"/>
      <c r="RRO301" s="118"/>
      <c r="RRP301" s="118"/>
      <c r="RRQ301" s="118"/>
      <c r="RRR301" s="118"/>
      <c r="RRS301" s="118"/>
      <c r="RRT301" s="118"/>
      <c r="RRU301" s="118"/>
      <c r="RRV301" s="118"/>
      <c r="RRW301" s="118"/>
      <c r="RRX301" s="118"/>
      <c r="RRY301" s="118"/>
      <c r="RRZ301" s="118"/>
      <c r="RSA301" s="118"/>
      <c r="RSB301" s="118"/>
      <c r="RSC301" s="118"/>
      <c r="RSD301" s="118"/>
      <c r="RSE301" s="118"/>
      <c r="RSF301" s="118"/>
      <c r="RSG301" s="118"/>
      <c r="RSH301" s="118"/>
      <c r="RSI301" s="118"/>
      <c r="RSJ301" s="118"/>
      <c r="RSK301" s="118"/>
      <c r="RSL301" s="118"/>
      <c r="RSM301" s="118"/>
      <c r="RSN301" s="118"/>
      <c r="RSO301" s="118"/>
      <c r="RSP301" s="118"/>
      <c r="RSQ301" s="118"/>
      <c r="RSR301" s="118"/>
      <c r="RSS301" s="118"/>
      <c r="RST301" s="118"/>
      <c r="RSU301" s="118"/>
      <c r="RSV301" s="118"/>
      <c r="RSW301" s="118"/>
      <c r="RSX301" s="118"/>
      <c r="RSY301" s="118"/>
      <c r="RSZ301" s="118"/>
      <c r="RTA301" s="118"/>
      <c r="RTB301" s="118"/>
      <c r="RTC301" s="118"/>
      <c r="RTD301" s="118"/>
      <c r="RTE301" s="118"/>
      <c r="RTF301" s="118"/>
      <c r="RTG301" s="118"/>
      <c r="RTH301" s="118"/>
      <c r="RTI301" s="118"/>
      <c r="RTJ301" s="118"/>
      <c r="RTK301" s="118"/>
      <c r="RTL301" s="118"/>
      <c r="RTM301" s="118"/>
      <c r="RTN301" s="118"/>
      <c r="RTO301" s="118"/>
      <c r="RTP301" s="118"/>
      <c r="RTQ301" s="118"/>
      <c r="RTR301" s="118"/>
      <c r="RTS301" s="118"/>
      <c r="RTT301" s="118"/>
      <c r="RTU301" s="118"/>
      <c r="RTV301" s="118"/>
      <c r="RTW301" s="118"/>
      <c r="RTX301" s="118"/>
      <c r="RTY301" s="118"/>
      <c r="RTZ301" s="118"/>
      <c r="RUA301" s="118"/>
      <c r="RUB301" s="118"/>
      <c r="RUC301" s="118"/>
      <c r="RUD301" s="118"/>
      <c r="RUE301" s="118"/>
      <c r="RUF301" s="118"/>
      <c r="RUG301" s="118"/>
      <c r="RUH301" s="118"/>
      <c r="RUI301" s="118"/>
      <c r="RUJ301" s="118"/>
      <c r="RUK301" s="118"/>
      <c r="RUL301" s="118"/>
      <c r="RUM301" s="118"/>
      <c r="RUN301" s="118"/>
      <c r="RUO301" s="118"/>
      <c r="RUP301" s="118"/>
      <c r="RUQ301" s="118"/>
      <c r="RUR301" s="118"/>
      <c r="RUS301" s="118"/>
      <c r="RUT301" s="118"/>
      <c r="RUU301" s="118"/>
      <c r="RUV301" s="118"/>
      <c r="RUW301" s="118"/>
      <c r="RUX301" s="118"/>
      <c r="RUY301" s="118"/>
      <c r="RUZ301" s="118"/>
      <c r="RVA301" s="118"/>
      <c r="RVB301" s="118"/>
      <c r="RVC301" s="118"/>
      <c r="RVD301" s="118"/>
      <c r="RVE301" s="118"/>
      <c r="RVF301" s="118"/>
      <c r="RVG301" s="118"/>
      <c r="RVH301" s="118"/>
      <c r="RVI301" s="118"/>
      <c r="RVJ301" s="118"/>
      <c r="RVK301" s="118"/>
      <c r="RVL301" s="118"/>
      <c r="RVM301" s="118"/>
      <c r="RVN301" s="118"/>
      <c r="RVO301" s="118"/>
      <c r="RVP301" s="118"/>
      <c r="RVQ301" s="118"/>
      <c r="RVR301" s="118"/>
      <c r="RVS301" s="118"/>
      <c r="RVT301" s="118"/>
      <c r="RVU301" s="118"/>
      <c r="RVV301" s="118"/>
      <c r="RVW301" s="118"/>
      <c r="RVX301" s="118"/>
      <c r="RVY301" s="118"/>
      <c r="RVZ301" s="118"/>
      <c r="RWA301" s="118"/>
      <c r="RWB301" s="118"/>
      <c r="RWC301" s="118"/>
      <c r="RWD301" s="118"/>
      <c r="RWE301" s="118"/>
      <c r="RWF301" s="118"/>
      <c r="RWG301" s="118"/>
      <c r="RWH301" s="118"/>
      <c r="RWI301" s="118"/>
      <c r="RWJ301" s="118"/>
      <c r="RWK301" s="118"/>
      <c r="RWL301" s="118"/>
      <c r="RWM301" s="118"/>
      <c r="RWN301" s="118"/>
      <c r="RWO301" s="118"/>
      <c r="RWP301" s="118"/>
      <c r="RWQ301" s="118"/>
      <c r="RWR301" s="118"/>
      <c r="RWS301" s="118"/>
      <c r="RWT301" s="118"/>
      <c r="RWU301" s="118"/>
      <c r="RWV301" s="118"/>
      <c r="RWW301" s="118"/>
      <c r="RWX301" s="118"/>
      <c r="RWY301" s="118"/>
      <c r="RWZ301" s="118"/>
      <c r="RXA301" s="118"/>
      <c r="RXB301" s="118"/>
      <c r="RXC301" s="118"/>
      <c r="RXD301" s="118"/>
      <c r="RXE301" s="118"/>
      <c r="RXF301" s="118"/>
      <c r="RXG301" s="118"/>
      <c r="RXH301" s="118"/>
      <c r="RXI301" s="118"/>
      <c r="RXJ301" s="118"/>
      <c r="RXK301" s="118"/>
      <c r="RXL301" s="118"/>
      <c r="RXM301" s="118"/>
      <c r="RXN301" s="118"/>
      <c r="RXO301" s="118"/>
      <c r="RXP301" s="118"/>
      <c r="RXQ301" s="118"/>
      <c r="RXR301" s="118"/>
      <c r="RXS301" s="118"/>
      <c r="RXT301" s="118"/>
      <c r="RXU301" s="118"/>
      <c r="RXV301" s="118"/>
      <c r="RXW301" s="118"/>
      <c r="RXX301" s="118"/>
      <c r="RXY301" s="118"/>
      <c r="RXZ301" s="118"/>
      <c r="RYA301" s="118"/>
      <c r="RYB301" s="118"/>
      <c r="RYC301" s="118"/>
      <c r="RYD301" s="118"/>
      <c r="RYE301" s="118"/>
      <c r="RYF301" s="118"/>
      <c r="RYG301" s="118"/>
      <c r="RYH301" s="118"/>
      <c r="RYI301" s="118"/>
      <c r="RYJ301" s="118"/>
      <c r="RYK301" s="118"/>
      <c r="RYL301" s="118"/>
      <c r="RYM301" s="118"/>
      <c r="RYN301" s="118"/>
      <c r="RYO301" s="118"/>
      <c r="RYP301" s="118"/>
      <c r="RYQ301" s="118"/>
      <c r="RYR301" s="118"/>
      <c r="RYS301" s="118"/>
      <c r="RYT301" s="118"/>
      <c r="RYU301" s="118"/>
      <c r="RYV301" s="118"/>
      <c r="RYW301" s="118"/>
      <c r="RYX301" s="118"/>
      <c r="RYY301" s="118"/>
      <c r="RYZ301" s="118"/>
      <c r="RZA301" s="118"/>
      <c r="RZB301" s="118"/>
      <c r="RZC301" s="118"/>
      <c r="RZD301" s="118"/>
      <c r="RZE301" s="118"/>
      <c r="RZF301" s="118"/>
      <c r="RZG301" s="118"/>
      <c r="RZH301" s="118"/>
      <c r="RZI301" s="118"/>
      <c r="RZJ301" s="118"/>
      <c r="RZK301" s="118"/>
      <c r="RZL301" s="118"/>
      <c r="RZM301" s="118"/>
      <c r="RZN301" s="118"/>
      <c r="RZO301" s="118"/>
      <c r="RZP301" s="118"/>
      <c r="RZQ301" s="118"/>
      <c r="RZR301" s="118"/>
      <c r="RZS301" s="118"/>
      <c r="RZT301" s="118"/>
      <c r="RZU301" s="118"/>
      <c r="RZV301" s="118"/>
      <c r="RZW301" s="118"/>
      <c r="RZX301" s="118"/>
      <c r="RZY301" s="118"/>
      <c r="RZZ301" s="118"/>
      <c r="SAA301" s="118"/>
      <c r="SAB301" s="118"/>
      <c r="SAC301" s="118"/>
      <c r="SAD301" s="118"/>
      <c r="SAE301" s="118"/>
      <c r="SAF301" s="118"/>
      <c r="SAG301" s="118"/>
      <c r="SAH301" s="118"/>
      <c r="SAI301" s="118"/>
      <c r="SAJ301" s="118"/>
      <c r="SAK301" s="118"/>
      <c r="SAL301" s="118"/>
      <c r="SAM301" s="118"/>
      <c r="SAN301" s="118"/>
      <c r="SAO301" s="118"/>
      <c r="SAP301" s="118"/>
      <c r="SAQ301" s="118"/>
      <c r="SAR301" s="118"/>
      <c r="SAS301" s="118"/>
      <c r="SAT301" s="118"/>
      <c r="SAU301" s="118"/>
      <c r="SAV301" s="118"/>
      <c r="SAW301" s="118"/>
      <c r="SAX301" s="118"/>
      <c r="SAY301" s="118"/>
      <c r="SAZ301" s="118"/>
      <c r="SBA301" s="118"/>
      <c r="SBB301" s="118"/>
      <c r="SBC301" s="118"/>
      <c r="SBD301" s="118"/>
      <c r="SBE301" s="118"/>
      <c r="SBF301" s="118"/>
      <c r="SBG301" s="118"/>
      <c r="SBH301" s="118"/>
      <c r="SBI301" s="118"/>
      <c r="SBJ301" s="118"/>
      <c r="SBK301" s="118"/>
      <c r="SBL301" s="118"/>
      <c r="SBM301" s="118"/>
      <c r="SBN301" s="118"/>
      <c r="SBO301" s="118"/>
      <c r="SBP301" s="118"/>
      <c r="SBQ301" s="118"/>
      <c r="SBR301" s="118"/>
      <c r="SBS301" s="118"/>
      <c r="SBT301" s="118"/>
      <c r="SBU301" s="118"/>
      <c r="SBV301" s="118"/>
      <c r="SBW301" s="118"/>
      <c r="SBX301" s="118"/>
      <c r="SBY301" s="118"/>
      <c r="SBZ301" s="118"/>
      <c r="SCA301" s="118"/>
      <c r="SCB301" s="118"/>
      <c r="SCC301" s="118"/>
      <c r="SCD301" s="118"/>
      <c r="SCE301" s="118"/>
      <c r="SCF301" s="118"/>
      <c r="SCG301" s="118"/>
      <c r="SCH301" s="118"/>
      <c r="SCI301" s="118"/>
      <c r="SCJ301" s="118"/>
      <c r="SCK301" s="118"/>
      <c r="SCL301" s="118"/>
      <c r="SCM301" s="118"/>
      <c r="SCN301" s="118"/>
      <c r="SCO301" s="118"/>
      <c r="SCP301" s="118"/>
      <c r="SCQ301" s="118"/>
      <c r="SCR301" s="118"/>
      <c r="SCS301" s="118"/>
      <c r="SCT301" s="118"/>
      <c r="SCU301" s="118"/>
      <c r="SCV301" s="118"/>
      <c r="SCW301" s="118"/>
      <c r="SCX301" s="118"/>
      <c r="SCY301" s="118"/>
      <c r="SCZ301" s="118"/>
      <c r="SDA301" s="118"/>
      <c r="SDB301" s="118"/>
      <c r="SDC301" s="118"/>
      <c r="SDD301" s="118"/>
      <c r="SDE301" s="118"/>
      <c r="SDF301" s="118"/>
      <c r="SDG301" s="118"/>
      <c r="SDH301" s="118"/>
      <c r="SDI301" s="118"/>
      <c r="SDJ301" s="118"/>
      <c r="SDK301" s="118"/>
      <c r="SDL301" s="118"/>
      <c r="SDM301" s="118"/>
      <c r="SDN301" s="118"/>
      <c r="SDO301" s="118"/>
      <c r="SDP301" s="118"/>
      <c r="SDQ301" s="118"/>
      <c r="SDR301" s="118"/>
      <c r="SDS301" s="118"/>
      <c r="SDT301" s="118"/>
      <c r="SDU301" s="118"/>
      <c r="SDV301" s="118"/>
      <c r="SDW301" s="118"/>
      <c r="SDX301" s="118"/>
      <c r="SDY301" s="118"/>
      <c r="SDZ301" s="118"/>
      <c r="SEA301" s="118"/>
      <c r="SEB301" s="118"/>
      <c r="SEC301" s="118"/>
      <c r="SED301" s="118"/>
      <c r="SEE301" s="118"/>
      <c r="SEF301" s="118"/>
      <c r="SEG301" s="118"/>
      <c r="SEH301" s="118"/>
      <c r="SEI301" s="118"/>
      <c r="SEJ301" s="118"/>
      <c r="SEK301" s="118"/>
      <c r="SEL301" s="118"/>
      <c r="SEM301" s="118"/>
      <c r="SEN301" s="118"/>
      <c r="SEO301" s="118"/>
      <c r="SEP301" s="118"/>
      <c r="SEQ301" s="118"/>
      <c r="SER301" s="118"/>
      <c r="SES301" s="118"/>
      <c r="SET301" s="118"/>
      <c r="SEU301" s="118"/>
      <c r="SEV301" s="118"/>
      <c r="SEW301" s="118"/>
      <c r="SEX301" s="118"/>
      <c r="SEY301" s="118"/>
      <c r="SEZ301" s="118"/>
      <c r="SFA301" s="118"/>
      <c r="SFB301" s="118"/>
      <c r="SFC301" s="118"/>
      <c r="SFD301" s="118"/>
      <c r="SFE301" s="118"/>
      <c r="SFF301" s="118"/>
      <c r="SFG301" s="118"/>
      <c r="SFH301" s="118"/>
      <c r="SFI301" s="118"/>
      <c r="SFJ301" s="118"/>
      <c r="SFK301" s="118"/>
      <c r="SFL301" s="118"/>
      <c r="SFM301" s="118"/>
      <c r="SFN301" s="118"/>
      <c r="SFO301" s="118"/>
      <c r="SFP301" s="118"/>
      <c r="SFQ301" s="118"/>
      <c r="SFR301" s="118"/>
      <c r="SFS301" s="118"/>
      <c r="SFT301" s="118"/>
      <c r="SFU301" s="118"/>
      <c r="SFV301" s="118"/>
      <c r="SFW301" s="118"/>
      <c r="SFX301" s="118"/>
      <c r="SFY301" s="118"/>
      <c r="SFZ301" s="118"/>
      <c r="SGA301" s="118"/>
      <c r="SGB301" s="118"/>
      <c r="SGC301" s="118"/>
      <c r="SGD301" s="118"/>
      <c r="SGE301" s="118"/>
      <c r="SGF301" s="118"/>
      <c r="SGG301" s="118"/>
      <c r="SGH301" s="118"/>
      <c r="SGI301" s="118"/>
      <c r="SGJ301" s="118"/>
      <c r="SGK301" s="118"/>
      <c r="SGL301" s="118"/>
      <c r="SGM301" s="118"/>
      <c r="SGN301" s="118"/>
      <c r="SGO301" s="118"/>
      <c r="SGP301" s="118"/>
      <c r="SGQ301" s="118"/>
      <c r="SGR301" s="118"/>
      <c r="SGS301" s="118"/>
      <c r="SGT301" s="118"/>
      <c r="SGU301" s="118"/>
      <c r="SGV301" s="118"/>
      <c r="SGW301" s="118"/>
      <c r="SGX301" s="118"/>
      <c r="SGY301" s="118"/>
      <c r="SGZ301" s="118"/>
      <c r="SHA301" s="118"/>
      <c r="SHB301" s="118"/>
      <c r="SHC301" s="118"/>
      <c r="SHD301" s="118"/>
      <c r="SHE301" s="118"/>
      <c r="SHF301" s="118"/>
      <c r="SHG301" s="118"/>
      <c r="SHH301" s="118"/>
      <c r="SHI301" s="118"/>
      <c r="SHJ301" s="118"/>
      <c r="SHK301" s="118"/>
      <c r="SHL301" s="118"/>
      <c r="SHM301" s="118"/>
      <c r="SHN301" s="118"/>
      <c r="SHO301" s="118"/>
      <c r="SHP301" s="118"/>
      <c r="SHQ301" s="118"/>
      <c r="SHR301" s="118"/>
      <c r="SHS301" s="118"/>
      <c r="SHT301" s="118"/>
      <c r="SHU301" s="118"/>
      <c r="SHV301" s="118"/>
      <c r="SHW301" s="118"/>
      <c r="SHX301" s="118"/>
      <c r="SHY301" s="118"/>
      <c r="SHZ301" s="118"/>
      <c r="SIA301" s="118"/>
      <c r="SIB301" s="118"/>
      <c r="SIC301" s="118"/>
      <c r="SID301" s="118"/>
      <c r="SIE301" s="118"/>
      <c r="SIF301" s="118"/>
      <c r="SIG301" s="118"/>
      <c r="SIH301" s="118"/>
      <c r="SII301" s="118"/>
      <c r="SIJ301" s="118"/>
      <c r="SIK301" s="118"/>
      <c r="SIL301" s="118"/>
      <c r="SIM301" s="118"/>
      <c r="SIN301" s="118"/>
      <c r="SIO301" s="118"/>
      <c r="SIP301" s="118"/>
      <c r="SIQ301" s="118"/>
      <c r="SIR301" s="118"/>
      <c r="SIS301" s="118"/>
      <c r="SIT301" s="118"/>
      <c r="SIU301" s="118"/>
      <c r="SIV301" s="118"/>
      <c r="SIW301" s="118"/>
      <c r="SIX301" s="118"/>
      <c r="SIY301" s="118"/>
      <c r="SIZ301" s="118"/>
      <c r="SJA301" s="118"/>
      <c r="SJB301" s="118"/>
      <c r="SJC301" s="118"/>
      <c r="SJD301" s="118"/>
      <c r="SJE301" s="118"/>
      <c r="SJF301" s="118"/>
      <c r="SJG301" s="118"/>
      <c r="SJH301" s="118"/>
      <c r="SJI301" s="118"/>
      <c r="SJJ301" s="118"/>
      <c r="SJK301" s="118"/>
      <c r="SJL301" s="118"/>
      <c r="SJM301" s="118"/>
      <c r="SJN301" s="118"/>
      <c r="SJO301" s="118"/>
      <c r="SJP301" s="118"/>
      <c r="SJQ301" s="118"/>
      <c r="SJR301" s="118"/>
      <c r="SJS301" s="118"/>
      <c r="SJT301" s="118"/>
      <c r="SJU301" s="118"/>
      <c r="SJV301" s="118"/>
      <c r="SJW301" s="118"/>
      <c r="SJX301" s="118"/>
      <c r="SJY301" s="118"/>
      <c r="SJZ301" s="118"/>
      <c r="SKA301" s="118"/>
      <c r="SKB301" s="118"/>
      <c r="SKC301" s="118"/>
      <c r="SKD301" s="118"/>
      <c r="SKE301" s="118"/>
      <c r="SKF301" s="118"/>
      <c r="SKG301" s="118"/>
      <c r="SKH301" s="118"/>
      <c r="SKI301" s="118"/>
      <c r="SKJ301" s="118"/>
      <c r="SKK301" s="118"/>
      <c r="SKL301" s="118"/>
      <c r="SKM301" s="118"/>
      <c r="SKN301" s="118"/>
      <c r="SKO301" s="118"/>
      <c r="SKP301" s="118"/>
      <c r="SKQ301" s="118"/>
      <c r="SKR301" s="118"/>
      <c r="SKS301" s="118"/>
      <c r="SKT301" s="118"/>
      <c r="SKU301" s="118"/>
      <c r="SKV301" s="118"/>
      <c r="SKW301" s="118"/>
      <c r="SKX301" s="118"/>
      <c r="SKY301" s="118"/>
      <c r="SKZ301" s="118"/>
      <c r="SLA301" s="118"/>
      <c r="SLB301" s="118"/>
      <c r="SLC301" s="118"/>
      <c r="SLD301" s="118"/>
      <c r="SLE301" s="118"/>
      <c r="SLF301" s="118"/>
      <c r="SLG301" s="118"/>
      <c r="SLH301" s="118"/>
      <c r="SLI301" s="118"/>
      <c r="SLJ301" s="118"/>
      <c r="SLK301" s="118"/>
      <c r="SLL301" s="118"/>
      <c r="SLM301" s="118"/>
      <c r="SLN301" s="118"/>
      <c r="SLO301" s="118"/>
      <c r="SLP301" s="118"/>
      <c r="SLQ301" s="118"/>
      <c r="SLR301" s="118"/>
      <c r="SLS301" s="118"/>
      <c r="SLT301" s="118"/>
      <c r="SLU301" s="118"/>
      <c r="SLV301" s="118"/>
      <c r="SLW301" s="118"/>
      <c r="SLX301" s="118"/>
      <c r="SLY301" s="118"/>
      <c r="SLZ301" s="118"/>
      <c r="SMA301" s="118"/>
      <c r="SMB301" s="118"/>
      <c r="SMC301" s="118"/>
      <c r="SMD301" s="118"/>
      <c r="SME301" s="118"/>
      <c r="SMF301" s="118"/>
      <c r="SMG301" s="118"/>
      <c r="SMH301" s="118"/>
      <c r="SMI301" s="118"/>
      <c r="SMJ301" s="118"/>
      <c r="SMK301" s="118"/>
      <c r="SML301" s="118"/>
      <c r="SMM301" s="118"/>
      <c r="SMN301" s="118"/>
      <c r="SMO301" s="118"/>
      <c r="SMP301" s="118"/>
      <c r="SMQ301" s="118"/>
      <c r="SMR301" s="118"/>
      <c r="SMS301" s="118"/>
      <c r="SMT301" s="118"/>
      <c r="SMU301" s="118"/>
      <c r="SMV301" s="118"/>
      <c r="SMW301" s="118"/>
      <c r="SMX301" s="118"/>
      <c r="SMY301" s="118"/>
      <c r="SMZ301" s="118"/>
      <c r="SNA301" s="118"/>
      <c r="SNB301" s="118"/>
      <c r="SNC301" s="118"/>
      <c r="SND301" s="118"/>
      <c r="SNE301" s="118"/>
      <c r="SNF301" s="118"/>
      <c r="SNG301" s="118"/>
      <c r="SNH301" s="118"/>
      <c r="SNI301" s="118"/>
      <c r="SNJ301" s="118"/>
      <c r="SNK301" s="118"/>
      <c r="SNL301" s="118"/>
      <c r="SNM301" s="118"/>
      <c r="SNN301" s="118"/>
      <c r="SNO301" s="118"/>
      <c r="SNP301" s="118"/>
      <c r="SNQ301" s="118"/>
      <c r="SNR301" s="118"/>
      <c r="SNS301" s="118"/>
      <c r="SNT301" s="118"/>
      <c r="SNU301" s="118"/>
      <c r="SNV301" s="118"/>
      <c r="SNW301" s="118"/>
      <c r="SNX301" s="118"/>
      <c r="SNY301" s="118"/>
      <c r="SNZ301" s="118"/>
      <c r="SOA301" s="118"/>
      <c r="SOB301" s="118"/>
      <c r="SOC301" s="118"/>
      <c r="SOD301" s="118"/>
      <c r="SOE301" s="118"/>
      <c r="SOF301" s="118"/>
      <c r="SOG301" s="118"/>
      <c r="SOH301" s="118"/>
      <c r="SOI301" s="118"/>
      <c r="SOJ301" s="118"/>
      <c r="SOK301" s="118"/>
      <c r="SOL301" s="118"/>
      <c r="SOM301" s="118"/>
      <c r="SON301" s="118"/>
      <c r="SOO301" s="118"/>
      <c r="SOP301" s="118"/>
      <c r="SOQ301" s="118"/>
      <c r="SOR301" s="118"/>
      <c r="SOS301" s="118"/>
      <c r="SOT301" s="118"/>
      <c r="SOU301" s="118"/>
      <c r="SOV301" s="118"/>
      <c r="SOW301" s="118"/>
      <c r="SOX301" s="118"/>
      <c r="SOY301" s="118"/>
      <c r="SOZ301" s="118"/>
      <c r="SPA301" s="118"/>
      <c r="SPB301" s="118"/>
      <c r="SPC301" s="118"/>
      <c r="SPD301" s="118"/>
      <c r="SPE301" s="118"/>
      <c r="SPF301" s="118"/>
      <c r="SPG301" s="118"/>
      <c r="SPH301" s="118"/>
      <c r="SPI301" s="118"/>
      <c r="SPJ301" s="118"/>
      <c r="SPK301" s="118"/>
      <c r="SPL301" s="118"/>
      <c r="SPM301" s="118"/>
      <c r="SPN301" s="118"/>
      <c r="SPO301" s="118"/>
      <c r="SPP301" s="118"/>
      <c r="SPQ301" s="118"/>
      <c r="SPR301" s="118"/>
      <c r="SPS301" s="118"/>
      <c r="SPT301" s="118"/>
      <c r="SPU301" s="118"/>
      <c r="SPV301" s="118"/>
      <c r="SPW301" s="118"/>
      <c r="SPX301" s="118"/>
      <c r="SPY301" s="118"/>
      <c r="SPZ301" s="118"/>
      <c r="SQA301" s="118"/>
      <c r="SQB301" s="118"/>
      <c r="SQC301" s="118"/>
      <c r="SQD301" s="118"/>
      <c r="SQE301" s="118"/>
      <c r="SQF301" s="118"/>
      <c r="SQG301" s="118"/>
      <c r="SQH301" s="118"/>
      <c r="SQI301" s="118"/>
      <c r="SQJ301" s="118"/>
      <c r="SQK301" s="118"/>
      <c r="SQL301" s="118"/>
      <c r="SQM301" s="118"/>
      <c r="SQN301" s="118"/>
      <c r="SQO301" s="118"/>
      <c r="SQP301" s="118"/>
      <c r="SQQ301" s="118"/>
      <c r="SQR301" s="118"/>
      <c r="SQS301" s="118"/>
      <c r="SQT301" s="118"/>
      <c r="SQU301" s="118"/>
      <c r="SQV301" s="118"/>
      <c r="SQW301" s="118"/>
      <c r="SQX301" s="118"/>
      <c r="SQY301" s="118"/>
      <c r="SQZ301" s="118"/>
      <c r="SRA301" s="118"/>
      <c r="SRB301" s="118"/>
      <c r="SRC301" s="118"/>
      <c r="SRD301" s="118"/>
      <c r="SRE301" s="118"/>
      <c r="SRF301" s="118"/>
      <c r="SRG301" s="118"/>
      <c r="SRH301" s="118"/>
      <c r="SRI301" s="118"/>
      <c r="SRJ301" s="118"/>
      <c r="SRK301" s="118"/>
      <c r="SRL301" s="118"/>
      <c r="SRM301" s="118"/>
      <c r="SRN301" s="118"/>
      <c r="SRO301" s="118"/>
      <c r="SRP301" s="118"/>
      <c r="SRQ301" s="118"/>
      <c r="SRR301" s="118"/>
      <c r="SRS301" s="118"/>
      <c r="SRT301" s="118"/>
      <c r="SRU301" s="118"/>
      <c r="SRV301" s="118"/>
      <c r="SRW301" s="118"/>
      <c r="SRX301" s="118"/>
      <c r="SRY301" s="118"/>
      <c r="SRZ301" s="118"/>
      <c r="SSA301" s="118"/>
      <c r="SSB301" s="118"/>
      <c r="SSC301" s="118"/>
      <c r="SSD301" s="118"/>
      <c r="SSE301" s="118"/>
      <c r="SSF301" s="118"/>
      <c r="SSG301" s="118"/>
      <c r="SSH301" s="118"/>
      <c r="SSI301" s="118"/>
      <c r="SSJ301" s="118"/>
      <c r="SSK301" s="118"/>
      <c r="SSL301" s="118"/>
      <c r="SSM301" s="118"/>
      <c r="SSN301" s="118"/>
      <c r="SSO301" s="118"/>
      <c r="SSP301" s="118"/>
      <c r="SSQ301" s="118"/>
      <c r="SSR301" s="118"/>
      <c r="SSS301" s="118"/>
      <c r="SST301" s="118"/>
      <c r="SSU301" s="118"/>
      <c r="SSV301" s="118"/>
      <c r="SSW301" s="118"/>
      <c r="SSX301" s="118"/>
      <c r="SSY301" s="118"/>
      <c r="SSZ301" s="118"/>
      <c r="STA301" s="118"/>
      <c r="STB301" s="118"/>
      <c r="STC301" s="118"/>
      <c r="STD301" s="118"/>
      <c r="STE301" s="118"/>
      <c r="STF301" s="118"/>
      <c r="STG301" s="118"/>
      <c r="STH301" s="118"/>
      <c r="STI301" s="118"/>
      <c r="STJ301" s="118"/>
      <c r="STK301" s="118"/>
      <c r="STL301" s="118"/>
      <c r="STM301" s="118"/>
      <c r="STN301" s="118"/>
      <c r="STO301" s="118"/>
      <c r="STP301" s="118"/>
      <c r="STQ301" s="118"/>
      <c r="STR301" s="118"/>
      <c r="STS301" s="118"/>
      <c r="STT301" s="118"/>
      <c r="STU301" s="118"/>
      <c r="STV301" s="118"/>
      <c r="STW301" s="118"/>
      <c r="STX301" s="118"/>
      <c r="STY301" s="118"/>
      <c r="STZ301" s="118"/>
      <c r="SUA301" s="118"/>
      <c r="SUB301" s="118"/>
      <c r="SUC301" s="118"/>
      <c r="SUD301" s="118"/>
      <c r="SUE301" s="118"/>
      <c r="SUF301" s="118"/>
      <c r="SUG301" s="118"/>
      <c r="SUH301" s="118"/>
      <c r="SUI301" s="118"/>
      <c r="SUJ301" s="118"/>
      <c r="SUK301" s="118"/>
      <c r="SUL301" s="118"/>
      <c r="SUM301" s="118"/>
      <c r="SUN301" s="118"/>
      <c r="SUO301" s="118"/>
      <c r="SUP301" s="118"/>
      <c r="SUQ301" s="118"/>
      <c r="SUR301" s="118"/>
      <c r="SUS301" s="118"/>
      <c r="SUT301" s="118"/>
      <c r="SUU301" s="118"/>
      <c r="SUV301" s="118"/>
      <c r="SUW301" s="118"/>
      <c r="SUX301" s="118"/>
      <c r="SUY301" s="118"/>
      <c r="SUZ301" s="118"/>
      <c r="SVA301" s="118"/>
      <c r="SVB301" s="118"/>
      <c r="SVC301" s="118"/>
      <c r="SVD301" s="118"/>
      <c r="SVE301" s="118"/>
      <c r="SVF301" s="118"/>
      <c r="SVG301" s="118"/>
      <c r="SVH301" s="118"/>
      <c r="SVI301" s="118"/>
      <c r="SVJ301" s="118"/>
      <c r="SVK301" s="118"/>
      <c r="SVL301" s="118"/>
      <c r="SVM301" s="118"/>
      <c r="SVN301" s="118"/>
      <c r="SVO301" s="118"/>
      <c r="SVP301" s="118"/>
      <c r="SVQ301" s="118"/>
      <c r="SVR301" s="118"/>
      <c r="SVS301" s="118"/>
      <c r="SVT301" s="118"/>
      <c r="SVU301" s="118"/>
      <c r="SVV301" s="118"/>
      <c r="SVW301" s="118"/>
      <c r="SVX301" s="118"/>
      <c r="SVY301" s="118"/>
      <c r="SVZ301" s="118"/>
      <c r="SWA301" s="118"/>
      <c r="SWB301" s="118"/>
      <c r="SWC301" s="118"/>
      <c r="SWD301" s="118"/>
      <c r="SWE301" s="118"/>
      <c r="SWF301" s="118"/>
      <c r="SWG301" s="118"/>
      <c r="SWH301" s="118"/>
      <c r="SWI301" s="118"/>
      <c r="SWJ301" s="118"/>
      <c r="SWK301" s="118"/>
      <c r="SWL301" s="118"/>
      <c r="SWM301" s="118"/>
      <c r="SWN301" s="118"/>
      <c r="SWO301" s="118"/>
      <c r="SWP301" s="118"/>
      <c r="SWQ301" s="118"/>
      <c r="SWR301" s="118"/>
      <c r="SWS301" s="118"/>
      <c r="SWT301" s="118"/>
      <c r="SWU301" s="118"/>
      <c r="SWV301" s="118"/>
      <c r="SWW301" s="118"/>
      <c r="SWX301" s="118"/>
      <c r="SWY301" s="118"/>
      <c r="SWZ301" s="118"/>
      <c r="SXA301" s="118"/>
      <c r="SXB301" s="118"/>
      <c r="SXC301" s="118"/>
      <c r="SXD301" s="118"/>
      <c r="SXE301" s="118"/>
      <c r="SXF301" s="118"/>
      <c r="SXG301" s="118"/>
      <c r="SXH301" s="118"/>
      <c r="SXI301" s="118"/>
      <c r="SXJ301" s="118"/>
      <c r="SXK301" s="118"/>
      <c r="SXL301" s="118"/>
      <c r="SXM301" s="118"/>
      <c r="SXN301" s="118"/>
      <c r="SXO301" s="118"/>
      <c r="SXP301" s="118"/>
      <c r="SXQ301" s="118"/>
      <c r="SXR301" s="118"/>
      <c r="SXS301" s="118"/>
      <c r="SXT301" s="118"/>
      <c r="SXU301" s="118"/>
      <c r="SXV301" s="118"/>
      <c r="SXW301" s="118"/>
      <c r="SXX301" s="118"/>
      <c r="SXY301" s="118"/>
      <c r="SXZ301" s="118"/>
      <c r="SYA301" s="118"/>
      <c r="SYB301" s="118"/>
      <c r="SYC301" s="118"/>
      <c r="SYD301" s="118"/>
      <c r="SYE301" s="118"/>
      <c r="SYF301" s="118"/>
      <c r="SYG301" s="118"/>
      <c r="SYH301" s="118"/>
      <c r="SYI301" s="118"/>
      <c r="SYJ301" s="118"/>
      <c r="SYK301" s="118"/>
      <c r="SYL301" s="118"/>
      <c r="SYM301" s="118"/>
      <c r="SYN301" s="118"/>
      <c r="SYO301" s="118"/>
      <c r="SYP301" s="118"/>
      <c r="SYQ301" s="118"/>
      <c r="SYR301" s="118"/>
      <c r="SYS301" s="118"/>
      <c r="SYT301" s="118"/>
      <c r="SYU301" s="118"/>
      <c r="SYV301" s="118"/>
      <c r="SYW301" s="118"/>
      <c r="SYX301" s="118"/>
      <c r="SYY301" s="118"/>
      <c r="SYZ301" s="118"/>
      <c r="SZA301" s="118"/>
      <c r="SZB301" s="118"/>
      <c r="SZC301" s="118"/>
      <c r="SZD301" s="118"/>
      <c r="SZE301" s="118"/>
      <c r="SZF301" s="118"/>
      <c r="SZG301" s="118"/>
      <c r="SZH301" s="118"/>
      <c r="SZI301" s="118"/>
      <c r="SZJ301" s="118"/>
      <c r="SZK301" s="118"/>
      <c r="SZL301" s="118"/>
      <c r="SZM301" s="118"/>
      <c r="SZN301" s="118"/>
      <c r="SZO301" s="118"/>
      <c r="SZP301" s="118"/>
      <c r="SZQ301" s="118"/>
      <c r="SZR301" s="118"/>
      <c r="SZS301" s="118"/>
      <c r="SZT301" s="118"/>
      <c r="SZU301" s="118"/>
      <c r="SZV301" s="118"/>
      <c r="SZW301" s="118"/>
      <c r="SZX301" s="118"/>
      <c r="SZY301" s="118"/>
      <c r="SZZ301" s="118"/>
      <c r="TAA301" s="118"/>
      <c r="TAB301" s="118"/>
      <c r="TAC301" s="118"/>
      <c r="TAD301" s="118"/>
      <c r="TAE301" s="118"/>
      <c r="TAF301" s="118"/>
      <c r="TAG301" s="118"/>
      <c r="TAH301" s="118"/>
      <c r="TAI301" s="118"/>
      <c r="TAJ301" s="118"/>
      <c r="TAK301" s="118"/>
      <c r="TAL301" s="118"/>
      <c r="TAM301" s="118"/>
      <c r="TAN301" s="118"/>
      <c r="TAO301" s="118"/>
      <c r="TAP301" s="118"/>
      <c r="TAQ301" s="118"/>
      <c r="TAR301" s="118"/>
      <c r="TAS301" s="118"/>
      <c r="TAT301" s="118"/>
      <c r="TAU301" s="118"/>
      <c r="TAV301" s="118"/>
      <c r="TAW301" s="118"/>
      <c r="TAX301" s="118"/>
      <c r="TAY301" s="118"/>
      <c r="TAZ301" s="118"/>
      <c r="TBA301" s="118"/>
      <c r="TBB301" s="118"/>
      <c r="TBC301" s="118"/>
      <c r="TBD301" s="118"/>
      <c r="TBE301" s="118"/>
      <c r="TBF301" s="118"/>
      <c r="TBG301" s="118"/>
      <c r="TBH301" s="118"/>
      <c r="TBI301" s="118"/>
      <c r="TBJ301" s="118"/>
      <c r="TBK301" s="118"/>
      <c r="TBL301" s="118"/>
      <c r="TBM301" s="118"/>
      <c r="TBN301" s="118"/>
      <c r="TBO301" s="118"/>
      <c r="TBP301" s="118"/>
      <c r="TBQ301" s="118"/>
      <c r="TBR301" s="118"/>
      <c r="TBS301" s="118"/>
      <c r="TBT301" s="118"/>
      <c r="TBU301" s="118"/>
      <c r="TBV301" s="118"/>
      <c r="TBW301" s="118"/>
      <c r="TBX301" s="118"/>
      <c r="TBY301" s="118"/>
      <c r="TBZ301" s="118"/>
      <c r="TCA301" s="118"/>
      <c r="TCB301" s="118"/>
      <c r="TCC301" s="118"/>
      <c r="TCD301" s="118"/>
      <c r="TCE301" s="118"/>
      <c r="TCF301" s="118"/>
      <c r="TCG301" s="118"/>
      <c r="TCH301" s="118"/>
      <c r="TCI301" s="118"/>
      <c r="TCJ301" s="118"/>
      <c r="TCK301" s="118"/>
      <c r="TCL301" s="118"/>
      <c r="TCM301" s="118"/>
      <c r="TCN301" s="118"/>
      <c r="TCO301" s="118"/>
      <c r="TCP301" s="118"/>
      <c r="TCQ301" s="118"/>
      <c r="TCR301" s="118"/>
      <c r="TCS301" s="118"/>
      <c r="TCT301" s="118"/>
      <c r="TCU301" s="118"/>
      <c r="TCV301" s="118"/>
      <c r="TCW301" s="118"/>
      <c r="TCX301" s="118"/>
      <c r="TCY301" s="118"/>
      <c r="TCZ301" s="118"/>
      <c r="TDA301" s="118"/>
      <c r="TDB301" s="118"/>
      <c r="TDC301" s="118"/>
      <c r="TDD301" s="118"/>
      <c r="TDE301" s="118"/>
      <c r="TDF301" s="118"/>
      <c r="TDG301" s="118"/>
      <c r="TDH301" s="118"/>
      <c r="TDI301" s="118"/>
      <c r="TDJ301" s="118"/>
      <c r="TDK301" s="118"/>
      <c r="TDL301" s="118"/>
      <c r="TDM301" s="118"/>
      <c r="TDN301" s="118"/>
      <c r="TDO301" s="118"/>
      <c r="TDP301" s="118"/>
      <c r="TDQ301" s="118"/>
      <c r="TDR301" s="118"/>
      <c r="TDS301" s="118"/>
      <c r="TDT301" s="118"/>
      <c r="TDU301" s="118"/>
      <c r="TDV301" s="118"/>
      <c r="TDW301" s="118"/>
      <c r="TDX301" s="118"/>
      <c r="TDY301" s="118"/>
      <c r="TDZ301" s="118"/>
      <c r="TEA301" s="118"/>
      <c r="TEB301" s="118"/>
      <c r="TEC301" s="118"/>
      <c r="TED301" s="118"/>
      <c r="TEE301" s="118"/>
      <c r="TEF301" s="118"/>
      <c r="TEG301" s="118"/>
      <c r="TEH301" s="118"/>
      <c r="TEI301" s="118"/>
      <c r="TEJ301" s="118"/>
      <c r="TEK301" s="118"/>
      <c r="TEL301" s="118"/>
      <c r="TEM301" s="118"/>
      <c r="TEN301" s="118"/>
      <c r="TEO301" s="118"/>
      <c r="TEP301" s="118"/>
      <c r="TEQ301" s="118"/>
      <c r="TER301" s="118"/>
      <c r="TES301" s="118"/>
      <c r="TET301" s="118"/>
      <c r="TEU301" s="118"/>
      <c r="TEV301" s="118"/>
      <c r="TEW301" s="118"/>
      <c r="TEX301" s="118"/>
      <c r="TEY301" s="118"/>
      <c r="TEZ301" s="118"/>
      <c r="TFA301" s="118"/>
      <c r="TFB301" s="118"/>
      <c r="TFC301" s="118"/>
      <c r="TFD301" s="118"/>
      <c r="TFE301" s="118"/>
      <c r="TFF301" s="118"/>
      <c r="TFG301" s="118"/>
      <c r="TFH301" s="118"/>
      <c r="TFI301" s="118"/>
      <c r="TFJ301" s="118"/>
      <c r="TFK301" s="118"/>
      <c r="TFL301" s="118"/>
      <c r="TFM301" s="118"/>
      <c r="TFN301" s="118"/>
      <c r="TFO301" s="118"/>
      <c r="TFP301" s="118"/>
      <c r="TFQ301" s="118"/>
      <c r="TFR301" s="118"/>
      <c r="TFS301" s="118"/>
      <c r="TFT301" s="118"/>
      <c r="TFU301" s="118"/>
      <c r="TFV301" s="118"/>
      <c r="TFW301" s="118"/>
      <c r="TFX301" s="118"/>
      <c r="TFY301" s="118"/>
      <c r="TFZ301" s="118"/>
      <c r="TGA301" s="118"/>
      <c r="TGB301" s="118"/>
      <c r="TGC301" s="118"/>
      <c r="TGD301" s="118"/>
      <c r="TGE301" s="118"/>
      <c r="TGF301" s="118"/>
      <c r="TGG301" s="118"/>
      <c r="TGH301" s="118"/>
      <c r="TGI301" s="118"/>
      <c r="TGJ301" s="118"/>
      <c r="TGK301" s="118"/>
      <c r="TGL301" s="118"/>
      <c r="TGM301" s="118"/>
      <c r="TGN301" s="118"/>
      <c r="TGO301" s="118"/>
      <c r="TGP301" s="118"/>
      <c r="TGQ301" s="118"/>
      <c r="TGR301" s="118"/>
      <c r="TGS301" s="118"/>
      <c r="TGT301" s="118"/>
      <c r="TGU301" s="118"/>
      <c r="TGV301" s="118"/>
      <c r="TGW301" s="118"/>
      <c r="TGX301" s="118"/>
      <c r="TGY301" s="118"/>
      <c r="TGZ301" s="118"/>
      <c r="THA301" s="118"/>
      <c r="THB301" s="118"/>
      <c r="THC301" s="118"/>
      <c r="THD301" s="118"/>
      <c r="THE301" s="118"/>
      <c r="THF301" s="118"/>
      <c r="THG301" s="118"/>
      <c r="THH301" s="118"/>
      <c r="THI301" s="118"/>
      <c r="THJ301" s="118"/>
      <c r="THK301" s="118"/>
      <c r="THL301" s="118"/>
      <c r="THM301" s="118"/>
      <c r="THN301" s="118"/>
      <c r="THO301" s="118"/>
      <c r="THP301" s="118"/>
      <c r="THQ301" s="118"/>
      <c r="THR301" s="118"/>
      <c r="THS301" s="118"/>
      <c r="THT301" s="118"/>
      <c r="THU301" s="118"/>
      <c r="THV301" s="118"/>
      <c r="THW301" s="118"/>
      <c r="THX301" s="118"/>
      <c r="THY301" s="118"/>
      <c r="THZ301" s="118"/>
      <c r="TIA301" s="118"/>
      <c r="TIB301" s="118"/>
      <c r="TIC301" s="118"/>
      <c r="TID301" s="118"/>
      <c r="TIE301" s="118"/>
      <c r="TIF301" s="118"/>
      <c r="TIG301" s="118"/>
      <c r="TIH301" s="118"/>
      <c r="TII301" s="118"/>
      <c r="TIJ301" s="118"/>
      <c r="TIK301" s="118"/>
      <c r="TIL301" s="118"/>
      <c r="TIM301" s="118"/>
      <c r="TIN301" s="118"/>
      <c r="TIO301" s="118"/>
      <c r="TIP301" s="118"/>
      <c r="TIQ301" s="118"/>
      <c r="TIR301" s="118"/>
      <c r="TIS301" s="118"/>
      <c r="TIT301" s="118"/>
      <c r="TIU301" s="118"/>
      <c r="TIV301" s="118"/>
      <c r="TIW301" s="118"/>
      <c r="TIX301" s="118"/>
      <c r="TIY301" s="118"/>
      <c r="TIZ301" s="118"/>
      <c r="TJA301" s="118"/>
      <c r="TJB301" s="118"/>
      <c r="TJC301" s="118"/>
      <c r="TJD301" s="118"/>
      <c r="TJE301" s="118"/>
      <c r="TJF301" s="118"/>
      <c r="TJG301" s="118"/>
      <c r="TJH301" s="118"/>
      <c r="TJI301" s="118"/>
      <c r="TJJ301" s="118"/>
      <c r="TJK301" s="118"/>
      <c r="TJL301" s="118"/>
      <c r="TJM301" s="118"/>
      <c r="TJN301" s="118"/>
      <c r="TJO301" s="118"/>
      <c r="TJP301" s="118"/>
      <c r="TJQ301" s="118"/>
      <c r="TJR301" s="118"/>
      <c r="TJS301" s="118"/>
      <c r="TJT301" s="118"/>
      <c r="TJU301" s="118"/>
      <c r="TJV301" s="118"/>
      <c r="TJW301" s="118"/>
      <c r="TJX301" s="118"/>
      <c r="TJY301" s="118"/>
      <c r="TJZ301" s="118"/>
      <c r="TKA301" s="118"/>
      <c r="TKB301" s="118"/>
      <c r="TKC301" s="118"/>
      <c r="TKD301" s="118"/>
      <c r="TKE301" s="118"/>
      <c r="TKF301" s="118"/>
      <c r="TKG301" s="118"/>
      <c r="TKH301" s="118"/>
      <c r="TKI301" s="118"/>
      <c r="TKJ301" s="118"/>
      <c r="TKK301" s="118"/>
      <c r="TKL301" s="118"/>
      <c r="TKM301" s="118"/>
      <c r="TKN301" s="118"/>
      <c r="TKO301" s="118"/>
      <c r="TKP301" s="118"/>
      <c r="TKQ301" s="118"/>
      <c r="TKR301" s="118"/>
      <c r="TKS301" s="118"/>
      <c r="TKT301" s="118"/>
      <c r="TKU301" s="118"/>
      <c r="TKV301" s="118"/>
      <c r="TKW301" s="118"/>
      <c r="TKX301" s="118"/>
      <c r="TKY301" s="118"/>
      <c r="TKZ301" s="118"/>
      <c r="TLA301" s="118"/>
      <c r="TLB301" s="118"/>
      <c r="TLC301" s="118"/>
      <c r="TLD301" s="118"/>
      <c r="TLE301" s="118"/>
      <c r="TLF301" s="118"/>
      <c r="TLG301" s="118"/>
      <c r="TLH301" s="118"/>
      <c r="TLI301" s="118"/>
      <c r="TLJ301" s="118"/>
      <c r="TLK301" s="118"/>
      <c r="TLL301" s="118"/>
      <c r="TLM301" s="118"/>
      <c r="TLN301" s="118"/>
      <c r="TLO301" s="118"/>
      <c r="TLP301" s="118"/>
      <c r="TLQ301" s="118"/>
      <c r="TLR301" s="118"/>
      <c r="TLS301" s="118"/>
      <c r="TLT301" s="118"/>
      <c r="TLU301" s="118"/>
      <c r="TLV301" s="118"/>
      <c r="TLW301" s="118"/>
      <c r="TLX301" s="118"/>
      <c r="TLY301" s="118"/>
      <c r="TLZ301" s="118"/>
      <c r="TMA301" s="118"/>
      <c r="TMB301" s="118"/>
      <c r="TMC301" s="118"/>
      <c r="TMD301" s="118"/>
      <c r="TME301" s="118"/>
      <c r="TMF301" s="118"/>
      <c r="TMG301" s="118"/>
      <c r="TMH301" s="118"/>
      <c r="TMI301" s="118"/>
      <c r="TMJ301" s="118"/>
      <c r="TMK301" s="118"/>
      <c r="TML301" s="118"/>
      <c r="TMM301" s="118"/>
      <c r="TMN301" s="118"/>
      <c r="TMO301" s="118"/>
      <c r="TMP301" s="118"/>
      <c r="TMQ301" s="118"/>
      <c r="TMR301" s="118"/>
      <c r="TMS301" s="118"/>
      <c r="TMT301" s="118"/>
      <c r="TMU301" s="118"/>
      <c r="TMV301" s="118"/>
      <c r="TMW301" s="118"/>
      <c r="TMX301" s="118"/>
      <c r="TMY301" s="118"/>
      <c r="TMZ301" s="118"/>
      <c r="TNA301" s="118"/>
      <c r="TNB301" s="118"/>
      <c r="TNC301" s="118"/>
      <c r="TND301" s="118"/>
      <c r="TNE301" s="118"/>
      <c r="TNF301" s="118"/>
      <c r="TNG301" s="118"/>
      <c r="TNH301" s="118"/>
      <c r="TNI301" s="118"/>
      <c r="TNJ301" s="118"/>
      <c r="TNK301" s="118"/>
      <c r="TNL301" s="118"/>
      <c r="TNM301" s="118"/>
      <c r="TNN301" s="118"/>
      <c r="TNO301" s="118"/>
      <c r="TNP301" s="118"/>
      <c r="TNQ301" s="118"/>
      <c r="TNR301" s="118"/>
      <c r="TNS301" s="118"/>
      <c r="TNT301" s="118"/>
      <c r="TNU301" s="118"/>
      <c r="TNV301" s="118"/>
      <c r="TNW301" s="118"/>
      <c r="TNX301" s="118"/>
      <c r="TNY301" s="118"/>
      <c r="TNZ301" s="118"/>
      <c r="TOA301" s="118"/>
      <c r="TOB301" s="118"/>
      <c r="TOC301" s="118"/>
      <c r="TOD301" s="118"/>
      <c r="TOE301" s="118"/>
      <c r="TOF301" s="118"/>
      <c r="TOG301" s="118"/>
      <c r="TOH301" s="118"/>
      <c r="TOI301" s="118"/>
      <c r="TOJ301" s="118"/>
      <c r="TOK301" s="118"/>
      <c r="TOL301" s="118"/>
      <c r="TOM301" s="118"/>
      <c r="TON301" s="118"/>
      <c r="TOO301" s="118"/>
      <c r="TOP301" s="118"/>
      <c r="TOQ301" s="118"/>
      <c r="TOR301" s="118"/>
      <c r="TOS301" s="118"/>
      <c r="TOT301" s="118"/>
      <c r="TOU301" s="118"/>
      <c r="TOV301" s="118"/>
      <c r="TOW301" s="118"/>
      <c r="TOX301" s="118"/>
      <c r="TOY301" s="118"/>
      <c r="TOZ301" s="118"/>
      <c r="TPA301" s="118"/>
      <c r="TPB301" s="118"/>
      <c r="TPC301" s="118"/>
      <c r="TPD301" s="118"/>
      <c r="TPE301" s="118"/>
      <c r="TPF301" s="118"/>
      <c r="TPG301" s="118"/>
      <c r="TPH301" s="118"/>
      <c r="TPI301" s="118"/>
      <c r="TPJ301" s="118"/>
      <c r="TPK301" s="118"/>
      <c r="TPL301" s="118"/>
      <c r="TPM301" s="118"/>
      <c r="TPN301" s="118"/>
      <c r="TPO301" s="118"/>
      <c r="TPP301" s="118"/>
      <c r="TPQ301" s="118"/>
      <c r="TPR301" s="118"/>
      <c r="TPS301" s="118"/>
      <c r="TPT301" s="118"/>
      <c r="TPU301" s="118"/>
      <c r="TPV301" s="118"/>
      <c r="TPW301" s="118"/>
      <c r="TPX301" s="118"/>
      <c r="TPY301" s="118"/>
      <c r="TPZ301" s="118"/>
      <c r="TQA301" s="118"/>
      <c r="TQB301" s="118"/>
      <c r="TQC301" s="118"/>
      <c r="TQD301" s="118"/>
      <c r="TQE301" s="118"/>
      <c r="TQF301" s="118"/>
      <c r="TQG301" s="118"/>
      <c r="TQH301" s="118"/>
      <c r="TQI301" s="118"/>
      <c r="TQJ301" s="118"/>
      <c r="TQK301" s="118"/>
      <c r="TQL301" s="118"/>
      <c r="TQM301" s="118"/>
      <c r="TQN301" s="118"/>
      <c r="TQO301" s="118"/>
      <c r="TQP301" s="118"/>
      <c r="TQQ301" s="118"/>
      <c r="TQR301" s="118"/>
      <c r="TQS301" s="118"/>
      <c r="TQT301" s="118"/>
      <c r="TQU301" s="118"/>
      <c r="TQV301" s="118"/>
      <c r="TQW301" s="118"/>
      <c r="TQX301" s="118"/>
      <c r="TQY301" s="118"/>
      <c r="TQZ301" s="118"/>
      <c r="TRA301" s="118"/>
      <c r="TRB301" s="118"/>
      <c r="TRC301" s="118"/>
      <c r="TRD301" s="118"/>
      <c r="TRE301" s="118"/>
      <c r="TRF301" s="118"/>
      <c r="TRG301" s="118"/>
      <c r="TRH301" s="118"/>
      <c r="TRI301" s="118"/>
      <c r="TRJ301" s="118"/>
      <c r="TRK301" s="118"/>
      <c r="TRL301" s="118"/>
      <c r="TRM301" s="118"/>
      <c r="TRN301" s="118"/>
      <c r="TRO301" s="118"/>
      <c r="TRP301" s="118"/>
      <c r="TRQ301" s="118"/>
      <c r="TRR301" s="118"/>
      <c r="TRS301" s="118"/>
      <c r="TRT301" s="118"/>
      <c r="TRU301" s="118"/>
      <c r="TRV301" s="118"/>
      <c r="TRW301" s="118"/>
      <c r="TRX301" s="118"/>
      <c r="TRY301" s="118"/>
      <c r="TRZ301" s="118"/>
      <c r="TSA301" s="118"/>
      <c r="TSB301" s="118"/>
      <c r="TSC301" s="118"/>
      <c r="TSD301" s="118"/>
      <c r="TSE301" s="118"/>
      <c r="TSF301" s="118"/>
      <c r="TSG301" s="118"/>
      <c r="TSH301" s="118"/>
      <c r="TSI301" s="118"/>
      <c r="TSJ301" s="118"/>
      <c r="TSK301" s="118"/>
      <c r="TSL301" s="118"/>
      <c r="TSM301" s="118"/>
      <c r="TSN301" s="118"/>
      <c r="TSO301" s="118"/>
      <c r="TSP301" s="118"/>
      <c r="TSQ301" s="118"/>
      <c r="TSR301" s="118"/>
      <c r="TSS301" s="118"/>
      <c r="TST301" s="118"/>
      <c r="TSU301" s="118"/>
      <c r="TSV301" s="118"/>
      <c r="TSW301" s="118"/>
      <c r="TSX301" s="118"/>
      <c r="TSY301" s="118"/>
      <c r="TSZ301" s="118"/>
      <c r="TTA301" s="118"/>
      <c r="TTB301" s="118"/>
      <c r="TTC301" s="118"/>
      <c r="TTD301" s="118"/>
      <c r="TTE301" s="118"/>
      <c r="TTF301" s="118"/>
      <c r="TTG301" s="118"/>
      <c r="TTH301" s="118"/>
      <c r="TTI301" s="118"/>
      <c r="TTJ301" s="118"/>
      <c r="TTK301" s="118"/>
      <c r="TTL301" s="118"/>
      <c r="TTM301" s="118"/>
      <c r="TTN301" s="118"/>
      <c r="TTO301" s="118"/>
      <c r="TTP301" s="118"/>
      <c r="TTQ301" s="118"/>
      <c r="TTR301" s="118"/>
      <c r="TTS301" s="118"/>
      <c r="TTT301" s="118"/>
      <c r="TTU301" s="118"/>
      <c r="TTV301" s="118"/>
      <c r="TTW301" s="118"/>
      <c r="TTX301" s="118"/>
      <c r="TTY301" s="118"/>
      <c r="TTZ301" s="118"/>
      <c r="TUA301" s="118"/>
      <c r="TUB301" s="118"/>
      <c r="TUC301" s="118"/>
      <c r="TUD301" s="118"/>
      <c r="TUE301" s="118"/>
      <c r="TUF301" s="118"/>
      <c r="TUG301" s="118"/>
      <c r="TUH301" s="118"/>
      <c r="TUI301" s="118"/>
      <c r="TUJ301" s="118"/>
      <c r="TUK301" s="118"/>
      <c r="TUL301" s="118"/>
      <c r="TUM301" s="118"/>
      <c r="TUN301" s="118"/>
      <c r="TUO301" s="118"/>
      <c r="TUP301" s="118"/>
      <c r="TUQ301" s="118"/>
      <c r="TUR301" s="118"/>
      <c r="TUS301" s="118"/>
      <c r="TUT301" s="118"/>
      <c r="TUU301" s="118"/>
      <c r="TUV301" s="118"/>
      <c r="TUW301" s="118"/>
      <c r="TUX301" s="118"/>
      <c r="TUY301" s="118"/>
      <c r="TUZ301" s="118"/>
      <c r="TVA301" s="118"/>
      <c r="TVB301" s="118"/>
      <c r="TVC301" s="118"/>
      <c r="TVD301" s="118"/>
      <c r="TVE301" s="118"/>
      <c r="TVF301" s="118"/>
      <c r="TVG301" s="118"/>
      <c r="TVH301" s="118"/>
      <c r="TVI301" s="118"/>
      <c r="TVJ301" s="118"/>
      <c r="TVK301" s="118"/>
      <c r="TVL301" s="118"/>
      <c r="TVM301" s="118"/>
      <c r="TVN301" s="118"/>
      <c r="TVO301" s="118"/>
      <c r="TVP301" s="118"/>
      <c r="TVQ301" s="118"/>
      <c r="TVR301" s="118"/>
      <c r="TVS301" s="118"/>
      <c r="TVT301" s="118"/>
      <c r="TVU301" s="118"/>
      <c r="TVV301" s="118"/>
      <c r="TVW301" s="118"/>
      <c r="TVX301" s="118"/>
      <c r="TVY301" s="118"/>
      <c r="TVZ301" s="118"/>
      <c r="TWA301" s="118"/>
      <c r="TWB301" s="118"/>
      <c r="TWC301" s="118"/>
      <c r="TWD301" s="118"/>
      <c r="TWE301" s="118"/>
      <c r="TWF301" s="118"/>
      <c r="TWG301" s="118"/>
      <c r="TWH301" s="118"/>
      <c r="TWI301" s="118"/>
      <c r="TWJ301" s="118"/>
      <c r="TWK301" s="118"/>
      <c r="TWL301" s="118"/>
      <c r="TWM301" s="118"/>
      <c r="TWN301" s="118"/>
      <c r="TWO301" s="118"/>
      <c r="TWP301" s="118"/>
      <c r="TWQ301" s="118"/>
      <c r="TWR301" s="118"/>
      <c r="TWS301" s="118"/>
      <c r="TWT301" s="118"/>
      <c r="TWU301" s="118"/>
      <c r="TWV301" s="118"/>
      <c r="TWW301" s="118"/>
      <c r="TWX301" s="118"/>
      <c r="TWY301" s="118"/>
      <c r="TWZ301" s="118"/>
      <c r="TXA301" s="118"/>
      <c r="TXB301" s="118"/>
      <c r="TXC301" s="118"/>
      <c r="TXD301" s="118"/>
      <c r="TXE301" s="118"/>
      <c r="TXF301" s="118"/>
      <c r="TXG301" s="118"/>
      <c r="TXH301" s="118"/>
      <c r="TXI301" s="118"/>
      <c r="TXJ301" s="118"/>
      <c r="TXK301" s="118"/>
      <c r="TXL301" s="118"/>
      <c r="TXM301" s="118"/>
      <c r="TXN301" s="118"/>
      <c r="TXO301" s="118"/>
      <c r="TXP301" s="118"/>
      <c r="TXQ301" s="118"/>
      <c r="TXR301" s="118"/>
      <c r="TXS301" s="118"/>
      <c r="TXT301" s="118"/>
      <c r="TXU301" s="118"/>
      <c r="TXV301" s="118"/>
      <c r="TXW301" s="118"/>
      <c r="TXX301" s="118"/>
      <c r="TXY301" s="118"/>
      <c r="TXZ301" s="118"/>
      <c r="TYA301" s="118"/>
      <c r="TYB301" s="118"/>
      <c r="TYC301" s="118"/>
      <c r="TYD301" s="118"/>
      <c r="TYE301" s="118"/>
      <c r="TYF301" s="118"/>
      <c r="TYG301" s="118"/>
      <c r="TYH301" s="118"/>
      <c r="TYI301" s="118"/>
      <c r="TYJ301" s="118"/>
      <c r="TYK301" s="118"/>
      <c r="TYL301" s="118"/>
      <c r="TYM301" s="118"/>
      <c r="TYN301" s="118"/>
      <c r="TYO301" s="118"/>
      <c r="TYP301" s="118"/>
      <c r="TYQ301" s="118"/>
      <c r="TYR301" s="118"/>
      <c r="TYS301" s="118"/>
      <c r="TYT301" s="118"/>
      <c r="TYU301" s="118"/>
      <c r="TYV301" s="118"/>
      <c r="TYW301" s="118"/>
      <c r="TYX301" s="118"/>
      <c r="TYY301" s="118"/>
      <c r="TYZ301" s="118"/>
      <c r="TZA301" s="118"/>
      <c r="TZB301" s="118"/>
      <c r="TZC301" s="118"/>
      <c r="TZD301" s="118"/>
      <c r="TZE301" s="118"/>
      <c r="TZF301" s="118"/>
      <c r="TZG301" s="118"/>
      <c r="TZH301" s="118"/>
      <c r="TZI301" s="118"/>
      <c r="TZJ301" s="118"/>
      <c r="TZK301" s="118"/>
      <c r="TZL301" s="118"/>
      <c r="TZM301" s="118"/>
      <c r="TZN301" s="118"/>
      <c r="TZO301" s="118"/>
      <c r="TZP301" s="118"/>
      <c r="TZQ301" s="118"/>
      <c r="TZR301" s="118"/>
      <c r="TZS301" s="118"/>
      <c r="TZT301" s="118"/>
      <c r="TZU301" s="118"/>
      <c r="TZV301" s="118"/>
      <c r="TZW301" s="118"/>
      <c r="TZX301" s="118"/>
      <c r="TZY301" s="118"/>
      <c r="TZZ301" s="118"/>
      <c r="UAA301" s="118"/>
      <c r="UAB301" s="118"/>
      <c r="UAC301" s="118"/>
      <c r="UAD301" s="118"/>
      <c r="UAE301" s="118"/>
      <c r="UAF301" s="118"/>
      <c r="UAG301" s="118"/>
      <c r="UAH301" s="118"/>
      <c r="UAI301" s="118"/>
      <c r="UAJ301" s="118"/>
      <c r="UAK301" s="118"/>
      <c r="UAL301" s="118"/>
      <c r="UAM301" s="118"/>
      <c r="UAN301" s="118"/>
      <c r="UAO301" s="118"/>
      <c r="UAP301" s="118"/>
      <c r="UAQ301" s="118"/>
      <c r="UAR301" s="118"/>
      <c r="UAS301" s="118"/>
      <c r="UAT301" s="118"/>
      <c r="UAU301" s="118"/>
      <c r="UAV301" s="118"/>
      <c r="UAW301" s="118"/>
      <c r="UAX301" s="118"/>
      <c r="UAY301" s="118"/>
      <c r="UAZ301" s="118"/>
      <c r="UBA301" s="118"/>
      <c r="UBB301" s="118"/>
      <c r="UBC301" s="118"/>
      <c r="UBD301" s="118"/>
      <c r="UBE301" s="118"/>
      <c r="UBF301" s="118"/>
      <c r="UBG301" s="118"/>
      <c r="UBH301" s="118"/>
      <c r="UBI301" s="118"/>
      <c r="UBJ301" s="118"/>
      <c r="UBK301" s="118"/>
      <c r="UBL301" s="118"/>
      <c r="UBM301" s="118"/>
      <c r="UBN301" s="118"/>
      <c r="UBO301" s="118"/>
      <c r="UBP301" s="118"/>
      <c r="UBQ301" s="118"/>
      <c r="UBR301" s="118"/>
      <c r="UBS301" s="118"/>
      <c r="UBT301" s="118"/>
      <c r="UBU301" s="118"/>
      <c r="UBV301" s="118"/>
      <c r="UBW301" s="118"/>
      <c r="UBX301" s="118"/>
      <c r="UBY301" s="118"/>
      <c r="UBZ301" s="118"/>
      <c r="UCA301" s="118"/>
      <c r="UCB301" s="118"/>
      <c r="UCC301" s="118"/>
      <c r="UCD301" s="118"/>
      <c r="UCE301" s="118"/>
      <c r="UCF301" s="118"/>
      <c r="UCG301" s="118"/>
      <c r="UCH301" s="118"/>
      <c r="UCI301" s="118"/>
      <c r="UCJ301" s="118"/>
      <c r="UCK301" s="118"/>
      <c r="UCL301" s="118"/>
      <c r="UCM301" s="118"/>
      <c r="UCN301" s="118"/>
      <c r="UCO301" s="118"/>
      <c r="UCP301" s="118"/>
      <c r="UCQ301" s="118"/>
      <c r="UCR301" s="118"/>
      <c r="UCS301" s="118"/>
      <c r="UCT301" s="118"/>
      <c r="UCU301" s="118"/>
      <c r="UCV301" s="118"/>
      <c r="UCW301" s="118"/>
      <c r="UCX301" s="118"/>
      <c r="UCY301" s="118"/>
      <c r="UCZ301" s="118"/>
      <c r="UDA301" s="118"/>
      <c r="UDB301" s="118"/>
      <c r="UDC301" s="118"/>
      <c r="UDD301" s="118"/>
      <c r="UDE301" s="118"/>
      <c r="UDF301" s="118"/>
      <c r="UDG301" s="118"/>
      <c r="UDH301" s="118"/>
      <c r="UDI301" s="118"/>
      <c r="UDJ301" s="118"/>
      <c r="UDK301" s="118"/>
      <c r="UDL301" s="118"/>
      <c r="UDM301" s="118"/>
      <c r="UDN301" s="118"/>
      <c r="UDO301" s="118"/>
      <c r="UDP301" s="118"/>
      <c r="UDQ301" s="118"/>
      <c r="UDR301" s="118"/>
      <c r="UDS301" s="118"/>
      <c r="UDT301" s="118"/>
      <c r="UDU301" s="118"/>
      <c r="UDV301" s="118"/>
      <c r="UDW301" s="118"/>
      <c r="UDX301" s="118"/>
      <c r="UDY301" s="118"/>
      <c r="UDZ301" s="118"/>
      <c r="UEA301" s="118"/>
      <c r="UEB301" s="118"/>
      <c r="UEC301" s="118"/>
      <c r="UED301" s="118"/>
      <c r="UEE301" s="118"/>
      <c r="UEF301" s="118"/>
      <c r="UEG301" s="118"/>
      <c r="UEH301" s="118"/>
      <c r="UEI301" s="118"/>
      <c r="UEJ301" s="118"/>
      <c r="UEK301" s="118"/>
      <c r="UEL301" s="118"/>
      <c r="UEM301" s="118"/>
      <c r="UEN301" s="118"/>
      <c r="UEO301" s="118"/>
      <c r="UEP301" s="118"/>
      <c r="UEQ301" s="118"/>
      <c r="UER301" s="118"/>
      <c r="UES301" s="118"/>
      <c r="UET301" s="118"/>
      <c r="UEU301" s="118"/>
      <c r="UEV301" s="118"/>
      <c r="UEW301" s="118"/>
      <c r="UEX301" s="118"/>
      <c r="UEY301" s="118"/>
      <c r="UEZ301" s="118"/>
      <c r="UFA301" s="118"/>
      <c r="UFB301" s="118"/>
      <c r="UFC301" s="118"/>
      <c r="UFD301" s="118"/>
      <c r="UFE301" s="118"/>
      <c r="UFF301" s="118"/>
      <c r="UFG301" s="118"/>
      <c r="UFH301" s="118"/>
      <c r="UFI301" s="118"/>
      <c r="UFJ301" s="118"/>
      <c r="UFK301" s="118"/>
      <c r="UFL301" s="118"/>
      <c r="UFM301" s="118"/>
      <c r="UFN301" s="118"/>
      <c r="UFO301" s="118"/>
      <c r="UFP301" s="118"/>
      <c r="UFQ301" s="118"/>
      <c r="UFR301" s="118"/>
      <c r="UFS301" s="118"/>
      <c r="UFT301" s="118"/>
      <c r="UFU301" s="118"/>
      <c r="UFV301" s="118"/>
      <c r="UFW301" s="118"/>
      <c r="UFX301" s="118"/>
      <c r="UFY301" s="118"/>
      <c r="UFZ301" s="118"/>
      <c r="UGA301" s="118"/>
      <c r="UGB301" s="118"/>
      <c r="UGC301" s="118"/>
      <c r="UGD301" s="118"/>
      <c r="UGE301" s="118"/>
      <c r="UGF301" s="118"/>
      <c r="UGG301" s="118"/>
      <c r="UGH301" s="118"/>
      <c r="UGI301" s="118"/>
      <c r="UGJ301" s="118"/>
      <c r="UGK301" s="118"/>
      <c r="UGL301" s="118"/>
      <c r="UGM301" s="118"/>
      <c r="UGN301" s="118"/>
      <c r="UGO301" s="118"/>
      <c r="UGP301" s="118"/>
      <c r="UGQ301" s="118"/>
      <c r="UGR301" s="118"/>
      <c r="UGS301" s="118"/>
      <c r="UGT301" s="118"/>
      <c r="UGU301" s="118"/>
      <c r="UGV301" s="118"/>
      <c r="UGW301" s="118"/>
      <c r="UGX301" s="118"/>
      <c r="UGY301" s="118"/>
      <c r="UGZ301" s="118"/>
      <c r="UHA301" s="118"/>
      <c r="UHB301" s="118"/>
      <c r="UHC301" s="118"/>
      <c r="UHD301" s="118"/>
      <c r="UHE301" s="118"/>
      <c r="UHF301" s="118"/>
      <c r="UHG301" s="118"/>
      <c r="UHH301" s="118"/>
      <c r="UHI301" s="118"/>
      <c r="UHJ301" s="118"/>
      <c r="UHK301" s="118"/>
      <c r="UHL301" s="118"/>
      <c r="UHM301" s="118"/>
      <c r="UHN301" s="118"/>
      <c r="UHO301" s="118"/>
      <c r="UHP301" s="118"/>
      <c r="UHQ301" s="118"/>
      <c r="UHR301" s="118"/>
      <c r="UHS301" s="118"/>
      <c r="UHT301" s="118"/>
      <c r="UHU301" s="118"/>
      <c r="UHV301" s="118"/>
      <c r="UHW301" s="118"/>
      <c r="UHX301" s="118"/>
      <c r="UHY301" s="118"/>
      <c r="UHZ301" s="118"/>
      <c r="UIA301" s="118"/>
      <c r="UIB301" s="118"/>
      <c r="UIC301" s="118"/>
      <c r="UID301" s="118"/>
      <c r="UIE301" s="118"/>
      <c r="UIF301" s="118"/>
      <c r="UIG301" s="118"/>
      <c r="UIH301" s="118"/>
      <c r="UII301" s="118"/>
      <c r="UIJ301" s="118"/>
      <c r="UIK301" s="118"/>
      <c r="UIL301" s="118"/>
      <c r="UIM301" s="118"/>
      <c r="UIN301" s="118"/>
      <c r="UIO301" s="118"/>
      <c r="UIP301" s="118"/>
      <c r="UIQ301" s="118"/>
      <c r="UIR301" s="118"/>
      <c r="UIS301" s="118"/>
      <c r="UIT301" s="118"/>
      <c r="UIU301" s="118"/>
      <c r="UIV301" s="118"/>
      <c r="UIW301" s="118"/>
      <c r="UIX301" s="118"/>
      <c r="UIY301" s="118"/>
      <c r="UIZ301" s="118"/>
      <c r="UJA301" s="118"/>
      <c r="UJB301" s="118"/>
      <c r="UJC301" s="118"/>
      <c r="UJD301" s="118"/>
      <c r="UJE301" s="118"/>
      <c r="UJF301" s="118"/>
      <c r="UJG301" s="118"/>
      <c r="UJH301" s="118"/>
      <c r="UJI301" s="118"/>
      <c r="UJJ301" s="118"/>
      <c r="UJK301" s="118"/>
      <c r="UJL301" s="118"/>
      <c r="UJM301" s="118"/>
      <c r="UJN301" s="118"/>
      <c r="UJO301" s="118"/>
      <c r="UJP301" s="118"/>
      <c r="UJQ301" s="118"/>
      <c r="UJR301" s="118"/>
      <c r="UJS301" s="118"/>
      <c r="UJT301" s="118"/>
      <c r="UJU301" s="118"/>
      <c r="UJV301" s="118"/>
      <c r="UJW301" s="118"/>
      <c r="UJX301" s="118"/>
      <c r="UJY301" s="118"/>
      <c r="UJZ301" s="118"/>
      <c r="UKA301" s="118"/>
      <c r="UKB301" s="118"/>
      <c r="UKC301" s="118"/>
      <c r="UKD301" s="118"/>
      <c r="UKE301" s="118"/>
      <c r="UKF301" s="118"/>
      <c r="UKG301" s="118"/>
      <c r="UKH301" s="118"/>
      <c r="UKI301" s="118"/>
      <c r="UKJ301" s="118"/>
      <c r="UKK301" s="118"/>
      <c r="UKL301" s="118"/>
      <c r="UKM301" s="118"/>
      <c r="UKN301" s="118"/>
      <c r="UKO301" s="118"/>
      <c r="UKP301" s="118"/>
      <c r="UKQ301" s="118"/>
      <c r="UKR301" s="118"/>
      <c r="UKS301" s="118"/>
      <c r="UKT301" s="118"/>
      <c r="UKU301" s="118"/>
      <c r="UKV301" s="118"/>
      <c r="UKW301" s="118"/>
      <c r="UKX301" s="118"/>
      <c r="UKY301" s="118"/>
      <c r="UKZ301" s="118"/>
      <c r="ULA301" s="118"/>
      <c r="ULB301" s="118"/>
      <c r="ULC301" s="118"/>
      <c r="ULD301" s="118"/>
      <c r="ULE301" s="118"/>
      <c r="ULF301" s="118"/>
      <c r="ULG301" s="118"/>
      <c r="ULH301" s="118"/>
      <c r="ULI301" s="118"/>
      <c r="ULJ301" s="118"/>
      <c r="ULK301" s="118"/>
      <c r="ULL301" s="118"/>
      <c r="ULM301" s="118"/>
      <c r="ULN301" s="118"/>
      <c r="ULO301" s="118"/>
      <c r="ULP301" s="118"/>
      <c r="ULQ301" s="118"/>
      <c r="ULR301" s="118"/>
      <c r="ULS301" s="118"/>
      <c r="ULT301" s="118"/>
      <c r="ULU301" s="118"/>
      <c r="ULV301" s="118"/>
      <c r="ULW301" s="118"/>
      <c r="ULX301" s="118"/>
      <c r="ULY301" s="118"/>
      <c r="ULZ301" s="118"/>
      <c r="UMA301" s="118"/>
      <c r="UMB301" s="118"/>
      <c r="UMC301" s="118"/>
      <c r="UMD301" s="118"/>
      <c r="UME301" s="118"/>
      <c r="UMF301" s="118"/>
      <c r="UMG301" s="118"/>
      <c r="UMH301" s="118"/>
      <c r="UMI301" s="118"/>
      <c r="UMJ301" s="118"/>
      <c r="UMK301" s="118"/>
      <c r="UML301" s="118"/>
      <c r="UMM301" s="118"/>
      <c r="UMN301" s="118"/>
      <c r="UMO301" s="118"/>
      <c r="UMP301" s="118"/>
      <c r="UMQ301" s="118"/>
      <c r="UMR301" s="118"/>
      <c r="UMS301" s="118"/>
      <c r="UMT301" s="118"/>
      <c r="UMU301" s="118"/>
      <c r="UMV301" s="118"/>
      <c r="UMW301" s="118"/>
      <c r="UMX301" s="118"/>
      <c r="UMY301" s="118"/>
      <c r="UMZ301" s="118"/>
      <c r="UNA301" s="118"/>
      <c r="UNB301" s="118"/>
      <c r="UNC301" s="118"/>
      <c r="UND301" s="118"/>
      <c r="UNE301" s="118"/>
      <c r="UNF301" s="118"/>
      <c r="UNG301" s="118"/>
      <c r="UNH301" s="118"/>
      <c r="UNI301" s="118"/>
      <c r="UNJ301" s="118"/>
      <c r="UNK301" s="118"/>
      <c r="UNL301" s="118"/>
      <c r="UNM301" s="118"/>
      <c r="UNN301" s="118"/>
      <c r="UNO301" s="118"/>
      <c r="UNP301" s="118"/>
      <c r="UNQ301" s="118"/>
      <c r="UNR301" s="118"/>
      <c r="UNS301" s="118"/>
      <c r="UNT301" s="118"/>
      <c r="UNU301" s="118"/>
      <c r="UNV301" s="118"/>
      <c r="UNW301" s="118"/>
      <c r="UNX301" s="118"/>
      <c r="UNY301" s="118"/>
      <c r="UNZ301" s="118"/>
      <c r="UOA301" s="118"/>
      <c r="UOB301" s="118"/>
      <c r="UOC301" s="118"/>
      <c r="UOD301" s="118"/>
      <c r="UOE301" s="118"/>
      <c r="UOF301" s="118"/>
      <c r="UOG301" s="118"/>
      <c r="UOH301" s="118"/>
      <c r="UOI301" s="118"/>
      <c r="UOJ301" s="118"/>
      <c r="UOK301" s="118"/>
      <c r="UOL301" s="118"/>
      <c r="UOM301" s="118"/>
      <c r="UON301" s="118"/>
      <c r="UOO301" s="118"/>
      <c r="UOP301" s="118"/>
      <c r="UOQ301" s="118"/>
      <c r="UOR301" s="118"/>
      <c r="UOS301" s="118"/>
      <c r="UOT301" s="118"/>
      <c r="UOU301" s="118"/>
      <c r="UOV301" s="118"/>
      <c r="UOW301" s="118"/>
      <c r="UOX301" s="118"/>
      <c r="UOY301" s="118"/>
      <c r="UOZ301" s="118"/>
      <c r="UPA301" s="118"/>
      <c r="UPB301" s="118"/>
      <c r="UPC301" s="118"/>
      <c r="UPD301" s="118"/>
      <c r="UPE301" s="118"/>
      <c r="UPF301" s="118"/>
      <c r="UPG301" s="118"/>
      <c r="UPH301" s="118"/>
      <c r="UPI301" s="118"/>
      <c r="UPJ301" s="118"/>
      <c r="UPK301" s="118"/>
      <c r="UPL301" s="118"/>
      <c r="UPM301" s="118"/>
      <c r="UPN301" s="118"/>
      <c r="UPO301" s="118"/>
      <c r="UPP301" s="118"/>
      <c r="UPQ301" s="118"/>
      <c r="UPR301" s="118"/>
      <c r="UPS301" s="118"/>
      <c r="UPT301" s="118"/>
      <c r="UPU301" s="118"/>
      <c r="UPV301" s="118"/>
      <c r="UPW301" s="118"/>
      <c r="UPX301" s="118"/>
      <c r="UPY301" s="118"/>
      <c r="UPZ301" s="118"/>
      <c r="UQA301" s="118"/>
      <c r="UQB301" s="118"/>
      <c r="UQC301" s="118"/>
      <c r="UQD301" s="118"/>
      <c r="UQE301" s="118"/>
      <c r="UQF301" s="118"/>
      <c r="UQG301" s="118"/>
      <c r="UQH301" s="118"/>
      <c r="UQI301" s="118"/>
      <c r="UQJ301" s="118"/>
      <c r="UQK301" s="118"/>
      <c r="UQL301" s="118"/>
      <c r="UQM301" s="118"/>
      <c r="UQN301" s="118"/>
      <c r="UQO301" s="118"/>
      <c r="UQP301" s="118"/>
      <c r="UQQ301" s="118"/>
      <c r="UQR301" s="118"/>
      <c r="UQS301" s="118"/>
      <c r="UQT301" s="118"/>
      <c r="UQU301" s="118"/>
      <c r="UQV301" s="118"/>
      <c r="UQW301" s="118"/>
      <c r="UQX301" s="118"/>
      <c r="UQY301" s="118"/>
      <c r="UQZ301" s="118"/>
      <c r="URA301" s="118"/>
      <c r="URB301" s="118"/>
      <c r="URC301" s="118"/>
      <c r="URD301" s="118"/>
      <c r="URE301" s="118"/>
      <c r="URF301" s="118"/>
      <c r="URG301" s="118"/>
      <c r="URH301" s="118"/>
      <c r="URI301" s="118"/>
      <c r="URJ301" s="118"/>
      <c r="URK301" s="118"/>
      <c r="URL301" s="118"/>
      <c r="URM301" s="118"/>
      <c r="URN301" s="118"/>
      <c r="URO301" s="118"/>
      <c r="URP301" s="118"/>
      <c r="URQ301" s="118"/>
      <c r="URR301" s="118"/>
      <c r="URS301" s="118"/>
      <c r="URT301" s="118"/>
      <c r="URU301" s="118"/>
      <c r="URV301" s="118"/>
      <c r="URW301" s="118"/>
      <c r="URX301" s="118"/>
      <c r="URY301" s="118"/>
      <c r="URZ301" s="118"/>
      <c r="USA301" s="118"/>
      <c r="USB301" s="118"/>
      <c r="USC301" s="118"/>
      <c r="USD301" s="118"/>
      <c r="USE301" s="118"/>
      <c r="USF301" s="118"/>
      <c r="USG301" s="118"/>
      <c r="USH301" s="118"/>
      <c r="USI301" s="118"/>
      <c r="USJ301" s="118"/>
      <c r="USK301" s="118"/>
      <c r="USL301" s="118"/>
      <c r="USM301" s="118"/>
      <c r="USN301" s="118"/>
      <c r="USO301" s="118"/>
      <c r="USP301" s="118"/>
      <c r="USQ301" s="118"/>
      <c r="USR301" s="118"/>
      <c r="USS301" s="118"/>
      <c r="UST301" s="118"/>
      <c r="USU301" s="118"/>
      <c r="USV301" s="118"/>
      <c r="USW301" s="118"/>
      <c r="USX301" s="118"/>
      <c r="USY301" s="118"/>
      <c r="USZ301" s="118"/>
      <c r="UTA301" s="118"/>
      <c r="UTB301" s="118"/>
      <c r="UTC301" s="118"/>
      <c r="UTD301" s="118"/>
      <c r="UTE301" s="118"/>
      <c r="UTF301" s="118"/>
      <c r="UTG301" s="118"/>
      <c r="UTH301" s="118"/>
      <c r="UTI301" s="118"/>
      <c r="UTJ301" s="118"/>
      <c r="UTK301" s="118"/>
      <c r="UTL301" s="118"/>
      <c r="UTM301" s="118"/>
      <c r="UTN301" s="118"/>
      <c r="UTO301" s="118"/>
      <c r="UTP301" s="118"/>
      <c r="UTQ301" s="118"/>
      <c r="UTR301" s="118"/>
      <c r="UTS301" s="118"/>
      <c r="UTT301" s="118"/>
      <c r="UTU301" s="118"/>
      <c r="UTV301" s="118"/>
      <c r="UTW301" s="118"/>
      <c r="UTX301" s="118"/>
      <c r="UTY301" s="118"/>
      <c r="UTZ301" s="118"/>
      <c r="UUA301" s="118"/>
      <c r="UUB301" s="118"/>
      <c r="UUC301" s="118"/>
      <c r="UUD301" s="118"/>
      <c r="UUE301" s="118"/>
      <c r="UUF301" s="118"/>
      <c r="UUG301" s="118"/>
      <c r="UUH301" s="118"/>
      <c r="UUI301" s="118"/>
      <c r="UUJ301" s="118"/>
      <c r="UUK301" s="118"/>
      <c r="UUL301" s="118"/>
      <c r="UUM301" s="118"/>
      <c r="UUN301" s="118"/>
      <c r="UUO301" s="118"/>
      <c r="UUP301" s="118"/>
      <c r="UUQ301" s="118"/>
      <c r="UUR301" s="118"/>
      <c r="UUS301" s="118"/>
      <c r="UUT301" s="118"/>
      <c r="UUU301" s="118"/>
      <c r="UUV301" s="118"/>
      <c r="UUW301" s="118"/>
      <c r="UUX301" s="118"/>
      <c r="UUY301" s="118"/>
      <c r="UUZ301" s="118"/>
      <c r="UVA301" s="118"/>
      <c r="UVB301" s="118"/>
      <c r="UVC301" s="118"/>
      <c r="UVD301" s="118"/>
      <c r="UVE301" s="118"/>
      <c r="UVF301" s="118"/>
      <c r="UVG301" s="118"/>
      <c r="UVH301" s="118"/>
      <c r="UVI301" s="118"/>
      <c r="UVJ301" s="118"/>
      <c r="UVK301" s="118"/>
      <c r="UVL301" s="118"/>
      <c r="UVM301" s="118"/>
      <c r="UVN301" s="118"/>
      <c r="UVO301" s="118"/>
      <c r="UVP301" s="118"/>
      <c r="UVQ301" s="118"/>
      <c r="UVR301" s="118"/>
      <c r="UVS301" s="118"/>
      <c r="UVT301" s="118"/>
      <c r="UVU301" s="118"/>
      <c r="UVV301" s="118"/>
      <c r="UVW301" s="118"/>
      <c r="UVX301" s="118"/>
      <c r="UVY301" s="118"/>
      <c r="UVZ301" s="118"/>
      <c r="UWA301" s="118"/>
      <c r="UWB301" s="118"/>
      <c r="UWC301" s="118"/>
      <c r="UWD301" s="118"/>
      <c r="UWE301" s="118"/>
      <c r="UWF301" s="118"/>
      <c r="UWG301" s="118"/>
      <c r="UWH301" s="118"/>
      <c r="UWI301" s="118"/>
      <c r="UWJ301" s="118"/>
      <c r="UWK301" s="118"/>
      <c r="UWL301" s="118"/>
      <c r="UWM301" s="118"/>
      <c r="UWN301" s="118"/>
      <c r="UWO301" s="118"/>
      <c r="UWP301" s="118"/>
      <c r="UWQ301" s="118"/>
      <c r="UWR301" s="118"/>
      <c r="UWS301" s="118"/>
      <c r="UWT301" s="118"/>
      <c r="UWU301" s="118"/>
      <c r="UWV301" s="118"/>
      <c r="UWW301" s="118"/>
      <c r="UWX301" s="118"/>
      <c r="UWY301" s="118"/>
      <c r="UWZ301" s="118"/>
      <c r="UXA301" s="118"/>
      <c r="UXB301" s="118"/>
      <c r="UXC301" s="118"/>
      <c r="UXD301" s="118"/>
      <c r="UXE301" s="118"/>
      <c r="UXF301" s="118"/>
      <c r="UXG301" s="118"/>
      <c r="UXH301" s="118"/>
      <c r="UXI301" s="118"/>
      <c r="UXJ301" s="118"/>
      <c r="UXK301" s="118"/>
      <c r="UXL301" s="118"/>
      <c r="UXM301" s="118"/>
      <c r="UXN301" s="118"/>
      <c r="UXO301" s="118"/>
      <c r="UXP301" s="118"/>
      <c r="UXQ301" s="118"/>
      <c r="UXR301" s="118"/>
      <c r="UXS301" s="118"/>
      <c r="UXT301" s="118"/>
      <c r="UXU301" s="118"/>
      <c r="UXV301" s="118"/>
      <c r="UXW301" s="118"/>
      <c r="UXX301" s="118"/>
      <c r="UXY301" s="118"/>
      <c r="UXZ301" s="118"/>
      <c r="UYA301" s="118"/>
      <c r="UYB301" s="118"/>
      <c r="UYC301" s="118"/>
      <c r="UYD301" s="118"/>
      <c r="UYE301" s="118"/>
      <c r="UYF301" s="118"/>
      <c r="UYG301" s="118"/>
      <c r="UYH301" s="118"/>
      <c r="UYI301" s="118"/>
      <c r="UYJ301" s="118"/>
      <c r="UYK301" s="118"/>
      <c r="UYL301" s="118"/>
      <c r="UYM301" s="118"/>
      <c r="UYN301" s="118"/>
      <c r="UYO301" s="118"/>
      <c r="UYP301" s="118"/>
      <c r="UYQ301" s="118"/>
      <c r="UYR301" s="118"/>
      <c r="UYS301" s="118"/>
      <c r="UYT301" s="118"/>
      <c r="UYU301" s="118"/>
      <c r="UYV301" s="118"/>
      <c r="UYW301" s="118"/>
      <c r="UYX301" s="118"/>
      <c r="UYY301" s="118"/>
      <c r="UYZ301" s="118"/>
      <c r="UZA301" s="118"/>
      <c r="UZB301" s="118"/>
      <c r="UZC301" s="118"/>
      <c r="UZD301" s="118"/>
      <c r="UZE301" s="118"/>
      <c r="UZF301" s="118"/>
      <c r="UZG301" s="118"/>
      <c r="UZH301" s="118"/>
      <c r="UZI301" s="118"/>
      <c r="UZJ301" s="118"/>
      <c r="UZK301" s="118"/>
      <c r="UZL301" s="118"/>
      <c r="UZM301" s="118"/>
      <c r="UZN301" s="118"/>
      <c r="UZO301" s="118"/>
      <c r="UZP301" s="118"/>
      <c r="UZQ301" s="118"/>
      <c r="UZR301" s="118"/>
      <c r="UZS301" s="118"/>
      <c r="UZT301" s="118"/>
      <c r="UZU301" s="118"/>
      <c r="UZV301" s="118"/>
      <c r="UZW301" s="118"/>
      <c r="UZX301" s="118"/>
      <c r="UZY301" s="118"/>
      <c r="UZZ301" s="118"/>
      <c r="VAA301" s="118"/>
      <c r="VAB301" s="118"/>
      <c r="VAC301" s="118"/>
      <c r="VAD301" s="118"/>
      <c r="VAE301" s="118"/>
      <c r="VAF301" s="118"/>
      <c r="VAG301" s="118"/>
      <c r="VAH301" s="118"/>
      <c r="VAI301" s="118"/>
      <c r="VAJ301" s="118"/>
      <c r="VAK301" s="118"/>
      <c r="VAL301" s="118"/>
      <c r="VAM301" s="118"/>
      <c r="VAN301" s="118"/>
      <c r="VAO301" s="118"/>
      <c r="VAP301" s="118"/>
      <c r="VAQ301" s="118"/>
      <c r="VAR301" s="118"/>
      <c r="VAS301" s="118"/>
      <c r="VAT301" s="118"/>
      <c r="VAU301" s="118"/>
      <c r="VAV301" s="118"/>
      <c r="VAW301" s="118"/>
      <c r="VAX301" s="118"/>
      <c r="VAY301" s="118"/>
      <c r="VAZ301" s="118"/>
      <c r="VBA301" s="118"/>
      <c r="VBB301" s="118"/>
      <c r="VBC301" s="118"/>
      <c r="VBD301" s="118"/>
      <c r="VBE301" s="118"/>
      <c r="VBF301" s="118"/>
      <c r="VBG301" s="118"/>
      <c r="VBH301" s="118"/>
      <c r="VBI301" s="118"/>
      <c r="VBJ301" s="118"/>
      <c r="VBK301" s="118"/>
      <c r="VBL301" s="118"/>
      <c r="VBM301" s="118"/>
      <c r="VBN301" s="118"/>
      <c r="VBO301" s="118"/>
      <c r="VBP301" s="118"/>
      <c r="VBQ301" s="118"/>
      <c r="VBR301" s="118"/>
      <c r="VBS301" s="118"/>
      <c r="VBT301" s="118"/>
      <c r="VBU301" s="118"/>
      <c r="VBV301" s="118"/>
      <c r="VBW301" s="118"/>
      <c r="VBX301" s="118"/>
      <c r="VBY301" s="118"/>
      <c r="VBZ301" s="118"/>
      <c r="VCA301" s="118"/>
      <c r="VCB301" s="118"/>
      <c r="VCC301" s="118"/>
      <c r="VCD301" s="118"/>
      <c r="VCE301" s="118"/>
      <c r="VCF301" s="118"/>
      <c r="VCG301" s="118"/>
      <c r="VCH301" s="118"/>
      <c r="VCI301" s="118"/>
      <c r="VCJ301" s="118"/>
      <c r="VCK301" s="118"/>
      <c r="VCL301" s="118"/>
      <c r="VCM301" s="118"/>
      <c r="VCN301" s="118"/>
      <c r="VCO301" s="118"/>
      <c r="VCP301" s="118"/>
      <c r="VCQ301" s="118"/>
      <c r="VCR301" s="118"/>
      <c r="VCS301" s="118"/>
      <c r="VCT301" s="118"/>
      <c r="VCU301" s="118"/>
      <c r="VCV301" s="118"/>
      <c r="VCW301" s="118"/>
      <c r="VCX301" s="118"/>
      <c r="VCY301" s="118"/>
      <c r="VCZ301" s="118"/>
      <c r="VDA301" s="118"/>
      <c r="VDB301" s="118"/>
      <c r="VDC301" s="118"/>
      <c r="VDD301" s="118"/>
      <c r="VDE301" s="118"/>
      <c r="VDF301" s="118"/>
      <c r="VDG301" s="118"/>
      <c r="VDH301" s="118"/>
      <c r="VDI301" s="118"/>
      <c r="VDJ301" s="118"/>
      <c r="VDK301" s="118"/>
      <c r="VDL301" s="118"/>
      <c r="VDM301" s="118"/>
      <c r="VDN301" s="118"/>
      <c r="VDO301" s="118"/>
      <c r="VDP301" s="118"/>
      <c r="VDQ301" s="118"/>
      <c r="VDR301" s="118"/>
      <c r="VDS301" s="118"/>
      <c r="VDT301" s="118"/>
      <c r="VDU301" s="118"/>
      <c r="VDV301" s="118"/>
      <c r="VDW301" s="118"/>
      <c r="VDX301" s="118"/>
      <c r="VDY301" s="118"/>
      <c r="VDZ301" s="118"/>
      <c r="VEA301" s="118"/>
      <c r="VEB301" s="118"/>
      <c r="VEC301" s="118"/>
      <c r="VED301" s="118"/>
      <c r="VEE301" s="118"/>
      <c r="VEF301" s="118"/>
      <c r="VEG301" s="118"/>
      <c r="VEH301" s="118"/>
      <c r="VEI301" s="118"/>
      <c r="VEJ301" s="118"/>
      <c r="VEK301" s="118"/>
      <c r="VEL301" s="118"/>
      <c r="VEM301" s="118"/>
      <c r="VEN301" s="118"/>
      <c r="VEO301" s="118"/>
      <c r="VEP301" s="118"/>
      <c r="VEQ301" s="118"/>
      <c r="VER301" s="118"/>
      <c r="VES301" s="118"/>
      <c r="VET301" s="118"/>
      <c r="VEU301" s="118"/>
      <c r="VEV301" s="118"/>
      <c r="VEW301" s="118"/>
      <c r="VEX301" s="118"/>
      <c r="VEY301" s="118"/>
      <c r="VEZ301" s="118"/>
      <c r="VFA301" s="118"/>
      <c r="VFB301" s="118"/>
      <c r="VFC301" s="118"/>
      <c r="VFD301" s="118"/>
      <c r="VFE301" s="118"/>
      <c r="VFF301" s="118"/>
      <c r="VFG301" s="118"/>
      <c r="VFH301" s="118"/>
      <c r="VFI301" s="118"/>
      <c r="VFJ301" s="118"/>
      <c r="VFK301" s="118"/>
      <c r="VFL301" s="118"/>
      <c r="VFM301" s="118"/>
      <c r="VFN301" s="118"/>
      <c r="VFO301" s="118"/>
      <c r="VFP301" s="118"/>
      <c r="VFQ301" s="118"/>
      <c r="VFR301" s="118"/>
      <c r="VFS301" s="118"/>
      <c r="VFT301" s="118"/>
      <c r="VFU301" s="118"/>
      <c r="VFV301" s="118"/>
      <c r="VFW301" s="118"/>
      <c r="VFX301" s="118"/>
      <c r="VFY301" s="118"/>
      <c r="VFZ301" s="118"/>
      <c r="VGA301" s="118"/>
      <c r="VGB301" s="118"/>
      <c r="VGC301" s="118"/>
      <c r="VGD301" s="118"/>
      <c r="VGE301" s="118"/>
      <c r="VGF301" s="118"/>
      <c r="VGG301" s="118"/>
      <c r="VGH301" s="118"/>
      <c r="VGI301" s="118"/>
      <c r="VGJ301" s="118"/>
      <c r="VGK301" s="118"/>
      <c r="VGL301" s="118"/>
      <c r="VGM301" s="118"/>
      <c r="VGN301" s="118"/>
      <c r="VGO301" s="118"/>
      <c r="VGP301" s="118"/>
      <c r="VGQ301" s="118"/>
      <c r="VGR301" s="118"/>
      <c r="VGS301" s="118"/>
      <c r="VGT301" s="118"/>
      <c r="VGU301" s="118"/>
      <c r="VGV301" s="118"/>
      <c r="VGW301" s="118"/>
      <c r="VGX301" s="118"/>
      <c r="VGY301" s="118"/>
      <c r="VGZ301" s="118"/>
      <c r="VHA301" s="118"/>
      <c r="VHB301" s="118"/>
      <c r="VHC301" s="118"/>
      <c r="VHD301" s="118"/>
      <c r="VHE301" s="118"/>
      <c r="VHF301" s="118"/>
      <c r="VHG301" s="118"/>
      <c r="VHH301" s="118"/>
      <c r="VHI301" s="118"/>
      <c r="VHJ301" s="118"/>
      <c r="VHK301" s="118"/>
      <c r="VHL301" s="118"/>
      <c r="VHM301" s="118"/>
      <c r="VHN301" s="118"/>
      <c r="VHO301" s="118"/>
      <c r="VHP301" s="118"/>
      <c r="VHQ301" s="118"/>
      <c r="VHR301" s="118"/>
      <c r="VHS301" s="118"/>
      <c r="VHT301" s="118"/>
      <c r="VHU301" s="118"/>
      <c r="VHV301" s="118"/>
      <c r="VHW301" s="118"/>
      <c r="VHX301" s="118"/>
      <c r="VHY301" s="118"/>
      <c r="VHZ301" s="118"/>
      <c r="VIA301" s="118"/>
      <c r="VIB301" s="118"/>
      <c r="VIC301" s="118"/>
      <c r="VID301" s="118"/>
      <c r="VIE301" s="118"/>
      <c r="VIF301" s="118"/>
      <c r="VIG301" s="118"/>
      <c r="VIH301" s="118"/>
      <c r="VII301" s="118"/>
      <c r="VIJ301" s="118"/>
      <c r="VIK301" s="118"/>
      <c r="VIL301" s="118"/>
      <c r="VIM301" s="118"/>
      <c r="VIN301" s="118"/>
      <c r="VIO301" s="118"/>
      <c r="VIP301" s="118"/>
      <c r="VIQ301" s="118"/>
      <c r="VIR301" s="118"/>
      <c r="VIS301" s="118"/>
      <c r="VIT301" s="118"/>
      <c r="VIU301" s="118"/>
      <c r="VIV301" s="118"/>
      <c r="VIW301" s="118"/>
      <c r="VIX301" s="118"/>
      <c r="VIY301" s="118"/>
      <c r="VIZ301" s="118"/>
      <c r="VJA301" s="118"/>
      <c r="VJB301" s="118"/>
      <c r="VJC301" s="118"/>
      <c r="VJD301" s="118"/>
      <c r="VJE301" s="118"/>
      <c r="VJF301" s="118"/>
      <c r="VJG301" s="118"/>
      <c r="VJH301" s="118"/>
      <c r="VJI301" s="118"/>
      <c r="VJJ301" s="118"/>
      <c r="VJK301" s="118"/>
      <c r="VJL301" s="118"/>
      <c r="VJM301" s="118"/>
      <c r="VJN301" s="118"/>
      <c r="VJO301" s="118"/>
      <c r="VJP301" s="118"/>
      <c r="VJQ301" s="118"/>
      <c r="VJR301" s="118"/>
      <c r="VJS301" s="118"/>
      <c r="VJT301" s="118"/>
      <c r="VJU301" s="118"/>
      <c r="VJV301" s="118"/>
      <c r="VJW301" s="118"/>
      <c r="VJX301" s="118"/>
      <c r="VJY301" s="118"/>
      <c r="VJZ301" s="118"/>
      <c r="VKA301" s="118"/>
      <c r="VKB301" s="118"/>
      <c r="VKC301" s="118"/>
      <c r="VKD301" s="118"/>
      <c r="VKE301" s="118"/>
      <c r="VKF301" s="118"/>
      <c r="VKG301" s="118"/>
      <c r="VKH301" s="118"/>
      <c r="VKI301" s="118"/>
      <c r="VKJ301" s="118"/>
      <c r="VKK301" s="118"/>
      <c r="VKL301" s="118"/>
      <c r="VKM301" s="118"/>
      <c r="VKN301" s="118"/>
      <c r="VKO301" s="118"/>
      <c r="VKP301" s="118"/>
      <c r="VKQ301" s="118"/>
      <c r="VKR301" s="118"/>
      <c r="VKS301" s="118"/>
      <c r="VKT301" s="118"/>
      <c r="VKU301" s="118"/>
      <c r="VKV301" s="118"/>
      <c r="VKW301" s="118"/>
      <c r="VKX301" s="118"/>
      <c r="VKY301" s="118"/>
      <c r="VKZ301" s="118"/>
      <c r="VLA301" s="118"/>
      <c r="VLB301" s="118"/>
      <c r="VLC301" s="118"/>
      <c r="VLD301" s="118"/>
      <c r="VLE301" s="118"/>
      <c r="VLF301" s="118"/>
      <c r="VLG301" s="118"/>
      <c r="VLH301" s="118"/>
      <c r="VLI301" s="118"/>
      <c r="VLJ301" s="118"/>
      <c r="VLK301" s="118"/>
      <c r="VLL301" s="118"/>
      <c r="VLM301" s="118"/>
      <c r="VLN301" s="118"/>
      <c r="VLO301" s="118"/>
      <c r="VLP301" s="118"/>
      <c r="VLQ301" s="118"/>
      <c r="VLR301" s="118"/>
      <c r="VLS301" s="118"/>
      <c r="VLT301" s="118"/>
      <c r="VLU301" s="118"/>
      <c r="VLV301" s="118"/>
      <c r="VLW301" s="118"/>
      <c r="VLX301" s="118"/>
      <c r="VLY301" s="118"/>
      <c r="VLZ301" s="118"/>
      <c r="VMA301" s="118"/>
      <c r="VMB301" s="118"/>
      <c r="VMC301" s="118"/>
      <c r="VMD301" s="118"/>
      <c r="VME301" s="118"/>
      <c r="VMF301" s="118"/>
      <c r="VMG301" s="118"/>
      <c r="VMH301" s="118"/>
      <c r="VMI301" s="118"/>
      <c r="VMJ301" s="118"/>
      <c r="VMK301" s="118"/>
      <c r="VML301" s="118"/>
      <c r="VMM301" s="118"/>
      <c r="VMN301" s="118"/>
      <c r="VMO301" s="118"/>
      <c r="VMP301" s="118"/>
      <c r="VMQ301" s="118"/>
      <c r="VMR301" s="118"/>
      <c r="VMS301" s="118"/>
      <c r="VMT301" s="118"/>
      <c r="VMU301" s="118"/>
      <c r="VMV301" s="118"/>
      <c r="VMW301" s="118"/>
      <c r="VMX301" s="118"/>
      <c r="VMY301" s="118"/>
      <c r="VMZ301" s="118"/>
      <c r="VNA301" s="118"/>
      <c r="VNB301" s="118"/>
      <c r="VNC301" s="118"/>
      <c r="VND301" s="118"/>
      <c r="VNE301" s="118"/>
      <c r="VNF301" s="118"/>
      <c r="VNG301" s="118"/>
      <c r="VNH301" s="118"/>
      <c r="VNI301" s="118"/>
      <c r="VNJ301" s="118"/>
      <c r="VNK301" s="118"/>
      <c r="VNL301" s="118"/>
      <c r="VNM301" s="118"/>
      <c r="VNN301" s="118"/>
      <c r="VNO301" s="118"/>
      <c r="VNP301" s="118"/>
      <c r="VNQ301" s="118"/>
      <c r="VNR301" s="118"/>
      <c r="VNS301" s="118"/>
      <c r="VNT301" s="118"/>
      <c r="VNU301" s="118"/>
      <c r="VNV301" s="118"/>
      <c r="VNW301" s="118"/>
      <c r="VNX301" s="118"/>
      <c r="VNY301" s="118"/>
      <c r="VNZ301" s="118"/>
      <c r="VOA301" s="118"/>
      <c r="VOB301" s="118"/>
      <c r="VOC301" s="118"/>
      <c r="VOD301" s="118"/>
      <c r="VOE301" s="118"/>
      <c r="VOF301" s="118"/>
      <c r="VOG301" s="118"/>
      <c r="VOH301" s="118"/>
      <c r="VOI301" s="118"/>
      <c r="VOJ301" s="118"/>
      <c r="VOK301" s="118"/>
      <c r="VOL301" s="118"/>
      <c r="VOM301" s="118"/>
      <c r="VON301" s="118"/>
      <c r="VOO301" s="118"/>
      <c r="VOP301" s="118"/>
      <c r="VOQ301" s="118"/>
      <c r="VOR301" s="118"/>
      <c r="VOS301" s="118"/>
      <c r="VOT301" s="118"/>
      <c r="VOU301" s="118"/>
      <c r="VOV301" s="118"/>
      <c r="VOW301" s="118"/>
      <c r="VOX301" s="118"/>
      <c r="VOY301" s="118"/>
      <c r="VOZ301" s="118"/>
      <c r="VPA301" s="118"/>
      <c r="VPB301" s="118"/>
      <c r="VPC301" s="118"/>
      <c r="VPD301" s="118"/>
      <c r="VPE301" s="118"/>
      <c r="VPF301" s="118"/>
      <c r="VPG301" s="118"/>
      <c r="VPH301" s="118"/>
      <c r="VPI301" s="118"/>
      <c r="VPJ301" s="118"/>
      <c r="VPK301" s="118"/>
      <c r="VPL301" s="118"/>
      <c r="VPM301" s="118"/>
      <c r="VPN301" s="118"/>
      <c r="VPO301" s="118"/>
      <c r="VPP301" s="118"/>
      <c r="VPQ301" s="118"/>
      <c r="VPR301" s="118"/>
      <c r="VPS301" s="118"/>
      <c r="VPT301" s="118"/>
      <c r="VPU301" s="118"/>
      <c r="VPV301" s="118"/>
      <c r="VPW301" s="118"/>
      <c r="VPX301" s="118"/>
      <c r="VPY301" s="118"/>
      <c r="VPZ301" s="118"/>
      <c r="VQA301" s="118"/>
      <c r="VQB301" s="118"/>
      <c r="VQC301" s="118"/>
      <c r="VQD301" s="118"/>
      <c r="VQE301" s="118"/>
      <c r="VQF301" s="118"/>
      <c r="VQG301" s="118"/>
      <c r="VQH301" s="118"/>
      <c r="VQI301" s="118"/>
      <c r="VQJ301" s="118"/>
      <c r="VQK301" s="118"/>
      <c r="VQL301" s="118"/>
      <c r="VQM301" s="118"/>
      <c r="VQN301" s="118"/>
      <c r="VQO301" s="118"/>
      <c r="VQP301" s="118"/>
      <c r="VQQ301" s="118"/>
      <c r="VQR301" s="118"/>
      <c r="VQS301" s="118"/>
      <c r="VQT301" s="118"/>
      <c r="VQU301" s="118"/>
      <c r="VQV301" s="118"/>
      <c r="VQW301" s="118"/>
      <c r="VQX301" s="118"/>
      <c r="VQY301" s="118"/>
      <c r="VQZ301" s="118"/>
      <c r="VRA301" s="118"/>
      <c r="VRB301" s="118"/>
      <c r="VRC301" s="118"/>
      <c r="VRD301" s="118"/>
      <c r="VRE301" s="118"/>
      <c r="VRF301" s="118"/>
      <c r="VRG301" s="118"/>
      <c r="VRH301" s="118"/>
      <c r="VRI301" s="118"/>
      <c r="VRJ301" s="118"/>
      <c r="VRK301" s="118"/>
      <c r="VRL301" s="118"/>
      <c r="VRM301" s="118"/>
      <c r="VRN301" s="118"/>
      <c r="VRO301" s="118"/>
      <c r="VRP301" s="118"/>
      <c r="VRQ301" s="118"/>
      <c r="VRR301" s="118"/>
      <c r="VRS301" s="118"/>
      <c r="VRT301" s="118"/>
      <c r="VRU301" s="118"/>
      <c r="VRV301" s="118"/>
      <c r="VRW301" s="118"/>
      <c r="VRX301" s="118"/>
      <c r="VRY301" s="118"/>
      <c r="VRZ301" s="118"/>
      <c r="VSA301" s="118"/>
      <c r="VSB301" s="118"/>
      <c r="VSC301" s="118"/>
      <c r="VSD301" s="118"/>
      <c r="VSE301" s="118"/>
      <c r="VSF301" s="118"/>
      <c r="VSG301" s="118"/>
      <c r="VSH301" s="118"/>
      <c r="VSI301" s="118"/>
      <c r="VSJ301" s="118"/>
      <c r="VSK301" s="118"/>
      <c r="VSL301" s="118"/>
      <c r="VSM301" s="118"/>
      <c r="VSN301" s="118"/>
      <c r="VSO301" s="118"/>
      <c r="VSP301" s="118"/>
      <c r="VSQ301" s="118"/>
      <c r="VSR301" s="118"/>
      <c r="VSS301" s="118"/>
      <c r="VST301" s="118"/>
      <c r="VSU301" s="118"/>
      <c r="VSV301" s="118"/>
      <c r="VSW301" s="118"/>
      <c r="VSX301" s="118"/>
      <c r="VSY301" s="118"/>
      <c r="VSZ301" s="118"/>
      <c r="VTA301" s="118"/>
      <c r="VTB301" s="118"/>
      <c r="VTC301" s="118"/>
      <c r="VTD301" s="118"/>
      <c r="VTE301" s="118"/>
      <c r="VTF301" s="118"/>
      <c r="VTG301" s="118"/>
      <c r="VTH301" s="118"/>
      <c r="VTI301" s="118"/>
      <c r="VTJ301" s="118"/>
      <c r="VTK301" s="118"/>
      <c r="VTL301" s="118"/>
      <c r="VTM301" s="118"/>
      <c r="VTN301" s="118"/>
      <c r="VTO301" s="118"/>
      <c r="VTP301" s="118"/>
      <c r="VTQ301" s="118"/>
      <c r="VTR301" s="118"/>
      <c r="VTS301" s="118"/>
      <c r="VTT301" s="118"/>
      <c r="VTU301" s="118"/>
      <c r="VTV301" s="118"/>
      <c r="VTW301" s="118"/>
      <c r="VTX301" s="118"/>
      <c r="VTY301" s="118"/>
      <c r="VTZ301" s="118"/>
      <c r="VUA301" s="118"/>
      <c r="VUB301" s="118"/>
      <c r="VUC301" s="118"/>
      <c r="VUD301" s="118"/>
      <c r="VUE301" s="118"/>
      <c r="VUF301" s="118"/>
      <c r="VUG301" s="118"/>
      <c r="VUH301" s="118"/>
      <c r="VUI301" s="118"/>
      <c r="VUJ301" s="118"/>
      <c r="VUK301" s="118"/>
      <c r="VUL301" s="118"/>
      <c r="VUM301" s="118"/>
      <c r="VUN301" s="118"/>
      <c r="VUO301" s="118"/>
      <c r="VUP301" s="118"/>
      <c r="VUQ301" s="118"/>
      <c r="VUR301" s="118"/>
      <c r="VUS301" s="118"/>
      <c r="VUT301" s="118"/>
      <c r="VUU301" s="118"/>
      <c r="VUV301" s="118"/>
      <c r="VUW301" s="118"/>
      <c r="VUX301" s="118"/>
      <c r="VUY301" s="118"/>
      <c r="VUZ301" s="118"/>
      <c r="VVA301" s="118"/>
      <c r="VVB301" s="118"/>
      <c r="VVC301" s="118"/>
      <c r="VVD301" s="118"/>
      <c r="VVE301" s="118"/>
      <c r="VVF301" s="118"/>
      <c r="VVG301" s="118"/>
      <c r="VVH301" s="118"/>
      <c r="VVI301" s="118"/>
      <c r="VVJ301" s="118"/>
      <c r="VVK301" s="118"/>
      <c r="VVL301" s="118"/>
      <c r="VVM301" s="118"/>
      <c r="VVN301" s="118"/>
      <c r="VVO301" s="118"/>
      <c r="VVP301" s="118"/>
      <c r="VVQ301" s="118"/>
      <c r="VVR301" s="118"/>
      <c r="VVS301" s="118"/>
      <c r="VVT301" s="118"/>
      <c r="VVU301" s="118"/>
      <c r="VVV301" s="118"/>
      <c r="VVW301" s="118"/>
      <c r="VVX301" s="118"/>
      <c r="VVY301" s="118"/>
      <c r="VVZ301" s="118"/>
      <c r="VWA301" s="118"/>
      <c r="VWB301" s="118"/>
      <c r="VWC301" s="118"/>
      <c r="VWD301" s="118"/>
      <c r="VWE301" s="118"/>
      <c r="VWF301" s="118"/>
      <c r="VWG301" s="118"/>
      <c r="VWH301" s="118"/>
      <c r="VWI301" s="118"/>
      <c r="VWJ301" s="118"/>
      <c r="VWK301" s="118"/>
      <c r="VWL301" s="118"/>
      <c r="VWM301" s="118"/>
      <c r="VWN301" s="118"/>
      <c r="VWO301" s="118"/>
      <c r="VWP301" s="118"/>
      <c r="VWQ301" s="118"/>
      <c r="VWR301" s="118"/>
      <c r="VWS301" s="118"/>
      <c r="VWT301" s="118"/>
      <c r="VWU301" s="118"/>
      <c r="VWV301" s="118"/>
      <c r="VWW301" s="118"/>
      <c r="VWX301" s="118"/>
      <c r="VWY301" s="118"/>
      <c r="VWZ301" s="118"/>
      <c r="VXA301" s="118"/>
      <c r="VXB301" s="118"/>
      <c r="VXC301" s="118"/>
      <c r="VXD301" s="118"/>
      <c r="VXE301" s="118"/>
      <c r="VXF301" s="118"/>
      <c r="VXG301" s="118"/>
      <c r="VXH301" s="118"/>
      <c r="VXI301" s="118"/>
      <c r="VXJ301" s="118"/>
      <c r="VXK301" s="118"/>
      <c r="VXL301" s="118"/>
      <c r="VXM301" s="118"/>
      <c r="VXN301" s="118"/>
      <c r="VXO301" s="118"/>
      <c r="VXP301" s="118"/>
      <c r="VXQ301" s="118"/>
      <c r="VXR301" s="118"/>
      <c r="VXS301" s="118"/>
      <c r="VXT301" s="118"/>
      <c r="VXU301" s="118"/>
      <c r="VXV301" s="118"/>
      <c r="VXW301" s="118"/>
      <c r="VXX301" s="118"/>
      <c r="VXY301" s="118"/>
      <c r="VXZ301" s="118"/>
      <c r="VYA301" s="118"/>
      <c r="VYB301" s="118"/>
      <c r="VYC301" s="118"/>
      <c r="VYD301" s="118"/>
      <c r="VYE301" s="118"/>
      <c r="VYF301" s="118"/>
      <c r="VYG301" s="118"/>
      <c r="VYH301" s="118"/>
      <c r="VYI301" s="118"/>
      <c r="VYJ301" s="118"/>
      <c r="VYK301" s="118"/>
      <c r="VYL301" s="118"/>
      <c r="VYM301" s="118"/>
      <c r="VYN301" s="118"/>
      <c r="VYO301" s="118"/>
      <c r="VYP301" s="118"/>
      <c r="VYQ301" s="118"/>
      <c r="VYR301" s="118"/>
      <c r="VYS301" s="118"/>
      <c r="VYT301" s="118"/>
      <c r="VYU301" s="118"/>
      <c r="VYV301" s="118"/>
      <c r="VYW301" s="118"/>
      <c r="VYX301" s="118"/>
      <c r="VYY301" s="118"/>
      <c r="VYZ301" s="118"/>
      <c r="VZA301" s="118"/>
      <c r="VZB301" s="118"/>
      <c r="VZC301" s="118"/>
      <c r="VZD301" s="118"/>
      <c r="VZE301" s="118"/>
      <c r="VZF301" s="118"/>
      <c r="VZG301" s="118"/>
      <c r="VZH301" s="118"/>
      <c r="VZI301" s="118"/>
      <c r="VZJ301" s="118"/>
      <c r="VZK301" s="118"/>
      <c r="VZL301" s="118"/>
      <c r="VZM301" s="118"/>
      <c r="VZN301" s="118"/>
      <c r="VZO301" s="118"/>
      <c r="VZP301" s="118"/>
      <c r="VZQ301" s="118"/>
      <c r="VZR301" s="118"/>
      <c r="VZS301" s="118"/>
      <c r="VZT301" s="118"/>
      <c r="VZU301" s="118"/>
      <c r="VZV301" s="118"/>
      <c r="VZW301" s="118"/>
      <c r="VZX301" s="118"/>
      <c r="VZY301" s="118"/>
      <c r="VZZ301" s="118"/>
      <c r="WAA301" s="118"/>
      <c r="WAB301" s="118"/>
      <c r="WAC301" s="118"/>
      <c r="WAD301" s="118"/>
      <c r="WAE301" s="118"/>
      <c r="WAF301" s="118"/>
      <c r="WAG301" s="118"/>
      <c r="WAH301" s="118"/>
      <c r="WAI301" s="118"/>
      <c r="WAJ301" s="118"/>
      <c r="WAK301" s="118"/>
      <c r="WAL301" s="118"/>
      <c r="WAM301" s="118"/>
      <c r="WAN301" s="118"/>
      <c r="WAO301" s="118"/>
      <c r="WAP301" s="118"/>
      <c r="WAQ301" s="118"/>
      <c r="WAR301" s="118"/>
      <c r="WAS301" s="118"/>
      <c r="WAT301" s="118"/>
      <c r="WAU301" s="118"/>
      <c r="WAV301" s="118"/>
      <c r="WAW301" s="118"/>
      <c r="WAX301" s="118"/>
      <c r="WAY301" s="118"/>
      <c r="WAZ301" s="118"/>
      <c r="WBA301" s="118"/>
      <c r="WBB301" s="118"/>
      <c r="WBC301" s="118"/>
      <c r="WBD301" s="118"/>
      <c r="WBE301" s="118"/>
      <c r="WBF301" s="118"/>
      <c r="WBG301" s="118"/>
      <c r="WBH301" s="118"/>
      <c r="WBI301" s="118"/>
      <c r="WBJ301" s="118"/>
      <c r="WBK301" s="118"/>
      <c r="WBL301" s="118"/>
      <c r="WBM301" s="118"/>
      <c r="WBN301" s="118"/>
      <c r="WBO301" s="118"/>
      <c r="WBP301" s="118"/>
      <c r="WBQ301" s="118"/>
      <c r="WBR301" s="118"/>
      <c r="WBS301" s="118"/>
      <c r="WBT301" s="118"/>
      <c r="WBU301" s="118"/>
      <c r="WBV301" s="118"/>
      <c r="WBW301" s="118"/>
      <c r="WBX301" s="118"/>
      <c r="WBY301" s="118"/>
      <c r="WBZ301" s="118"/>
      <c r="WCA301" s="118"/>
      <c r="WCB301" s="118"/>
      <c r="WCC301" s="118"/>
      <c r="WCD301" s="118"/>
      <c r="WCE301" s="118"/>
      <c r="WCF301" s="118"/>
      <c r="WCG301" s="118"/>
      <c r="WCH301" s="118"/>
      <c r="WCI301" s="118"/>
      <c r="WCJ301" s="118"/>
      <c r="WCK301" s="118"/>
      <c r="WCL301" s="118"/>
      <c r="WCM301" s="118"/>
      <c r="WCN301" s="118"/>
      <c r="WCO301" s="118"/>
      <c r="WCP301" s="118"/>
      <c r="WCQ301" s="118"/>
      <c r="WCR301" s="118"/>
      <c r="WCS301" s="118"/>
      <c r="WCT301" s="118"/>
      <c r="WCU301" s="118"/>
      <c r="WCV301" s="118"/>
      <c r="WCW301" s="118"/>
      <c r="WCX301" s="118"/>
      <c r="WCY301" s="118"/>
      <c r="WCZ301" s="118"/>
      <c r="WDA301" s="118"/>
      <c r="WDB301" s="118"/>
      <c r="WDC301" s="118"/>
      <c r="WDD301" s="118"/>
      <c r="WDE301" s="118"/>
      <c r="WDF301" s="118"/>
      <c r="WDG301" s="118"/>
      <c r="WDH301" s="118"/>
      <c r="WDI301" s="118"/>
      <c r="WDJ301" s="118"/>
      <c r="WDK301" s="118"/>
      <c r="WDL301" s="118"/>
      <c r="WDM301" s="118"/>
      <c r="WDN301" s="118"/>
      <c r="WDO301" s="118"/>
      <c r="WDP301" s="118"/>
      <c r="WDQ301" s="118"/>
      <c r="WDR301" s="118"/>
      <c r="WDS301" s="118"/>
      <c r="WDT301" s="118"/>
      <c r="WDU301" s="118"/>
      <c r="WDV301" s="118"/>
      <c r="WDW301" s="118"/>
      <c r="WDX301" s="118"/>
      <c r="WDY301" s="118"/>
      <c r="WDZ301" s="118"/>
      <c r="WEA301" s="118"/>
      <c r="WEB301" s="118"/>
      <c r="WEC301" s="118"/>
      <c r="WED301" s="118"/>
      <c r="WEE301" s="118"/>
      <c r="WEF301" s="118"/>
      <c r="WEG301" s="118"/>
      <c r="WEH301" s="118"/>
      <c r="WEI301" s="118"/>
      <c r="WEJ301" s="118"/>
      <c r="WEK301" s="118"/>
      <c r="WEL301" s="118"/>
      <c r="WEM301" s="118"/>
      <c r="WEN301" s="118"/>
      <c r="WEO301" s="118"/>
      <c r="WEP301" s="118"/>
      <c r="WEQ301" s="118"/>
      <c r="WER301" s="118"/>
      <c r="WES301" s="118"/>
      <c r="WET301" s="118"/>
      <c r="WEU301" s="118"/>
      <c r="WEV301" s="118"/>
      <c r="WEW301" s="118"/>
      <c r="WEX301" s="118"/>
      <c r="WEY301" s="118"/>
      <c r="WEZ301" s="118"/>
      <c r="WFA301" s="118"/>
      <c r="WFB301" s="118"/>
      <c r="WFC301" s="118"/>
      <c r="WFD301" s="118"/>
      <c r="WFE301" s="118"/>
      <c r="WFF301" s="118"/>
      <c r="WFG301" s="118"/>
      <c r="WFH301" s="118"/>
      <c r="WFI301" s="118"/>
      <c r="WFJ301" s="118"/>
      <c r="WFK301" s="118"/>
      <c r="WFL301" s="118"/>
      <c r="WFM301" s="118"/>
      <c r="WFN301" s="118"/>
      <c r="WFO301" s="118"/>
      <c r="WFP301" s="118"/>
      <c r="WFQ301" s="118"/>
      <c r="WFR301" s="118"/>
      <c r="WFS301" s="118"/>
      <c r="WFT301" s="118"/>
      <c r="WFU301" s="118"/>
      <c r="WFV301" s="118"/>
      <c r="WFW301" s="118"/>
      <c r="WFX301" s="118"/>
      <c r="WFY301" s="118"/>
      <c r="WFZ301" s="118"/>
      <c r="WGA301" s="118"/>
      <c r="WGB301" s="118"/>
      <c r="WGC301" s="118"/>
      <c r="WGD301" s="118"/>
      <c r="WGE301" s="118"/>
      <c r="WGF301" s="118"/>
      <c r="WGG301" s="118"/>
      <c r="WGH301" s="118"/>
      <c r="WGI301" s="118"/>
      <c r="WGJ301" s="118"/>
      <c r="WGK301" s="118"/>
      <c r="WGL301" s="118"/>
      <c r="WGM301" s="118"/>
      <c r="WGN301" s="118"/>
      <c r="WGO301" s="118"/>
      <c r="WGP301" s="118"/>
      <c r="WGQ301" s="118"/>
      <c r="WGR301" s="118"/>
      <c r="WGS301" s="118"/>
      <c r="WGT301" s="118"/>
      <c r="WGU301" s="118"/>
      <c r="WGV301" s="118"/>
      <c r="WGW301" s="118"/>
      <c r="WGX301" s="118"/>
      <c r="WGY301" s="118"/>
      <c r="WGZ301" s="118"/>
      <c r="WHA301" s="118"/>
      <c r="WHB301" s="118"/>
      <c r="WHC301" s="118"/>
      <c r="WHD301" s="118"/>
      <c r="WHE301" s="118"/>
      <c r="WHF301" s="118"/>
      <c r="WHG301" s="118"/>
      <c r="WHH301" s="118"/>
      <c r="WHI301" s="118"/>
      <c r="WHJ301" s="118"/>
      <c r="WHK301" s="118"/>
      <c r="WHL301" s="118"/>
      <c r="WHM301" s="118"/>
      <c r="WHN301" s="118"/>
      <c r="WHO301" s="118"/>
      <c r="WHP301" s="118"/>
      <c r="WHQ301" s="118"/>
      <c r="WHR301" s="118"/>
      <c r="WHS301" s="118"/>
      <c r="WHT301" s="118"/>
      <c r="WHU301" s="118"/>
      <c r="WHV301" s="118"/>
      <c r="WHW301" s="118"/>
      <c r="WHX301" s="118"/>
      <c r="WHY301" s="118"/>
      <c r="WHZ301" s="118"/>
      <c r="WIA301" s="118"/>
      <c r="WIB301" s="118"/>
      <c r="WIC301" s="118"/>
      <c r="WID301" s="118"/>
      <c r="WIE301" s="118"/>
      <c r="WIF301" s="118"/>
      <c r="WIG301" s="118"/>
      <c r="WIH301" s="118"/>
      <c r="WII301" s="118"/>
      <c r="WIJ301" s="118"/>
      <c r="WIK301" s="118"/>
      <c r="WIL301" s="118"/>
      <c r="WIM301" s="118"/>
      <c r="WIN301" s="118"/>
      <c r="WIO301" s="118"/>
      <c r="WIP301" s="118"/>
      <c r="WIQ301" s="118"/>
      <c r="WIR301" s="118"/>
      <c r="WIS301" s="118"/>
      <c r="WIT301" s="118"/>
      <c r="WIU301" s="118"/>
      <c r="WIV301" s="118"/>
      <c r="WIW301" s="118"/>
      <c r="WIX301" s="118"/>
      <c r="WIY301" s="118"/>
      <c r="WIZ301" s="118"/>
      <c r="WJA301" s="118"/>
      <c r="WJB301" s="118"/>
      <c r="WJC301" s="118"/>
      <c r="WJD301" s="118"/>
      <c r="WJE301" s="118"/>
      <c r="WJF301" s="118"/>
      <c r="WJG301" s="118"/>
      <c r="WJH301" s="118"/>
      <c r="WJI301" s="118"/>
      <c r="WJJ301" s="118"/>
      <c r="WJK301" s="118"/>
      <c r="WJL301" s="118"/>
      <c r="WJM301" s="118"/>
      <c r="WJN301" s="118"/>
      <c r="WJO301" s="118"/>
      <c r="WJP301" s="118"/>
      <c r="WJQ301" s="118"/>
      <c r="WJR301" s="118"/>
      <c r="WJS301" s="118"/>
      <c r="WJT301" s="118"/>
      <c r="WJU301" s="118"/>
      <c r="WJV301" s="118"/>
      <c r="WJW301" s="118"/>
      <c r="WJX301" s="118"/>
      <c r="WJY301" s="118"/>
      <c r="WJZ301" s="118"/>
      <c r="WKA301" s="118"/>
      <c r="WKB301" s="118"/>
      <c r="WKC301" s="118"/>
      <c r="WKD301" s="118"/>
      <c r="WKE301" s="118"/>
      <c r="WKF301" s="118"/>
      <c r="WKG301" s="118"/>
      <c r="WKH301" s="118"/>
      <c r="WKI301" s="118"/>
      <c r="WKJ301" s="118"/>
      <c r="WKK301" s="118"/>
      <c r="WKL301" s="118"/>
      <c r="WKM301" s="118"/>
      <c r="WKN301" s="118"/>
      <c r="WKO301" s="118"/>
      <c r="WKP301" s="118"/>
      <c r="WKQ301" s="118"/>
      <c r="WKR301" s="118"/>
      <c r="WKS301" s="118"/>
      <c r="WKT301" s="118"/>
      <c r="WKU301" s="118"/>
      <c r="WKV301" s="118"/>
      <c r="WKW301" s="118"/>
      <c r="WKX301" s="118"/>
      <c r="WKY301" s="118"/>
      <c r="WKZ301" s="118"/>
      <c r="WLA301" s="118"/>
      <c r="WLB301" s="118"/>
      <c r="WLC301" s="118"/>
      <c r="WLD301" s="118"/>
      <c r="WLE301" s="118"/>
      <c r="WLF301" s="118"/>
      <c r="WLG301" s="118"/>
      <c r="WLH301" s="118"/>
      <c r="WLI301" s="118"/>
      <c r="WLJ301" s="118"/>
      <c r="WLK301" s="118"/>
      <c r="WLL301" s="118"/>
      <c r="WLM301" s="118"/>
      <c r="WLN301" s="118"/>
      <c r="WLO301" s="118"/>
      <c r="WLP301" s="118"/>
      <c r="WLQ301" s="118"/>
      <c r="WLR301" s="118"/>
      <c r="WLS301" s="118"/>
      <c r="WLT301" s="118"/>
      <c r="WLU301" s="118"/>
      <c r="WLV301" s="118"/>
      <c r="WLW301" s="118"/>
      <c r="WLX301" s="118"/>
      <c r="WLY301" s="118"/>
      <c r="WLZ301" s="118"/>
      <c r="WMA301" s="118"/>
      <c r="WMB301" s="118"/>
      <c r="WMC301" s="118"/>
      <c r="WMD301" s="118"/>
      <c r="WME301" s="118"/>
      <c r="WMF301" s="118"/>
      <c r="WMG301" s="118"/>
      <c r="WMH301" s="118"/>
      <c r="WMI301" s="118"/>
      <c r="WMJ301" s="118"/>
      <c r="WMK301" s="118"/>
      <c r="WML301" s="118"/>
      <c r="WMM301" s="118"/>
      <c r="WMN301" s="118"/>
      <c r="WMO301" s="118"/>
      <c r="WMP301" s="118"/>
      <c r="WMQ301" s="118"/>
      <c r="WMR301" s="118"/>
      <c r="WMS301" s="118"/>
      <c r="WMT301" s="118"/>
      <c r="WMU301" s="118"/>
      <c r="WMV301" s="118"/>
      <c r="WMW301" s="118"/>
      <c r="WMX301" s="118"/>
      <c r="WMY301" s="118"/>
      <c r="WMZ301" s="118"/>
      <c r="WNA301" s="118"/>
      <c r="WNB301" s="118"/>
      <c r="WNC301" s="118"/>
      <c r="WND301" s="118"/>
      <c r="WNE301" s="118"/>
      <c r="WNF301" s="118"/>
      <c r="WNG301" s="118"/>
      <c r="WNH301" s="118"/>
      <c r="WNI301" s="118"/>
      <c r="WNJ301" s="118"/>
      <c r="WNK301" s="118"/>
      <c r="WNL301" s="118"/>
      <c r="WNM301" s="118"/>
      <c r="WNN301" s="118"/>
      <c r="WNO301" s="118"/>
      <c r="WNP301" s="118"/>
      <c r="WNQ301" s="118"/>
      <c r="WNR301" s="118"/>
      <c r="WNS301" s="118"/>
      <c r="WNT301" s="118"/>
      <c r="WNU301" s="118"/>
      <c r="WNV301" s="118"/>
      <c r="WNW301" s="118"/>
      <c r="WNX301" s="118"/>
      <c r="WNY301" s="118"/>
      <c r="WNZ301" s="118"/>
      <c r="WOA301" s="118"/>
      <c r="WOB301" s="118"/>
      <c r="WOC301" s="118"/>
      <c r="WOD301" s="118"/>
      <c r="WOE301" s="118"/>
      <c r="WOF301" s="118"/>
      <c r="WOG301" s="118"/>
      <c r="WOH301" s="118"/>
      <c r="WOI301" s="118"/>
      <c r="WOJ301" s="118"/>
      <c r="WOK301" s="118"/>
      <c r="WOL301" s="118"/>
      <c r="WOM301" s="118"/>
      <c r="WON301" s="118"/>
      <c r="WOO301" s="118"/>
      <c r="WOP301" s="118"/>
      <c r="WOQ301" s="118"/>
      <c r="WOR301" s="118"/>
      <c r="WOS301" s="118"/>
      <c r="WOT301" s="118"/>
      <c r="WOU301" s="118"/>
      <c r="WOV301" s="118"/>
      <c r="WOW301" s="118"/>
      <c r="WOX301" s="118"/>
      <c r="WOY301" s="118"/>
      <c r="WOZ301" s="118"/>
      <c r="WPA301" s="118"/>
      <c r="WPB301" s="118"/>
      <c r="WPC301" s="118"/>
      <c r="WPD301" s="118"/>
      <c r="WPE301" s="118"/>
      <c r="WPF301" s="118"/>
      <c r="WPG301" s="118"/>
      <c r="WPH301" s="118"/>
      <c r="WPI301" s="118"/>
      <c r="WPJ301" s="118"/>
      <c r="WPK301" s="118"/>
      <c r="WPL301" s="118"/>
      <c r="WPM301" s="118"/>
      <c r="WPN301" s="118"/>
      <c r="WPO301" s="118"/>
      <c r="WPP301" s="118"/>
      <c r="WPQ301" s="118"/>
      <c r="WPR301" s="118"/>
      <c r="WPS301" s="118"/>
      <c r="WPT301" s="118"/>
      <c r="WPU301" s="118"/>
      <c r="WPV301" s="118"/>
      <c r="WPW301" s="118"/>
      <c r="WPX301" s="118"/>
      <c r="WPY301" s="118"/>
      <c r="WPZ301" s="118"/>
      <c r="WQA301" s="118"/>
      <c r="WQB301" s="118"/>
      <c r="WQC301" s="118"/>
      <c r="WQD301" s="118"/>
      <c r="WQE301" s="118"/>
      <c r="WQF301" s="118"/>
      <c r="WQG301" s="118"/>
      <c r="WQH301" s="118"/>
      <c r="WQI301" s="118"/>
      <c r="WQJ301" s="118"/>
      <c r="WQK301" s="118"/>
      <c r="WQL301" s="118"/>
      <c r="WQM301" s="118"/>
      <c r="WQN301" s="118"/>
      <c r="WQO301" s="118"/>
      <c r="WQP301" s="118"/>
      <c r="WQQ301" s="118"/>
      <c r="WQR301" s="118"/>
      <c r="WQS301" s="118"/>
      <c r="WQT301" s="118"/>
      <c r="WQU301" s="118"/>
      <c r="WQV301" s="118"/>
      <c r="WQW301" s="118"/>
      <c r="WQX301" s="118"/>
      <c r="WQY301" s="118"/>
      <c r="WQZ301" s="118"/>
      <c r="WRA301" s="118"/>
      <c r="WRB301" s="118"/>
      <c r="WRC301" s="118"/>
      <c r="WRD301" s="118"/>
      <c r="WRE301" s="118"/>
      <c r="WRF301" s="118"/>
      <c r="WRG301" s="118"/>
      <c r="WRH301" s="118"/>
      <c r="WRI301" s="118"/>
      <c r="WRJ301" s="118"/>
      <c r="WRK301" s="118"/>
      <c r="WRL301" s="118"/>
      <c r="WRM301" s="118"/>
      <c r="WRN301" s="118"/>
      <c r="WRO301" s="118"/>
      <c r="WRP301" s="118"/>
      <c r="WRQ301" s="118"/>
      <c r="WRR301" s="118"/>
      <c r="WRS301" s="118"/>
      <c r="WRT301" s="118"/>
      <c r="WRU301" s="118"/>
      <c r="WRV301" s="118"/>
      <c r="WRW301" s="118"/>
      <c r="WRX301" s="118"/>
      <c r="WRY301" s="118"/>
      <c r="WRZ301" s="118"/>
      <c r="WSA301" s="118"/>
      <c r="WSB301" s="118"/>
      <c r="WSC301" s="118"/>
      <c r="WSD301" s="118"/>
      <c r="WSE301" s="118"/>
      <c r="WSF301" s="118"/>
      <c r="WSG301" s="118"/>
      <c r="WSH301" s="118"/>
      <c r="WSI301" s="118"/>
      <c r="WSJ301" s="118"/>
      <c r="WSK301" s="118"/>
      <c r="WSL301" s="118"/>
      <c r="WSM301" s="118"/>
      <c r="WSN301" s="118"/>
      <c r="WSO301" s="118"/>
      <c r="WSP301" s="118"/>
      <c r="WSQ301" s="118"/>
      <c r="WSR301" s="118"/>
      <c r="WSS301" s="118"/>
      <c r="WST301" s="118"/>
      <c r="WSU301" s="118"/>
      <c r="WSV301" s="118"/>
      <c r="WSW301" s="118"/>
      <c r="WSX301" s="118"/>
      <c r="WSY301" s="118"/>
      <c r="WSZ301" s="118"/>
      <c r="WTA301" s="118"/>
      <c r="WTB301" s="118"/>
      <c r="WTC301" s="118"/>
      <c r="WTD301" s="118"/>
      <c r="WTE301" s="118"/>
      <c r="WTF301" s="118"/>
      <c r="WTG301" s="118"/>
      <c r="WTH301" s="118"/>
      <c r="WTI301" s="118"/>
      <c r="WTJ301" s="118"/>
      <c r="WTK301" s="118"/>
      <c r="WTL301" s="118"/>
      <c r="WTM301" s="118"/>
      <c r="WTN301" s="118"/>
      <c r="WTO301" s="118"/>
      <c r="WTP301" s="118"/>
      <c r="WTQ301" s="118"/>
      <c r="WTR301" s="118"/>
      <c r="WTS301" s="118"/>
      <c r="WTT301" s="118"/>
      <c r="WTU301" s="118"/>
      <c r="WTV301" s="118"/>
      <c r="WTW301" s="118"/>
      <c r="WTX301" s="118"/>
      <c r="WTY301" s="118"/>
      <c r="WTZ301" s="118"/>
      <c r="WUA301" s="118"/>
      <c r="WUB301" s="118"/>
      <c r="WUC301" s="118"/>
      <c r="WUD301" s="118"/>
      <c r="WUE301" s="118"/>
      <c r="WUF301" s="118"/>
      <c r="WUG301" s="118"/>
      <c r="WUH301" s="118"/>
      <c r="WUI301" s="118"/>
      <c r="WUJ301" s="118"/>
      <c r="WUK301" s="118"/>
      <c r="WUL301" s="118"/>
      <c r="WUM301" s="118"/>
      <c r="WUN301" s="118"/>
      <c r="WUO301" s="118"/>
      <c r="WUP301" s="118"/>
      <c r="WUQ301" s="118"/>
      <c r="WUR301" s="118"/>
      <c r="WUS301" s="118"/>
      <c r="WUT301" s="118"/>
      <c r="WUU301" s="118"/>
      <c r="WUV301" s="118"/>
      <c r="WUW301" s="118"/>
      <c r="WUX301" s="118"/>
      <c r="WUY301" s="118"/>
      <c r="WUZ301" s="118"/>
      <c r="WVA301" s="118"/>
      <c r="WVB301" s="118"/>
      <c r="WVC301" s="118"/>
      <c r="WVD301" s="118"/>
      <c r="WVE301" s="118"/>
      <c r="WVF301" s="118"/>
      <c r="WVG301" s="118"/>
      <c r="WVH301" s="118"/>
      <c r="WVI301" s="118"/>
      <c r="WVJ301" s="118"/>
      <c r="WVK301" s="118"/>
      <c r="WVL301" s="118"/>
      <c r="WVM301" s="118"/>
      <c r="WVN301" s="118"/>
      <c r="WVO301" s="118"/>
      <c r="WVP301" s="118"/>
      <c r="WVQ301" s="118"/>
      <c r="WVR301" s="118"/>
      <c r="WVS301" s="118"/>
      <c r="WVT301" s="118"/>
      <c r="WVU301" s="118"/>
      <c r="WVV301" s="118"/>
      <c r="WVW301" s="118"/>
      <c r="WVX301" s="118"/>
      <c r="WVY301" s="118"/>
      <c r="WVZ301" s="118"/>
      <c r="WWA301" s="118"/>
      <c r="WWB301" s="118"/>
      <c r="WWC301" s="118"/>
      <c r="WWD301" s="118"/>
      <c r="WWE301" s="118"/>
      <c r="WWF301" s="118"/>
      <c r="WWG301" s="118"/>
      <c r="WWH301" s="118"/>
      <c r="WWI301" s="118"/>
      <c r="WWJ301" s="118"/>
      <c r="WWK301" s="118"/>
      <c r="WWL301" s="118"/>
      <c r="WWM301" s="118"/>
      <c r="WWN301" s="118"/>
      <c r="WWO301" s="118"/>
      <c r="WWP301" s="118"/>
      <c r="WWQ301" s="118"/>
      <c r="WWR301" s="118"/>
      <c r="WWS301" s="118"/>
      <c r="WWT301" s="118"/>
      <c r="WWU301" s="118"/>
      <c r="WWV301" s="118"/>
      <c r="WWW301" s="118"/>
      <c r="WWX301" s="118"/>
      <c r="WWY301" s="118"/>
      <c r="WWZ301" s="118"/>
      <c r="WXA301" s="118"/>
      <c r="WXB301" s="118"/>
      <c r="WXC301" s="118"/>
      <c r="WXD301" s="118"/>
      <c r="WXE301" s="118"/>
      <c r="WXF301" s="118"/>
      <c r="WXG301" s="118"/>
      <c r="WXH301" s="118"/>
      <c r="WXI301" s="118"/>
      <c r="WXJ301" s="118"/>
      <c r="WXK301" s="118"/>
      <c r="WXL301" s="118"/>
      <c r="WXM301" s="118"/>
      <c r="WXN301" s="118"/>
      <c r="WXO301" s="118"/>
      <c r="WXP301" s="118"/>
      <c r="WXQ301" s="118"/>
      <c r="WXR301" s="118"/>
      <c r="WXS301" s="118"/>
      <c r="WXT301" s="118"/>
      <c r="WXU301" s="118"/>
      <c r="WXV301" s="118"/>
      <c r="WXW301" s="118"/>
      <c r="WXX301" s="118"/>
      <c r="WXY301" s="118"/>
      <c r="WXZ301" s="118"/>
      <c r="WYA301" s="118"/>
      <c r="WYB301" s="118"/>
      <c r="WYC301" s="118"/>
      <c r="WYD301" s="118"/>
      <c r="WYE301" s="118"/>
      <c r="WYF301" s="118"/>
      <c r="WYG301" s="118"/>
      <c r="WYH301" s="118"/>
      <c r="WYI301" s="118"/>
      <c r="WYJ301" s="118"/>
      <c r="WYK301" s="118"/>
      <c r="WYL301" s="118"/>
      <c r="WYM301" s="118"/>
      <c r="WYN301" s="118"/>
      <c r="WYO301" s="118"/>
      <c r="WYP301" s="118"/>
      <c r="WYQ301" s="118"/>
      <c r="WYR301" s="118"/>
      <c r="WYS301" s="118"/>
      <c r="WYT301" s="118"/>
      <c r="WYU301" s="118"/>
      <c r="WYV301" s="118"/>
      <c r="WYW301" s="118"/>
      <c r="WYX301" s="118"/>
      <c r="WYY301" s="118"/>
      <c r="WYZ301" s="118"/>
      <c r="WZA301" s="118"/>
      <c r="WZB301" s="118"/>
      <c r="WZC301" s="118"/>
      <c r="WZD301" s="118"/>
      <c r="WZE301" s="118"/>
      <c r="WZF301" s="118"/>
      <c r="WZG301" s="118"/>
      <c r="WZH301" s="118"/>
      <c r="WZI301" s="118"/>
      <c r="WZJ301" s="118"/>
      <c r="WZK301" s="118"/>
      <c r="WZL301" s="118"/>
      <c r="WZM301" s="118"/>
      <c r="WZN301" s="118"/>
      <c r="WZO301" s="118"/>
      <c r="WZP301" s="118"/>
      <c r="WZQ301" s="118"/>
      <c r="WZR301" s="118"/>
      <c r="WZS301" s="118"/>
      <c r="WZT301" s="118"/>
      <c r="WZU301" s="118"/>
      <c r="WZV301" s="118"/>
      <c r="WZW301" s="118"/>
      <c r="WZX301" s="118"/>
      <c r="WZY301" s="118"/>
      <c r="WZZ301" s="118"/>
      <c r="XAA301" s="118"/>
      <c r="XAB301" s="118"/>
      <c r="XAC301" s="118"/>
      <c r="XAD301" s="118"/>
      <c r="XAE301" s="118"/>
      <c r="XAF301" s="118"/>
      <c r="XAG301" s="118"/>
      <c r="XAH301" s="118"/>
      <c r="XAI301" s="118"/>
      <c r="XAJ301" s="118"/>
      <c r="XAK301" s="118"/>
      <c r="XAL301" s="118"/>
      <c r="XAM301" s="118"/>
      <c r="XAN301" s="118"/>
      <c r="XAO301" s="118"/>
      <c r="XAP301" s="118"/>
      <c r="XAQ301" s="118"/>
    </row>
    <row r="302" spans="1:16267" x14ac:dyDescent="0.2">
      <c r="A302" s="294" t="s">
        <v>401</v>
      </c>
      <c r="B302" s="276" t="s">
        <v>34</v>
      </c>
      <c r="C302" s="276" t="s">
        <v>525</v>
      </c>
      <c r="D302" s="276" t="s">
        <v>111</v>
      </c>
      <c r="E302" s="276" t="s">
        <v>524</v>
      </c>
      <c r="F302" s="276" t="s">
        <v>713</v>
      </c>
      <c r="G302" s="233" t="str">
        <f>IF(M302&gt;0, "1", "0")</f>
        <v>0</v>
      </c>
      <c r="H302" s="233" t="str">
        <f>IF(S302&gt;0, "1", "0")</f>
        <v>1</v>
      </c>
      <c r="I302" s="233" t="str">
        <f>IF(AI302&gt;0, "1", "0")</f>
        <v>0</v>
      </c>
      <c r="J302" s="233" t="str">
        <f>IF(AZ302&gt;0, "1", "0")</f>
        <v>0</v>
      </c>
      <c r="K302" s="233" t="str">
        <f>CONCATENATE(G302,H302,I302,J302)</f>
        <v>0100</v>
      </c>
      <c r="L302" s="276" t="str">
        <f>A302&amp;B302&amp;E302</f>
        <v>0910N/AEASI MTSS</v>
      </c>
      <c r="M302" s="242"/>
      <c r="N302" s="242"/>
      <c r="O302" s="242"/>
      <c r="P302" s="242"/>
      <c r="Q302" s="242"/>
      <c r="R302" s="242"/>
      <c r="S302" s="242">
        <v>5000</v>
      </c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>
        <f>SUM(Q302:AE302)</f>
        <v>5000</v>
      </c>
      <c r="AG302" s="242"/>
      <c r="AH302" s="242">
        <v>67156</v>
      </c>
      <c r="AI302" s="242"/>
      <c r="AJ302" s="242"/>
      <c r="AK302" s="242"/>
      <c r="AL302" s="242"/>
      <c r="AM302" s="242"/>
      <c r="AN302" s="242">
        <v>0</v>
      </c>
      <c r="AO302" s="242">
        <v>0</v>
      </c>
      <c r="AP302" s="242"/>
      <c r="AQ302" s="242"/>
      <c r="AR302" s="242"/>
      <c r="AS302" s="242"/>
      <c r="AT302" s="240">
        <v>-5000</v>
      </c>
      <c r="AU302" s="240"/>
      <c r="AV302" s="240"/>
      <c r="AW302" s="243">
        <f>SUM(AF302:AV302)</f>
        <v>67156</v>
      </c>
      <c r="AX302" s="241">
        <v>65206</v>
      </c>
      <c r="AY302" s="242">
        <v>0</v>
      </c>
      <c r="AZ302" s="243"/>
      <c r="BA302" s="277"/>
      <c r="BB302" s="242">
        <v>-66970.429999999993</v>
      </c>
      <c r="BC302" s="242">
        <v>0</v>
      </c>
      <c r="BD302" s="242">
        <v>0</v>
      </c>
      <c r="BE302" s="242"/>
      <c r="BF302" s="242"/>
      <c r="BG302" s="242">
        <v>0</v>
      </c>
      <c r="BH302" s="242">
        <v>-4528.7</v>
      </c>
      <c r="BI302" s="242">
        <v>0</v>
      </c>
      <c r="BJ302" s="240"/>
      <c r="BK302" s="240"/>
      <c r="BL302" s="240">
        <v>-60677.32</v>
      </c>
      <c r="BM302" s="240">
        <f t="shared" si="149"/>
        <v>185.55000000001019</v>
      </c>
      <c r="BN302" s="241"/>
      <c r="BO302" s="242"/>
      <c r="BP302" s="240"/>
      <c r="BQ302" s="241"/>
      <c r="BR302" s="242"/>
      <c r="BS302" s="242"/>
      <c r="BT302" s="242"/>
      <c r="BU302" s="242"/>
      <c r="BV302" s="242"/>
      <c r="BW302" s="242"/>
      <c r="BX302" s="242"/>
      <c r="BY302" s="242"/>
      <c r="BZ302" s="242"/>
      <c r="CA302" s="242"/>
      <c r="CB302" s="242"/>
      <c r="CC302" s="243">
        <f t="shared" si="148"/>
        <v>185.55000000001019</v>
      </c>
      <c r="CD302" s="244"/>
      <c r="CE302" s="244"/>
      <c r="CF302" s="244"/>
    </row>
    <row r="303" spans="1:16267" x14ac:dyDescent="0.2">
      <c r="A303" s="245" t="s">
        <v>802</v>
      </c>
      <c r="B303" s="246" t="s">
        <v>34</v>
      </c>
      <c r="C303" s="246" t="s">
        <v>803</v>
      </c>
      <c r="D303" s="246" t="s">
        <v>111</v>
      </c>
      <c r="E303" s="246" t="s">
        <v>524</v>
      </c>
      <c r="F303" s="246"/>
      <c r="G303" s="233"/>
      <c r="H303" s="233"/>
      <c r="I303" s="233"/>
      <c r="J303" s="233"/>
      <c r="K303" s="233"/>
      <c r="L303" s="246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  <c r="AA303" s="225"/>
      <c r="AB303" s="225"/>
      <c r="AC303" s="225"/>
      <c r="AD303" s="225"/>
      <c r="AE303" s="225"/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48"/>
      <c r="AU303" s="248"/>
      <c r="AV303" s="248"/>
      <c r="AW303" s="227"/>
      <c r="AX303" s="249"/>
      <c r="AY303" s="225"/>
      <c r="AZ303" s="227">
        <v>5000</v>
      </c>
      <c r="BA303" s="250"/>
      <c r="BB303" s="225"/>
      <c r="BC303" s="225"/>
      <c r="BD303" s="225"/>
      <c r="BE303" s="225"/>
      <c r="BF303" s="225"/>
      <c r="BG303" s="225"/>
      <c r="BH303" s="225"/>
      <c r="BI303" s="225"/>
      <c r="BJ303" s="248"/>
      <c r="BK303" s="248"/>
      <c r="BL303" s="248"/>
      <c r="BM303" s="248">
        <f t="shared" si="149"/>
        <v>5000</v>
      </c>
      <c r="BN303" s="249"/>
      <c r="BO303" s="225"/>
      <c r="BP303" s="248">
        <v>65000</v>
      </c>
      <c r="BQ303" s="249"/>
      <c r="BR303" s="225"/>
      <c r="BS303" s="225"/>
      <c r="BT303" s="225"/>
      <c r="BU303" s="225"/>
      <c r="BV303" s="225"/>
      <c r="BW303" s="225"/>
      <c r="BX303" s="225"/>
      <c r="BY303" s="225"/>
      <c r="BZ303" s="225"/>
      <c r="CA303" s="225"/>
      <c r="CB303" s="225"/>
      <c r="CC303" s="227">
        <f t="shared" si="148"/>
        <v>70000</v>
      </c>
      <c r="CD303" s="244"/>
      <c r="CE303" s="244"/>
      <c r="CF303" s="244"/>
    </row>
    <row r="304" spans="1:16267" x14ac:dyDescent="0.2">
      <c r="A304" s="245" t="s">
        <v>222</v>
      </c>
      <c r="B304" s="246" t="s">
        <v>34</v>
      </c>
      <c r="C304" s="246" t="s">
        <v>223</v>
      </c>
      <c r="D304" s="246" t="s">
        <v>111</v>
      </c>
      <c r="E304" s="246" t="s">
        <v>524</v>
      </c>
      <c r="F304" s="246" t="s">
        <v>713</v>
      </c>
      <c r="G304" s="233" t="str">
        <f>IF(M304&gt;0, "1", "0")</f>
        <v>0</v>
      </c>
      <c r="H304" s="233" t="str">
        <f>IF(S304&gt;0, "1", "0")</f>
        <v>1</v>
      </c>
      <c r="I304" s="233" t="str">
        <f>IF(AI304&gt;0, "1", "0")</f>
        <v>0</v>
      </c>
      <c r="J304" s="233" t="str">
        <f>IF(AZ304&gt;0, "1", "0")</f>
        <v>0</v>
      </c>
      <c r="K304" s="233" t="str">
        <f>CONCATENATE(G304,H304,I304,J304)</f>
        <v>0100</v>
      </c>
      <c r="L304" s="247" t="str">
        <f>A304&amp;B304&amp;E304</f>
        <v>1560N/AEASI MTSS</v>
      </c>
      <c r="M304" s="225"/>
      <c r="N304" s="225"/>
      <c r="O304" s="225"/>
      <c r="P304" s="225"/>
      <c r="Q304" s="225">
        <f>SUM(M304:P304)</f>
        <v>0</v>
      </c>
      <c r="R304" s="225"/>
      <c r="S304" s="225">
        <v>34142</v>
      </c>
      <c r="T304" s="225"/>
      <c r="U304" s="225"/>
      <c r="V304" s="225"/>
      <c r="W304" s="225"/>
      <c r="X304" s="225"/>
      <c r="Y304" s="225"/>
      <c r="Z304" s="225"/>
      <c r="AA304" s="225"/>
      <c r="AB304" s="225"/>
      <c r="AC304" s="225"/>
      <c r="AD304" s="225"/>
      <c r="AE304" s="225"/>
      <c r="AF304" s="225">
        <f>SUM(Q304:AE304)</f>
        <v>34142</v>
      </c>
      <c r="AG304" s="225"/>
      <c r="AH304" s="225">
        <v>65000</v>
      </c>
      <c r="AI304" s="225"/>
      <c r="AJ304" s="225"/>
      <c r="AK304" s="225"/>
      <c r="AL304" s="225"/>
      <c r="AM304" s="225"/>
      <c r="AN304" s="225">
        <v>0</v>
      </c>
      <c r="AO304" s="225">
        <v>0</v>
      </c>
      <c r="AP304" s="225"/>
      <c r="AQ304" s="225"/>
      <c r="AR304" s="225"/>
      <c r="AS304" s="225"/>
      <c r="AT304" s="248"/>
      <c r="AU304" s="248">
        <v>0</v>
      </c>
      <c r="AV304" s="248">
        <v>-47063.49</v>
      </c>
      <c r="AW304" s="227">
        <f>SUM(AF304:AV304)</f>
        <v>52078.51</v>
      </c>
      <c r="AX304" s="249">
        <v>66515</v>
      </c>
      <c r="AY304" s="225">
        <v>0</v>
      </c>
      <c r="AZ304" s="227"/>
      <c r="BA304" s="250">
        <v>-25978.649999999998</v>
      </c>
      <c r="BB304" s="225">
        <v>-32766.57</v>
      </c>
      <c r="BC304" s="225">
        <v>0</v>
      </c>
      <c r="BD304" s="225">
        <v>0</v>
      </c>
      <c r="BE304" s="225"/>
      <c r="BF304" s="225">
        <v>-10297.32</v>
      </c>
      <c r="BG304" s="225">
        <v>0</v>
      </c>
      <c r="BH304" s="225">
        <v>0</v>
      </c>
      <c r="BI304" s="225">
        <v>-15253.4</v>
      </c>
      <c r="BJ304" s="248"/>
      <c r="BK304" s="248">
        <v>-11818.7</v>
      </c>
      <c r="BL304" s="248"/>
      <c r="BM304" s="248">
        <f t="shared" si="149"/>
        <v>22478.870000000014</v>
      </c>
      <c r="BN304" s="249"/>
      <c r="BO304" s="225"/>
      <c r="BP304" s="248"/>
      <c r="BQ304" s="249"/>
      <c r="BR304" s="225"/>
      <c r="BS304" s="225"/>
      <c r="BT304" s="225"/>
      <c r="BU304" s="225"/>
      <c r="BV304" s="225"/>
      <c r="BW304" s="225"/>
      <c r="BX304" s="225"/>
      <c r="BY304" s="225"/>
      <c r="BZ304" s="225"/>
      <c r="CA304" s="225"/>
      <c r="CB304" s="225"/>
      <c r="CC304" s="227">
        <f t="shared" si="148"/>
        <v>22478.870000000014</v>
      </c>
      <c r="CD304" s="244"/>
      <c r="CE304" s="244"/>
      <c r="CF304" s="244"/>
    </row>
    <row r="305" spans="1:84" x14ac:dyDescent="0.2">
      <c r="A305" s="245" t="s">
        <v>382</v>
      </c>
      <c r="B305" s="246" t="s">
        <v>34</v>
      </c>
      <c r="C305" s="246" t="s">
        <v>606</v>
      </c>
      <c r="D305" s="246" t="s">
        <v>111</v>
      </c>
      <c r="E305" s="246" t="s">
        <v>524</v>
      </c>
      <c r="F305" s="246"/>
      <c r="G305" s="233"/>
      <c r="H305" s="233"/>
      <c r="I305" s="233"/>
      <c r="J305" s="233"/>
      <c r="K305" s="233"/>
      <c r="L305" s="246"/>
      <c r="M305" s="225"/>
      <c r="N305" s="225"/>
      <c r="O305" s="225"/>
      <c r="P305" s="225"/>
      <c r="Q305" s="225"/>
      <c r="R305" s="225"/>
      <c r="S305" s="225"/>
      <c r="T305" s="225"/>
      <c r="U305" s="225"/>
      <c r="V305" s="225"/>
      <c r="W305" s="225"/>
      <c r="X305" s="225"/>
      <c r="Y305" s="225"/>
      <c r="Z305" s="225"/>
      <c r="AA305" s="225"/>
      <c r="AB305" s="225"/>
      <c r="AC305" s="225"/>
      <c r="AD305" s="225"/>
      <c r="AE305" s="225"/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48"/>
      <c r="AU305" s="248"/>
      <c r="AV305" s="248"/>
      <c r="AW305" s="227"/>
      <c r="AX305" s="249"/>
      <c r="AY305" s="225"/>
      <c r="AZ305" s="227">
        <v>5000</v>
      </c>
      <c r="BA305" s="250"/>
      <c r="BB305" s="225"/>
      <c r="BC305" s="225"/>
      <c r="BD305" s="225"/>
      <c r="BE305" s="225"/>
      <c r="BF305" s="225"/>
      <c r="BG305" s="225"/>
      <c r="BH305" s="225"/>
      <c r="BI305" s="225"/>
      <c r="BJ305" s="248"/>
      <c r="BK305" s="248"/>
      <c r="BL305" s="248"/>
      <c r="BM305" s="248">
        <f t="shared" si="149"/>
        <v>5000</v>
      </c>
      <c r="BN305" s="249"/>
      <c r="BO305" s="225"/>
      <c r="BP305" s="248">
        <v>65000</v>
      </c>
      <c r="BQ305" s="249"/>
      <c r="BR305" s="225"/>
      <c r="BS305" s="225"/>
      <c r="BT305" s="225"/>
      <c r="BU305" s="225"/>
      <c r="BV305" s="225"/>
      <c r="BW305" s="225"/>
      <c r="BX305" s="225"/>
      <c r="BY305" s="225"/>
      <c r="BZ305" s="225"/>
      <c r="CA305" s="225"/>
      <c r="CB305" s="225"/>
      <c r="CC305" s="227">
        <f t="shared" si="148"/>
        <v>70000</v>
      </c>
      <c r="CD305" s="244"/>
      <c r="CE305" s="244"/>
      <c r="CF305" s="244"/>
    </row>
    <row r="306" spans="1:84" x14ac:dyDescent="0.2">
      <c r="A306" s="245" t="s">
        <v>381</v>
      </c>
      <c r="B306" s="246" t="s">
        <v>467</v>
      </c>
      <c r="C306" s="246" t="s">
        <v>605</v>
      </c>
      <c r="D306" s="246" t="s">
        <v>674</v>
      </c>
      <c r="E306" s="247" t="s">
        <v>214</v>
      </c>
      <c r="F306" s="247" t="s">
        <v>712</v>
      </c>
      <c r="G306" s="233" t="str">
        <f>IF(M306&gt;0, "1", "0")</f>
        <v>0</v>
      </c>
      <c r="H306" s="233" t="str">
        <f>IF(S306&gt;0, "1", "0")</f>
        <v>0</v>
      </c>
      <c r="I306" s="233" t="str">
        <f>IF(AI306&gt;0, "1", "0")</f>
        <v>1</v>
      </c>
      <c r="J306" s="233" t="str">
        <f>IF(AZ306&gt;0, "1", "0")</f>
        <v>0</v>
      </c>
      <c r="K306" s="233" t="str">
        <f>CONCATENATE(G306,H306,I306,J306)</f>
        <v>0010</v>
      </c>
      <c r="L306" s="247" t="str">
        <f>A306&amp;B306&amp;E306</f>
        <v>20003604District Design and Led 19-22</v>
      </c>
      <c r="M306" s="255"/>
      <c r="N306" s="255"/>
      <c r="O306" s="255"/>
      <c r="P306" s="255"/>
      <c r="Q306" s="225">
        <f>SUM(M306:P306)</f>
        <v>0</v>
      </c>
      <c r="R306" s="225"/>
      <c r="S306" s="225">
        <v>0</v>
      </c>
      <c r="T306" s="255"/>
      <c r="U306" s="255"/>
      <c r="V306" s="255"/>
      <c r="W306" s="255"/>
      <c r="X306" s="255"/>
      <c r="Y306" s="255"/>
      <c r="Z306" s="255"/>
      <c r="AA306" s="255"/>
      <c r="AB306" s="255"/>
      <c r="AC306" s="225"/>
      <c r="AD306" s="255"/>
      <c r="AE306" s="225"/>
      <c r="AF306" s="225">
        <f>SUM(Q306:AE306)</f>
        <v>0</v>
      </c>
      <c r="AG306" s="255"/>
      <c r="AH306" s="255">
        <v>0</v>
      </c>
      <c r="AI306" s="225">
        <v>37751.265200000002</v>
      </c>
      <c r="AJ306" s="225"/>
      <c r="AK306" s="255"/>
      <c r="AL306" s="255"/>
      <c r="AM306" s="255"/>
      <c r="AN306" s="255">
        <v>0</v>
      </c>
      <c r="AO306" s="255">
        <v>0</v>
      </c>
      <c r="AP306" s="255"/>
      <c r="AQ306" s="255"/>
      <c r="AR306" s="255"/>
      <c r="AS306" s="255"/>
      <c r="AT306" s="256">
        <v>0</v>
      </c>
      <c r="AU306" s="256">
        <v>-9000</v>
      </c>
      <c r="AV306" s="256">
        <v>0</v>
      </c>
      <c r="AW306" s="227">
        <f>SUM(AF306:AV306)</f>
        <v>28751.265200000002</v>
      </c>
      <c r="AX306" s="257">
        <v>0</v>
      </c>
      <c r="AY306" s="255">
        <v>76245</v>
      </c>
      <c r="AZ306" s="227"/>
      <c r="BA306" s="259">
        <v>0</v>
      </c>
      <c r="BB306" s="225">
        <v>0</v>
      </c>
      <c r="BC306" s="255">
        <v>-15846.32</v>
      </c>
      <c r="BD306" s="255">
        <v>0</v>
      </c>
      <c r="BE306" s="255">
        <v>-12904.68</v>
      </c>
      <c r="BF306" s="255">
        <v>-0.27</v>
      </c>
      <c r="BG306" s="255">
        <v>0</v>
      </c>
      <c r="BH306" s="255">
        <v>-15601.94</v>
      </c>
      <c r="BI306" s="255">
        <v>0</v>
      </c>
      <c r="BJ306" s="256"/>
      <c r="BK306" s="256">
        <v>-2133.46</v>
      </c>
      <c r="BL306" s="256">
        <v>-528.04</v>
      </c>
      <c r="BM306" s="248">
        <f t="shared" si="149"/>
        <v>57981.555199999988</v>
      </c>
      <c r="BN306" s="257"/>
      <c r="BO306" s="255">
        <v>78368</v>
      </c>
      <c r="BP306" s="248"/>
      <c r="BQ306" s="249"/>
      <c r="BR306" s="225"/>
      <c r="BS306" s="225">
        <v>-4950.55</v>
      </c>
      <c r="BT306" s="225">
        <v>-26735.93</v>
      </c>
      <c r="BU306" s="225"/>
      <c r="BV306" s="225">
        <v>-1056.73</v>
      </c>
      <c r="BW306" s="225"/>
      <c r="BX306" s="225">
        <v>-608.41999999999996</v>
      </c>
      <c r="BY306" s="225"/>
      <c r="BZ306" s="225"/>
      <c r="CA306" s="225"/>
      <c r="CB306" s="225"/>
      <c r="CC306" s="227">
        <f t="shared" si="148"/>
        <v>102997.92520000003</v>
      </c>
      <c r="CD306" s="244"/>
      <c r="CE306" s="244"/>
      <c r="CF306" s="244"/>
    </row>
    <row r="307" spans="1:84" x14ac:dyDescent="0.2">
      <c r="A307" s="245" t="s">
        <v>386</v>
      </c>
      <c r="B307" s="246" t="s">
        <v>34</v>
      </c>
      <c r="C307" s="246" t="s">
        <v>527</v>
      </c>
      <c r="D307" s="246" t="s">
        <v>111</v>
      </c>
      <c r="E307" s="246" t="s">
        <v>524</v>
      </c>
      <c r="F307" s="246" t="s">
        <v>713</v>
      </c>
      <c r="G307" s="233" t="str">
        <f>IF(M307&gt;0, "1", "0")</f>
        <v>0</v>
      </c>
      <c r="H307" s="233" t="str">
        <f>IF(S307&gt;0, "1", "0")</f>
        <v>1</v>
      </c>
      <c r="I307" s="233" t="str">
        <f>IF(AI307&gt;0, "1", "0")</f>
        <v>0</v>
      </c>
      <c r="J307" s="233" t="str">
        <f>IF(AZ307&gt;0, "1", "0")</f>
        <v>0</v>
      </c>
      <c r="K307" s="233" t="str">
        <f>CONCATENATE(G307,H307,I307,J307)</f>
        <v>0100</v>
      </c>
      <c r="L307" s="246" t="str">
        <f>A307&amp;B307&amp;E307</f>
        <v>8001N/AEASI MTSS</v>
      </c>
      <c r="M307" s="225"/>
      <c r="N307" s="225"/>
      <c r="O307" s="225"/>
      <c r="P307" s="225"/>
      <c r="Q307" s="225">
        <f>SUM(M307:P307)</f>
        <v>0</v>
      </c>
      <c r="R307" s="225"/>
      <c r="S307" s="225">
        <v>21000</v>
      </c>
      <c r="T307" s="225"/>
      <c r="U307" s="225"/>
      <c r="V307" s="225"/>
      <c r="W307" s="225"/>
      <c r="X307" s="225"/>
      <c r="Y307" s="225"/>
      <c r="Z307" s="225"/>
      <c r="AA307" s="225"/>
      <c r="AB307" s="225"/>
      <c r="AC307" s="225"/>
      <c r="AD307" s="225"/>
      <c r="AE307" s="225"/>
      <c r="AF307" s="225">
        <f>SUM(Q307:AE307)</f>
        <v>21000</v>
      </c>
      <c r="AG307" s="225"/>
      <c r="AH307" s="225">
        <v>49125</v>
      </c>
      <c r="AI307" s="225"/>
      <c r="AJ307" s="225"/>
      <c r="AK307" s="225">
        <v>-9413</v>
      </c>
      <c r="AL307" s="225"/>
      <c r="AM307" s="225"/>
      <c r="AN307" s="225">
        <v>0</v>
      </c>
      <c r="AO307" s="225">
        <v>0</v>
      </c>
      <c r="AP307" s="225"/>
      <c r="AQ307" s="225"/>
      <c r="AR307" s="225"/>
      <c r="AS307" s="225"/>
      <c r="AT307" s="248">
        <v>0</v>
      </c>
      <c r="AU307" s="248">
        <v>-16046</v>
      </c>
      <c r="AV307" s="248">
        <v>0</v>
      </c>
      <c r="AW307" s="227">
        <f>SUM(AF307:AV307)</f>
        <v>44666</v>
      </c>
      <c r="AX307" s="249">
        <v>51625</v>
      </c>
      <c r="AY307" s="225">
        <v>0</v>
      </c>
      <c r="AZ307" s="227"/>
      <c r="BA307" s="250">
        <v>0</v>
      </c>
      <c r="BB307" s="225">
        <v>0</v>
      </c>
      <c r="BC307" s="225">
        <v>-15867</v>
      </c>
      <c r="BD307" s="225">
        <v>0</v>
      </c>
      <c r="BE307" s="225"/>
      <c r="BF307" s="225"/>
      <c r="BG307" s="225">
        <v>0</v>
      </c>
      <c r="BH307" s="225">
        <v>0</v>
      </c>
      <c r="BI307" s="225">
        <v>0</v>
      </c>
      <c r="BJ307" s="248"/>
      <c r="BK307" s="248"/>
      <c r="BL307" s="248">
        <v>-34593.919999999998</v>
      </c>
      <c r="BM307" s="248">
        <f t="shared" si="149"/>
        <v>45830.080000000002</v>
      </c>
      <c r="BN307" s="249"/>
      <c r="BO307" s="225"/>
      <c r="BP307" s="248"/>
      <c r="BQ307" s="249">
        <v>-4352.87</v>
      </c>
      <c r="BR307" s="225">
        <v>-14184.43</v>
      </c>
      <c r="BS307" s="225"/>
      <c r="BT307" s="225"/>
      <c r="BU307" s="225"/>
      <c r="BV307" s="225"/>
      <c r="BW307" s="225"/>
      <c r="BX307" s="225"/>
      <c r="BY307" s="225"/>
      <c r="BZ307" s="225"/>
      <c r="CA307" s="225"/>
      <c r="CB307" s="225"/>
      <c r="CC307" s="227">
        <f t="shared" si="148"/>
        <v>27292.78</v>
      </c>
      <c r="CD307" s="244"/>
      <c r="CE307" s="244"/>
      <c r="CF307" s="244"/>
    </row>
    <row r="308" spans="1:84" x14ac:dyDescent="0.2">
      <c r="A308" s="245" t="s">
        <v>23</v>
      </c>
      <c r="B308" s="246" t="s">
        <v>60</v>
      </c>
      <c r="C308" s="246" t="s">
        <v>507</v>
      </c>
      <c r="D308" s="246" t="s">
        <v>512</v>
      </c>
      <c r="E308" s="247" t="s">
        <v>167</v>
      </c>
      <c r="F308" s="247"/>
      <c r="G308" s="233"/>
      <c r="H308" s="233"/>
      <c r="I308" s="233"/>
      <c r="J308" s="233"/>
      <c r="K308" s="233"/>
      <c r="L308" s="247"/>
      <c r="M308" s="225"/>
      <c r="N308" s="225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  <c r="AA308" s="225"/>
      <c r="AB308" s="225"/>
      <c r="AC308" s="225"/>
      <c r="AD308" s="225"/>
      <c r="AE308" s="225"/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48"/>
      <c r="AU308" s="248"/>
      <c r="AV308" s="248"/>
      <c r="AW308" s="227"/>
      <c r="AX308" s="249"/>
      <c r="AY308" s="225"/>
      <c r="AZ308" s="227">
        <v>20000</v>
      </c>
      <c r="BA308" s="250"/>
      <c r="BB308" s="225"/>
      <c r="BC308" s="225"/>
      <c r="BD308" s="225"/>
      <c r="BE308" s="225"/>
      <c r="BF308" s="225"/>
      <c r="BG308" s="225"/>
      <c r="BH308" s="225"/>
      <c r="BI308" s="225"/>
      <c r="BJ308" s="248"/>
      <c r="BK308" s="248"/>
      <c r="BL308" s="248"/>
      <c r="BM308" s="248">
        <f t="shared" si="149"/>
        <v>20000</v>
      </c>
      <c r="BN308" s="249"/>
      <c r="BO308" s="225"/>
      <c r="BP308" s="248">
        <v>20000</v>
      </c>
      <c r="BQ308" s="249"/>
      <c r="BR308" s="225"/>
      <c r="BS308" s="225"/>
      <c r="BT308" s="225"/>
      <c r="BU308" s="225"/>
      <c r="BV308" s="225"/>
      <c r="BW308" s="225"/>
      <c r="BX308" s="225"/>
      <c r="BY308" s="225"/>
      <c r="BZ308" s="225"/>
      <c r="CA308" s="225"/>
      <c r="CB308" s="225"/>
      <c r="CC308" s="227">
        <f t="shared" si="148"/>
        <v>40000</v>
      </c>
      <c r="CD308" s="244"/>
      <c r="CE308" s="244"/>
      <c r="CF308" s="244"/>
    </row>
    <row r="309" spans="1:84" x14ac:dyDescent="0.2">
      <c r="A309" s="245" t="s">
        <v>23</v>
      </c>
      <c r="B309" s="246" t="s">
        <v>436</v>
      </c>
      <c r="C309" s="246" t="s">
        <v>507</v>
      </c>
      <c r="D309" s="246" t="s">
        <v>519</v>
      </c>
      <c r="E309" s="247" t="s">
        <v>167</v>
      </c>
      <c r="F309" s="247"/>
      <c r="G309" s="233"/>
      <c r="H309" s="233"/>
      <c r="I309" s="233"/>
      <c r="J309" s="233"/>
      <c r="K309" s="233"/>
      <c r="L309" s="247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  <c r="AA309" s="225"/>
      <c r="AB309" s="225"/>
      <c r="AC309" s="225"/>
      <c r="AD309" s="225"/>
      <c r="AE309" s="225"/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48"/>
      <c r="AU309" s="248"/>
      <c r="AV309" s="248"/>
      <c r="AW309" s="227"/>
      <c r="AX309" s="249"/>
      <c r="AY309" s="225"/>
      <c r="AZ309" s="227">
        <v>20000</v>
      </c>
      <c r="BA309" s="250"/>
      <c r="BB309" s="225"/>
      <c r="BC309" s="225"/>
      <c r="BD309" s="225"/>
      <c r="BE309" s="225"/>
      <c r="BF309" s="225"/>
      <c r="BG309" s="225"/>
      <c r="BH309" s="225"/>
      <c r="BI309" s="225"/>
      <c r="BJ309" s="248"/>
      <c r="BK309" s="248"/>
      <c r="BL309" s="248"/>
      <c r="BM309" s="248">
        <f t="shared" si="149"/>
        <v>20000</v>
      </c>
      <c r="BN309" s="249"/>
      <c r="BO309" s="225"/>
      <c r="BP309" s="248">
        <v>20000</v>
      </c>
      <c r="BQ309" s="249"/>
      <c r="BR309" s="225"/>
      <c r="BS309" s="225"/>
      <c r="BT309" s="225"/>
      <c r="BU309" s="225"/>
      <c r="BV309" s="225"/>
      <c r="BW309" s="225"/>
      <c r="BX309" s="225"/>
      <c r="BY309" s="225"/>
      <c r="BZ309" s="225"/>
      <c r="CA309" s="225"/>
      <c r="CB309" s="225"/>
      <c r="CC309" s="227">
        <f t="shared" si="148"/>
        <v>40000</v>
      </c>
      <c r="CD309" s="244"/>
      <c r="CE309" s="244"/>
      <c r="CF309" s="244"/>
    </row>
    <row r="310" spans="1:84" x14ac:dyDescent="0.2">
      <c r="A310" s="251" t="s">
        <v>224</v>
      </c>
      <c r="B310" s="247" t="s">
        <v>226</v>
      </c>
      <c r="C310" s="246" t="s">
        <v>225</v>
      </c>
      <c r="D310" s="246" t="s">
        <v>227</v>
      </c>
      <c r="E310" s="247" t="s">
        <v>167</v>
      </c>
      <c r="F310" s="247" t="s">
        <v>728</v>
      </c>
      <c r="G310" s="233" t="str">
        <f>IF(M310&gt;0, "1", "0")</f>
        <v>1</v>
      </c>
      <c r="H310" s="233" t="str">
        <f>IF(S310&gt;0, "1", "0")</f>
        <v>0</v>
      </c>
      <c r="I310" s="233" t="str">
        <f>IF(AI310&gt;0, "1", "0")</f>
        <v>0</v>
      </c>
      <c r="J310" s="233" t="str">
        <f>IF(AZ310&gt;0, "1", "0")</f>
        <v>0</v>
      </c>
      <c r="K310" s="233" t="str">
        <f>CONCATENATE(G310,H310,I310,J310)</f>
        <v>1000</v>
      </c>
      <c r="L310" s="247" t="str">
        <f>A310&amp;B310&amp;E310</f>
        <v>21809149Engagement Planning</v>
      </c>
      <c r="M310" s="225">
        <v>10478</v>
      </c>
      <c r="N310" s="225"/>
      <c r="O310" s="225"/>
      <c r="P310" s="225"/>
      <c r="Q310" s="225">
        <f>SUM(M310:P310)</f>
        <v>10478</v>
      </c>
      <c r="R310" s="225"/>
      <c r="S310" s="225">
        <v>0</v>
      </c>
      <c r="T310" s="225"/>
      <c r="U310" s="225"/>
      <c r="V310" s="225"/>
      <c r="W310" s="225">
        <v>-10478</v>
      </c>
      <c r="X310" s="225"/>
      <c r="Y310" s="225"/>
      <c r="Z310" s="225"/>
      <c r="AA310" s="225"/>
      <c r="AB310" s="225"/>
      <c r="AC310" s="225"/>
      <c r="AD310" s="225"/>
      <c r="AE310" s="225"/>
      <c r="AF310" s="225">
        <f>SUM(Q310:AE310)</f>
        <v>0</v>
      </c>
      <c r="AG310" s="225"/>
      <c r="AH310" s="225">
        <v>0</v>
      </c>
      <c r="AI310" s="225"/>
      <c r="AJ310" s="225"/>
      <c r="AK310" s="225"/>
      <c r="AL310" s="225"/>
      <c r="AM310" s="225"/>
      <c r="AN310" s="225">
        <v>0</v>
      </c>
      <c r="AO310" s="225">
        <v>0</v>
      </c>
      <c r="AP310" s="225"/>
      <c r="AQ310" s="225"/>
      <c r="AR310" s="225"/>
      <c r="AS310" s="225"/>
      <c r="AT310" s="248">
        <v>0</v>
      </c>
      <c r="AU310" s="248">
        <v>0</v>
      </c>
      <c r="AV310" s="248">
        <v>0</v>
      </c>
      <c r="AW310" s="227">
        <f>SUM(AF310:AV310)</f>
        <v>0</v>
      </c>
      <c r="AX310" s="249">
        <v>0</v>
      </c>
      <c r="AY310" s="225">
        <v>0</v>
      </c>
      <c r="AZ310" s="227"/>
      <c r="BA310" s="250">
        <v>0</v>
      </c>
      <c r="BB310" s="225">
        <v>0</v>
      </c>
      <c r="BC310" s="225">
        <v>0</v>
      </c>
      <c r="BD310" s="225">
        <v>0</v>
      </c>
      <c r="BE310" s="225"/>
      <c r="BF310" s="225"/>
      <c r="BG310" s="225">
        <v>0</v>
      </c>
      <c r="BH310" s="225">
        <v>0</v>
      </c>
      <c r="BI310" s="225">
        <v>0</v>
      </c>
      <c r="BJ310" s="248"/>
      <c r="BK310" s="248"/>
      <c r="BL310" s="248"/>
      <c r="BM310" s="248">
        <f t="shared" si="149"/>
        <v>0</v>
      </c>
      <c r="BN310" s="249"/>
      <c r="BO310" s="225"/>
      <c r="BP310" s="248"/>
      <c r="BQ310" s="249"/>
      <c r="BR310" s="225"/>
      <c r="BS310" s="225"/>
      <c r="BT310" s="225"/>
      <c r="BU310" s="225"/>
      <c r="BV310" s="225"/>
      <c r="BW310" s="225"/>
      <c r="BX310" s="225"/>
      <c r="BY310" s="225"/>
      <c r="BZ310" s="225"/>
      <c r="CA310" s="225"/>
      <c r="CB310" s="225"/>
      <c r="CC310" s="227">
        <f t="shared" si="148"/>
        <v>0</v>
      </c>
      <c r="CD310" s="244"/>
      <c r="CE310" s="244"/>
      <c r="CF310" s="244"/>
    </row>
    <row r="311" spans="1:84" x14ac:dyDescent="0.2">
      <c r="A311" s="245" t="s">
        <v>21</v>
      </c>
      <c r="B311" s="246" t="s">
        <v>49</v>
      </c>
      <c r="C311" s="246" t="s">
        <v>100</v>
      </c>
      <c r="D311" s="246" t="s">
        <v>125</v>
      </c>
      <c r="E311" s="247" t="s">
        <v>167</v>
      </c>
      <c r="F311" s="247" t="s">
        <v>728</v>
      </c>
      <c r="G311" s="233" t="str">
        <f>IF(M311&gt;0, "1", "0")</f>
        <v>1</v>
      </c>
      <c r="H311" s="233" t="str">
        <f>IF(S311&gt;0, "1", "0")</f>
        <v>1</v>
      </c>
      <c r="I311" s="233" t="str">
        <f>IF(AI311&gt;0, "1", "0")</f>
        <v>0</v>
      </c>
      <c r="J311" s="233" t="str">
        <f>IF(AZ311&gt;0, "1", "0")</f>
        <v>0</v>
      </c>
      <c r="K311" s="233" t="str">
        <f>CONCATENATE(G311,H311,I311,J311)</f>
        <v>1100</v>
      </c>
      <c r="L311" s="247" t="str">
        <f>A311&amp;B311&amp;E311</f>
        <v>31203880Engagement Planning</v>
      </c>
      <c r="M311" s="225">
        <v>11906</v>
      </c>
      <c r="N311" s="225"/>
      <c r="O311" s="225">
        <v>-1245</v>
      </c>
      <c r="P311" s="225"/>
      <c r="Q311" s="225">
        <f>SUM(M311:P311)</f>
        <v>10661</v>
      </c>
      <c r="R311" s="225"/>
      <c r="S311" s="225">
        <v>10000</v>
      </c>
      <c r="T311" s="225"/>
      <c r="U311" s="225"/>
      <c r="V311" s="225">
        <v>-2363</v>
      </c>
      <c r="W311" s="225"/>
      <c r="X311" s="225">
        <v>-2414</v>
      </c>
      <c r="Y311" s="225">
        <v>-4751</v>
      </c>
      <c r="Z311" s="225">
        <v>-1133</v>
      </c>
      <c r="AA311" s="225"/>
      <c r="AB311" s="225"/>
      <c r="AC311" s="225"/>
      <c r="AD311" s="225"/>
      <c r="AE311" s="225">
        <v>-4879.8999999999996</v>
      </c>
      <c r="AF311" s="225">
        <f>SUM(Q311:AE311)</f>
        <v>5120.1000000000004</v>
      </c>
      <c r="AG311" s="225"/>
      <c r="AH311" s="225">
        <v>0</v>
      </c>
      <c r="AI311" s="225"/>
      <c r="AJ311" s="225"/>
      <c r="AK311" s="225"/>
      <c r="AL311" s="225"/>
      <c r="AM311" s="225">
        <v>-340.62</v>
      </c>
      <c r="AN311" s="225">
        <v>0</v>
      </c>
      <c r="AO311" s="225">
        <v>0</v>
      </c>
      <c r="AP311" s="225"/>
      <c r="AQ311" s="225"/>
      <c r="AR311" s="225"/>
      <c r="AS311" s="225"/>
      <c r="AT311" s="248">
        <v>-4779.4799999999996</v>
      </c>
      <c r="AU311" s="248">
        <v>0</v>
      </c>
      <c r="AV311" s="248">
        <v>0</v>
      </c>
      <c r="AW311" s="227">
        <f>SUM(AF311:AV311)</f>
        <v>9.0949470177292824E-13</v>
      </c>
      <c r="AX311" s="249">
        <v>0</v>
      </c>
      <c r="AY311" s="225">
        <v>0</v>
      </c>
      <c r="AZ311" s="227"/>
      <c r="BA311" s="250">
        <v>0</v>
      </c>
      <c r="BB311" s="225">
        <v>0</v>
      </c>
      <c r="BC311" s="225">
        <v>0</v>
      </c>
      <c r="BD311" s="225">
        <v>0</v>
      </c>
      <c r="BE311" s="225"/>
      <c r="BF311" s="225"/>
      <c r="BG311" s="225">
        <v>0</v>
      </c>
      <c r="BH311" s="225">
        <v>0</v>
      </c>
      <c r="BI311" s="225">
        <v>0</v>
      </c>
      <c r="BJ311" s="248"/>
      <c r="BK311" s="248"/>
      <c r="BL311" s="248"/>
      <c r="BM311" s="248">
        <f t="shared" si="149"/>
        <v>9.0949470177292824E-13</v>
      </c>
      <c r="BN311" s="249"/>
      <c r="BO311" s="225"/>
      <c r="BP311" s="248"/>
      <c r="BQ311" s="249"/>
      <c r="BR311" s="225"/>
      <c r="BS311" s="225"/>
      <c r="BT311" s="225"/>
      <c r="BU311" s="225"/>
      <c r="BV311" s="225"/>
      <c r="BW311" s="225"/>
      <c r="BX311" s="225"/>
      <c r="BY311" s="225"/>
      <c r="BZ311" s="225"/>
      <c r="CA311" s="225"/>
      <c r="CB311" s="225"/>
      <c r="CC311" s="227">
        <f t="shared" si="148"/>
        <v>9.0949470177292824E-13</v>
      </c>
      <c r="CD311" s="244"/>
      <c r="CE311" s="244"/>
      <c r="CF311" s="244"/>
    </row>
    <row r="312" spans="1:84" x14ac:dyDescent="0.2">
      <c r="A312" s="245" t="s">
        <v>11</v>
      </c>
      <c r="B312" s="246" t="s">
        <v>34</v>
      </c>
      <c r="C312" s="246" t="s">
        <v>92</v>
      </c>
      <c r="D312" s="246" t="s">
        <v>111</v>
      </c>
      <c r="E312" s="247" t="s">
        <v>698</v>
      </c>
      <c r="F312" s="247" t="s">
        <v>729</v>
      </c>
      <c r="G312" s="233" t="str">
        <f>IF(M312&gt;0, "1", "0")</f>
        <v>0</v>
      </c>
      <c r="H312" s="233" t="str">
        <f>IF(S312&gt;0, "1", "0")</f>
        <v>0</v>
      </c>
      <c r="I312" s="233" t="str">
        <f>IF(AI312&gt;0, "1", "0")</f>
        <v>0</v>
      </c>
      <c r="J312" s="233" t="str">
        <f>IF(AZ312&gt;0, "1", "0")</f>
        <v>1</v>
      </c>
      <c r="K312" s="233" t="str">
        <f>CONCATENATE(G312,H312,I312,J312)</f>
        <v>0001</v>
      </c>
      <c r="L312" s="247" t="str">
        <f>A312&amp;B312&amp;E312</f>
        <v>0060N/AReallocated Assistance Fund</v>
      </c>
      <c r="M312" s="255"/>
      <c r="N312" s="255"/>
      <c r="O312" s="255"/>
      <c r="P312" s="255"/>
      <c r="Q312" s="225"/>
      <c r="R312" s="225"/>
      <c r="S312" s="225">
        <v>0</v>
      </c>
      <c r="T312" s="255"/>
      <c r="U312" s="255"/>
      <c r="V312" s="255"/>
      <c r="W312" s="255"/>
      <c r="X312" s="255"/>
      <c r="Y312" s="255"/>
      <c r="Z312" s="255"/>
      <c r="AA312" s="255"/>
      <c r="AB312" s="255"/>
      <c r="AC312" s="225"/>
      <c r="AD312" s="255"/>
      <c r="AE312" s="225"/>
      <c r="AF312" s="225">
        <f>SUM(Q312:AE312)</f>
        <v>0</v>
      </c>
      <c r="AG312" s="225"/>
      <c r="AH312" s="225">
        <v>0</v>
      </c>
      <c r="AI312" s="225"/>
      <c r="AJ312" s="255"/>
      <c r="AK312" s="255"/>
      <c r="AL312" s="255"/>
      <c r="AM312" s="255"/>
      <c r="AN312" s="225">
        <v>0</v>
      </c>
      <c r="AO312" s="225">
        <v>0</v>
      </c>
      <c r="AP312" s="255"/>
      <c r="AQ312" s="255"/>
      <c r="AR312" s="225"/>
      <c r="AS312" s="225"/>
      <c r="AT312" s="248"/>
      <c r="AU312" s="248"/>
      <c r="AV312" s="248"/>
      <c r="AW312" s="227">
        <f>SUM(AF312:AV312)</f>
        <v>0</v>
      </c>
      <c r="AX312" s="249"/>
      <c r="AY312" s="225"/>
      <c r="AZ312" s="227">
        <v>29486</v>
      </c>
      <c r="BA312" s="250"/>
      <c r="BB312" s="225"/>
      <c r="BC312" s="255"/>
      <c r="BD312" s="225"/>
      <c r="BE312" s="225">
        <v>-7371.5</v>
      </c>
      <c r="BF312" s="255"/>
      <c r="BG312" s="255">
        <v>0</v>
      </c>
      <c r="BH312" s="225">
        <v>-7371.5</v>
      </c>
      <c r="BI312" s="225">
        <v>0</v>
      </c>
      <c r="BJ312" s="248"/>
      <c r="BK312" s="248">
        <v>-14743</v>
      </c>
      <c r="BL312" s="248"/>
      <c r="BM312" s="248">
        <f t="shared" si="149"/>
        <v>0</v>
      </c>
      <c r="BN312" s="249"/>
      <c r="BO312" s="225"/>
      <c r="BP312" s="248"/>
      <c r="BQ312" s="249"/>
      <c r="BR312" s="225"/>
      <c r="BS312" s="225"/>
      <c r="BT312" s="225"/>
      <c r="BU312" s="225"/>
      <c r="BV312" s="225"/>
      <c r="BW312" s="225"/>
      <c r="BX312" s="225"/>
      <c r="BY312" s="225"/>
      <c r="BZ312" s="225"/>
      <c r="CA312" s="225"/>
      <c r="CB312" s="225"/>
      <c r="CC312" s="227">
        <f t="shared" si="148"/>
        <v>0</v>
      </c>
      <c r="CD312" s="244"/>
      <c r="CE312" s="244"/>
      <c r="CF312" s="244"/>
    </row>
    <row r="313" spans="1:84" x14ac:dyDescent="0.2">
      <c r="A313" s="251" t="s">
        <v>20</v>
      </c>
      <c r="B313" s="246" t="s">
        <v>34</v>
      </c>
      <c r="C313" s="246" t="s">
        <v>99</v>
      </c>
      <c r="D313" s="246" t="s">
        <v>111</v>
      </c>
      <c r="E313" s="247" t="s">
        <v>698</v>
      </c>
      <c r="F313" s="247" t="s">
        <v>729</v>
      </c>
      <c r="G313" s="233" t="str">
        <f>IF(M313&gt;0, "1", "0")</f>
        <v>0</v>
      </c>
      <c r="H313" s="233" t="str">
        <f>IF(S313&gt;0, "1", "0")</f>
        <v>0</v>
      </c>
      <c r="I313" s="233" t="str">
        <f>IF(AI313&gt;0, "1", "0")</f>
        <v>0</v>
      </c>
      <c r="J313" s="233" t="str">
        <f>IF(AZ313&gt;0, "1", "0")</f>
        <v>1</v>
      </c>
      <c r="K313" s="233" t="str">
        <f>CONCATENATE(G313,H313,I313,J313)</f>
        <v>0001</v>
      </c>
      <c r="L313" s="247" t="str">
        <f>A313&amp;B313&amp;E313</f>
        <v>2760N/AReallocated Assistance Fund</v>
      </c>
      <c r="M313" s="225"/>
      <c r="N313" s="225"/>
      <c r="O313" s="225"/>
      <c r="P313" s="225"/>
      <c r="Q313" s="225"/>
      <c r="R313" s="225"/>
      <c r="S313" s="225">
        <v>0</v>
      </c>
      <c r="T313" s="225"/>
      <c r="U313" s="225"/>
      <c r="V313" s="225"/>
      <c r="W313" s="225"/>
      <c r="X313" s="225"/>
      <c r="Y313" s="225"/>
      <c r="Z313" s="225"/>
      <c r="AA313" s="225"/>
      <c r="AB313" s="225"/>
      <c r="AC313" s="225"/>
      <c r="AD313" s="225"/>
      <c r="AE313" s="225"/>
      <c r="AF313" s="225">
        <f>SUM(Q313:AE313)</f>
        <v>0</v>
      </c>
      <c r="AG313" s="255"/>
      <c r="AH313" s="255">
        <v>0</v>
      </c>
      <c r="AI313" s="255"/>
      <c r="AJ313" s="225"/>
      <c r="AK313" s="225"/>
      <c r="AL313" s="225"/>
      <c r="AM313" s="225"/>
      <c r="AN313" s="225">
        <v>0</v>
      </c>
      <c r="AO313" s="225">
        <v>0</v>
      </c>
      <c r="AP313" s="225"/>
      <c r="AQ313" s="255"/>
      <c r="AR313" s="225"/>
      <c r="AS313" s="225"/>
      <c r="AT313" s="248"/>
      <c r="AU313" s="248"/>
      <c r="AV313" s="248"/>
      <c r="AW313" s="227">
        <f>SUM(AF313:AV313)</f>
        <v>0</v>
      </c>
      <c r="AX313" s="257"/>
      <c r="AY313" s="255"/>
      <c r="AZ313" s="258">
        <v>25257</v>
      </c>
      <c r="BA313" s="250"/>
      <c r="BB313" s="225"/>
      <c r="BC313" s="225"/>
      <c r="BD313" s="225"/>
      <c r="BE313" s="225"/>
      <c r="BF313" s="225"/>
      <c r="BG313" s="255">
        <v>0</v>
      </c>
      <c r="BH313" s="225">
        <v>0</v>
      </c>
      <c r="BI313" s="225">
        <v>0</v>
      </c>
      <c r="BJ313" s="248"/>
      <c r="BK313" s="248"/>
      <c r="BL313" s="248"/>
      <c r="BM313" s="248">
        <f t="shared" si="149"/>
        <v>25257</v>
      </c>
      <c r="BN313" s="257"/>
      <c r="BO313" s="255"/>
      <c r="BP313" s="256"/>
      <c r="BQ313" s="249"/>
      <c r="BR313" s="225"/>
      <c r="BS313" s="225"/>
      <c r="BT313" s="225"/>
      <c r="BU313" s="225"/>
      <c r="BV313" s="225"/>
      <c r="BW313" s="225"/>
      <c r="BX313" s="225"/>
      <c r="BY313" s="225"/>
      <c r="BZ313" s="225"/>
      <c r="CA313" s="225"/>
      <c r="CB313" s="225"/>
      <c r="CC313" s="227">
        <f t="shared" si="148"/>
        <v>25257</v>
      </c>
      <c r="CD313" s="244"/>
      <c r="CE313" s="244"/>
      <c r="CF313" s="244"/>
    </row>
    <row r="314" spans="1:84" x14ac:dyDescent="0.2">
      <c r="A314" s="245" t="s">
        <v>8</v>
      </c>
      <c r="B314" s="246" t="s">
        <v>782</v>
      </c>
      <c r="C314" s="246" t="s">
        <v>89</v>
      </c>
      <c r="D314" s="246" t="s">
        <v>783</v>
      </c>
      <c r="E314" s="246" t="s">
        <v>509</v>
      </c>
      <c r="F314" s="246"/>
      <c r="G314" s="233"/>
      <c r="H314" s="233"/>
      <c r="I314" s="233"/>
      <c r="J314" s="233"/>
      <c r="K314" s="233"/>
      <c r="L314" s="246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25"/>
      <c r="Z314" s="225"/>
      <c r="AA314" s="225"/>
      <c r="AB314" s="225"/>
      <c r="AC314" s="225"/>
      <c r="AD314" s="225"/>
      <c r="AE314" s="225"/>
      <c r="AF314" s="225"/>
      <c r="AG314" s="225"/>
      <c r="AH314" s="225"/>
      <c r="AI314" s="225"/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48"/>
      <c r="AU314" s="248"/>
      <c r="AV314" s="248"/>
      <c r="AW314" s="227"/>
      <c r="AX314" s="249"/>
      <c r="AY314" s="225"/>
      <c r="AZ314" s="227">
        <v>48500</v>
      </c>
      <c r="BA314" s="250"/>
      <c r="BB314" s="225"/>
      <c r="BC314" s="225"/>
      <c r="BD314" s="225"/>
      <c r="BE314" s="225"/>
      <c r="BF314" s="225"/>
      <c r="BG314" s="225"/>
      <c r="BH314" s="225"/>
      <c r="BI314" s="225"/>
      <c r="BJ314" s="248"/>
      <c r="BK314" s="248"/>
      <c r="BL314" s="248"/>
      <c r="BM314" s="248">
        <f t="shared" si="149"/>
        <v>48500</v>
      </c>
      <c r="BN314" s="249"/>
      <c r="BO314" s="225"/>
      <c r="BP314" s="248">
        <v>38500</v>
      </c>
      <c r="BQ314" s="249"/>
      <c r="BR314" s="225">
        <v>-48500</v>
      </c>
      <c r="BS314" s="225"/>
      <c r="BT314" s="225"/>
      <c r="BU314" s="225"/>
      <c r="BV314" s="225"/>
      <c r="BW314" s="225"/>
      <c r="BX314" s="225"/>
      <c r="BY314" s="225"/>
      <c r="BZ314" s="225"/>
      <c r="CA314" s="225"/>
      <c r="CB314" s="225"/>
      <c r="CC314" s="227">
        <f t="shared" si="148"/>
        <v>38500</v>
      </c>
      <c r="CD314" s="244"/>
      <c r="CE314" s="244"/>
      <c r="CF314" s="244"/>
    </row>
    <row r="315" spans="1:84" x14ac:dyDescent="0.2">
      <c r="A315" s="245" t="s">
        <v>224</v>
      </c>
      <c r="B315" s="246" t="s">
        <v>226</v>
      </c>
      <c r="C315" s="246" t="s">
        <v>225</v>
      </c>
      <c r="D315" s="246" t="s">
        <v>227</v>
      </c>
      <c r="E315" s="246" t="s">
        <v>509</v>
      </c>
      <c r="F315" s="246" t="s">
        <v>715</v>
      </c>
      <c r="G315" s="233" t="str">
        <f>IF(M315&gt;0, "1", "0")</f>
        <v>0</v>
      </c>
      <c r="H315" s="233" t="str">
        <f>IF(S315&gt;0, "1", "0")</f>
        <v>0</v>
      </c>
      <c r="I315" s="233" t="str">
        <f>IF(AI315&gt;0, "1", "0")</f>
        <v>1</v>
      </c>
      <c r="J315" s="233" t="str">
        <f>IF(AZ315&gt;0, "1", "0")</f>
        <v>0</v>
      </c>
      <c r="K315" s="233" t="str">
        <f>CONCATENATE(G315,H315,I315,J315)</f>
        <v>0010</v>
      </c>
      <c r="L315" s="246" t="str">
        <f>A315&amp;B315&amp;E315</f>
        <v>21809149School Turnaround Leaders Program</v>
      </c>
      <c r="M315" s="225"/>
      <c r="N315" s="225"/>
      <c r="O315" s="225"/>
      <c r="P315" s="225"/>
      <c r="Q315" s="225">
        <f>SUM(M315:P315)</f>
        <v>0</v>
      </c>
      <c r="R315" s="225"/>
      <c r="S315" s="225">
        <v>0</v>
      </c>
      <c r="T315" s="225"/>
      <c r="U315" s="225"/>
      <c r="V315" s="225"/>
      <c r="W315" s="225"/>
      <c r="X315" s="225"/>
      <c r="Y315" s="225"/>
      <c r="Z315" s="225"/>
      <c r="AA315" s="225"/>
      <c r="AB315" s="225"/>
      <c r="AC315" s="225"/>
      <c r="AD315" s="225"/>
      <c r="AE315" s="225"/>
      <c r="AF315" s="225">
        <f>SUM(Q315:AE315)</f>
        <v>0</v>
      </c>
      <c r="AG315" s="225"/>
      <c r="AH315" s="225">
        <v>0</v>
      </c>
      <c r="AI315" s="225">
        <v>148512</v>
      </c>
      <c r="AJ315" s="225"/>
      <c r="AK315" s="225"/>
      <c r="AL315" s="225"/>
      <c r="AM315" s="225"/>
      <c r="AN315" s="225">
        <v>0</v>
      </c>
      <c r="AO315" s="225">
        <v>0</v>
      </c>
      <c r="AP315" s="225"/>
      <c r="AQ315" s="225"/>
      <c r="AR315" s="225"/>
      <c r="AS315" s="225"/>
      <c r="AT315" s="248">
        <v>0</v>
      </c>
      <c r="AU315" s="248">
        <v>0</v>
      </c>
      <c r="AV315" s="248">
        <v>0</v>
      </c>
      <c r="AW315" s="227">
        <f>SUM(AF315:AV315)</f>
        <v>148512</v>
      </c>
      <c r="AX315" s="249">
        <v>0</v>
      </c>
      <c r="AY315" s="225">
        <v>0</v>
      </c>
      <c r="AZ315" s="227"/>
      <c r="BA315" s="250">
        <v>0</v>
      </c>
      <c r="BB315" s="225">
        <v>0</v>
      </c>
      <c r="BC315" s="225">
        <v>0</v>
      </c>
      <c r="BD315" s="225">
        <v>0</v>
      </c>
      <c r="BE315" s="225"/>
      <c r="BF315" s="225"/>
      <c r="BG315" s="225">
        <v>0</v>
      </c>
      <c r="BH315" s="225">
        <v>-38000</v>
      </c>
      <c r="BI315" s="225">
        <v>0</v>
      </c>
      <c r="BJ315" s="248"/>
      <c r="BK315" s="248"/>
      <c r="BL315" s="248"/>
      <c r="BM315" s="248">
        <f t="shared" si="149"/>
        <v>110512</v>
      </c>
      <c r="BN315" s="249"/>
      <c r="BO315" s="225"/>
      <c r="BP315" s="248"/>
      <c r="BQ315" s="249"/>
      <c r="BR315" s="225"/>
      <c r="BS315" s="225"/>
      <c r="BT315" s="225"/>
      <c r="BU315" s="225"/>
      <c r="BV315" s="225"/>
      <c r="BW315" s="225">
        <v>-16248.08</v>
      </c>
      <c r="BX315" s="225">
        <v>-76248.08</v>
      </c>
      <c r="BY315" s="225"/>
      <c r="BZ315" s="225"/>
      <c r="CA315" s="225"/>
      <c r="CB315" s="225"/>
      <c r="CC315" s="227">
        <f t="shared" si="148"/>
        <v>18015.839999999997</v>
      </c>
      <c r="CD315" s="244"/>
      <c r="CE315" s="244"/>
      <c r="CF315" s="244"/>
    </row>
    <row r="316" spans="1:84" x14ac:dyDescent="0.2">
      <c r="A316" s="245" t="s">
        <v>792</v>
      </c>
      <c r="B316" s="246" t="s">
        <v>793</v>
      </c>
      <c r="C316" s="246" t="s">
        <v>794</v>
      </c>
      <c r="D316" s="246" t="s">
        <v>795</v>
      </c>
      <c r="E316" s="246" t="s">
        <v>509</v>
      </c>
      <c r="F316" s="246"/>
      <c r="G316" s="233"/>
      <c r="H316" s="233"/>
      <c r="I316" s="233"/>
      <c r="J316" s="233"/>
      <c r="K316" s="233"/>
      <c r="L316" s="246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25"/>
      <c r="Z316" s="225"/>
      <c r="AA316" s="225"/>
      <c r="AB316" s="225"/>
      <c r="AC316" s="225"/>
      <c r="AD316" s="225"/>
      <c r="AE316" s="225"/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48"/>
      <c r="AU316" s="248"/>
      <c r="AV316" s="248"/>
      <c r="AW316" s="227"/>
      <c r="AX316" s="249"/>
      <c r="AY316" s="225"/>
      <c r="AZ316" s="227">
        <v>42000</v>
      </c>
      <c r="BA316" s="250"/>
      <c r="BB316" s="225"/>
      <c r="BC316" s="225"/>
      <c r="BD316" s="225"/>
      <c r="BE316" s="225"/>
      <c r="BF316" s="225"/>
      <c r="BG316" s="225"/>
      <c r="BH316" s="225"/>
      <c r="BI316" s="225"/>
      <c r="BJ316" s="248"/>
      <c r="BK316" s="248"/>
      <c r="BL316" s="248"/>
      <c r="BM316" s="248">
        <f t="shared" si="149"/>
        <v>42000</v>
      </c>
      <c r="BN316" s="249"/>
      <c r="BO316" s="225"/>
      <c r="BP316" s="248">
        <v>76000</v>
      </c>
      <c r="BQ316" s="249"/>
      <c r="BR316" s="225"/>
      <c r="BS316" s="225"/>
      <c r="BT316" s="225"/>
      <c r="BU316" s="225"/>
      <c r="BV316" s="225"/>
      <c r="BW316" s="225"/>
      <c r="BX316" s="225"/>
      <c r="BY316" s="225"/>
      <c r="BZ316" s="225"/>
      <c r="CA316" s="225"/>
      <c r="CB316" s="225"/>
      <c r="CC316" s="227">
        <f t="shared" si="148"/>
        <v>118000</v>
      </c>
      <c r="CD316" s="244"/>
      <c r="CE316" s="244"/>
      <c r="CF316" s="244"/>
    </row>
    <row r="317" spans="1:84" x14ac:dyDescent="0.2">
      <c r="A317" s="245" t="s">
        <v>455</v>
      </c>
      <c r="B317" s="246" t="s">
        <v>784</v>
      </c>
      <c r="C317" s="246" t="s">
        <v>506</v>
      </c>
      <c r="D317" s="246" t="s">
        <v>785</v>
      </c>
      <c r="E317" s="246" t="s">
        <v>509</v>
      </c>
      <c r="F317" s="246"/>
      <c r="G317" s="233"/>
      <c r="H317" s="233"/>
      <c r="I317" s="233"/>
      <c r="J317" s="233"/>
      <c r="K317" s="233"/>
      <c r="L317" s="246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48"/>
      <c r="AU317" s="248"/>
      <c r="AV317" s="248"/>
      <c r="AW317" s="227"/>
      <c r="AX317" s="249"/>
      <c r="AY317" s="225"/>
      <c r="AZ317" s="227">
        <v>32980</v>
      </c>
      <c r="BA317" s="250"/>
      <c r="BB317" s="225"/>
      <c r="BC317" s="225"/>
      <c r="BD317" s="225"/>
      <c r="BE317" s="225"/>
      <c r="BF317" s="225"/>
      <c r="BG317" s="225"/>
      <c r="BH317" s="225"/>
      <c r="BI317" s="225"/>
      <c r="BJ317" s="248"/>
      <c r="BK317" s="248"/>
      <c r="BL317" s="248"/>
      <c r="BM317" s="248">
        <f t="shared" ref="BM317:BM348" si="151">SUM(AW317:BL317)</f>
        <v>32980</v>
      </c>
      <c r="BN317" s="249"/>
      <c r="BO317" s="225"/>
      <c r="BP317" s="248">
        <v>65030</v>
      </c>
      <c r="BQ317" s="249"/>
      <c r="BR317" s="225"/>
      <c r="BS317" s="225"/>
      <c r="BT317" s="225">
        <v>-20997</v>
      </c>
      <c r="BU317" s="225"/>
      <c r="BV317" s="225">
        <v>-3027.41</v>
      </c>
      <c r="BW317" s="225"/>
      <c r="BX317" s="225"/>
      <c r="BY317" s="225">
        <v>-30900</v>
      </c>
      <c r="BZ317" s="225"/>
      <c r="CA317" s="225"/>
      <c r="CB317" s="225"/>
      <c r="CC317" s="227">
        <f t="shared" si="148"/>
        <v>43085.59</v>
      </c>
      <c r="CD317" s="244"/>
      <c r="CE317" s="244"/>
      <c r="CF317" s="244"/>
    </row>
    <row r="318" spans="1:84" x14ac:dyDescent="0.2">
      <c r="A318" s="251" t="s">
        <v>455</v>
      </c>
      <c r="B318" s="247" t="s">
        <v>34</v>
      </c>
      <c r="C318" s="246" t="s">
        <v>506</v>
      </c>
      <c r="D318" s="246" t="s">
        <v>111</v>
      </c>
      <c r="E318" s="246" t="s">
        <v>509</v>
      </c>
      <c r="F318" s="246" t="s">
        <v>715</v>
      </c>
      <c r="G318" s="233" t="str">
        <f>IF(M318&gt;0, "1", "0")</f>
        <v>0</v>
      </c>
      <c r="H318" s="233" t="str">
        <f>IF(S318&gt;0, "1", "0")</f>
        <v>0</v>
      </c>
      <c r="I318" s="233" t="str">
        <f>IF(AI318&gt;0, "1", "0")</f>
        <v>0</v>
      </c>
      <c r="J318" s="233" t="str">
        <f>IF(AZ318&gt;0, "1", "0")</f>
        <v>0</v>
      </c>
      <c r="K318" s="233" t="str">
        <f>CONCATENATE(G318,H318,I318,J318)</f>
        <v>0000</v>
      </c>
      <c r="L318" s="246" t="str">
        <f>A318&amp;B318&amp;E318</f>
        <v>0480N/ASchool Turnaround Leaders Program</v>
      </c>
      <c r="M318" s="225"/>
      <c r="N318" s="225"/>
      <c r="O318" s="225"/>
      <c r="P318" s="225"/>
      <c r="Q318" s="225">
        <f>SUM(M318:P318)</f>
        <v>0</v>
      </c>
      <c r="R318" s="225"/>
      <c r="S318" s="225">
        <v>0</v>
      </c>
      <c r="T318" s="225"/>
      <c r="U318" s="225"/>
      <c r="V318" s="225"/>
      <c r="W318" s="225"/>
      <c r="X318" s="225"/>
      <c r="Y318" s="225"/>
      <c r="Z318" s="225"/>
      <c r="AA318" s="225"/>
      <c r="AB318" s="225"/>
      <c r="AC318" s="225"/>
      <c r="AD318" s="225"/>
      <c r="AE318" s="225"/>
      <c r="AF318" s="225">
        <f>SUM(Q318:AE318)</f>
        <v>0</v>
      </c>
      <c r="AG318" s="225"/>
      <c r="AH318" s="225">
        <v>96161</v>
      </c>
      <c r="AI318" s="225"/>
      <c r="AJ318" s="225"/>
      <c r="AK318" s="225"/>
      <c r="AL318" s="225"/>
      <c r="AM318" s="225"/>
      <c r="AN318" s="225">
        <v>0</v>
      </c>
      <c r="AO318" s="225">
        <v>0</v>
      </c>
      <c r="AP318" s="225"/>
      <c r="AQ318" s="225"/>
      <c r="AR318" s="225">
        <v>-14920</v>
      </c>
      <c r="AS318" s="225"/>
      <c r="AT318" s="248">
        <v>0</v>
      </c>
      <c r="AU318" s="248">
        <v>-38005.440000000002</v>
      </c>
      <c r="AV318" s="248">
        <v>0</v>
      </c>
      <c r="AW318" s="227">
        <f>SUM(AF318:AV318)</f>
        <v>43235.56</v>
      </c>
      <c r="AX318" s="249">
        <v>133195</v>
      </c>
      <c r="AY318" s="225">
        <v>0</v>
      </c>
      <c r="AZ318" s="227"/>
      <c r="BA318" s="250">
        <v>0</v>
      </c>
      <c r="BB318" s="225">
        <v>-200</v>
      </c>
      <c r="BC318" s="225">
        <v>0</v>
      </c>
      <c r="BD318" s="225">
        <v>-18400</v>
      </c>
      <c r="BE318" s="225"/>
      <c r="BF318" s="225">
        <v>-5500</v>
      </c>
      <c r="BG318" s="225">
        <v>0</v>
      </c>
      <c r="BH318" s="225">
        <v>0</v>
      </c>
      <c r="BI318" s="225">
        <v>-30300</v>
      </c>
      <c r="BJ318" s="248"/>
      <c r="BK318" s="248"/>
      <c r="BL318" s="248">
        <v>-3100</v>
      </c>
      <c r="BM318" s="248">
        <f t="shared" si="151"/>
        <v>118930.56</v>
      </c>
      <c r="BN318" s="249"/>
      <c r="BO318" s="225"/>
      <c r="BP318" s="248"/>
      <c r="BQ318" s="249"/>
      <c r="BR318" s="225"/>
      <c r="BS318" s="225"/>
      <c r="BT318" s="225">
        <v>-10472.74</v>
      </c>
      <c r="BU318" s="225"/>
      <c r="BV318" s="225">
        <v>-16169.49</v>
      </c>
      <c r="BW318" s="225"/>
      <c r="BX318" s="225"/>
      <c r="BY318" s="225">
        <v>-47621.2</v>
      </c>
      <c r="BZ318" s="225"/>
      <c r="CA318" s="225"/>
      <c r="CB318" s="225"/>
      <c r="CC318" s="227">
        <f t="shared" si="148"/>
        <v>44667.12999999999</v>
      </c>
      <c r="CD318" s="244"/>
      <c r="CE318" s="244"/>
      <c r="CF318" s="244"/>
    </row>
    <row r="319" spans="1:84" x14ac:dyDescent="0.2">
      <c r="A319" s="245" t="s">
        <v>23</v>
      </c>
      <c r="B319" s="246" t="s">
        <v>433</v>
      </c>
      <c r="C319" s="246" t="s">
        <v>507</v>
      </c>
      <c r="D319" s="246" t="s">
        <v>510</v>
      </c>
      <c r="E319" s="246" t="s">
        <v>509</v>
      </c>
      <c r="F319" s="246" t="s">
        <v>715</v>
      </c>
      <c r="G319" s="233" t="str">
        <f>IF(M319&gt;0, "1", "0")</f>
        <v>0</v>
      </c>
      <c r="H319" s="233" t="str">
        <f>IF(S319&gt;0, "1", "0")</f>
        <v>1</v>
      </c>
      <c r="I319" s="233" t="str">
        <f>IF(AI319&gt;0, "1", "0")</f>
        <v>0</v>
      </c>
      <c r="J319" s="233" t="str">
        <f>IF(AZ319&gt;0, "1", "0")</f>
        <v>0</v>
      </c>
      <c r="K319" s="233" t="str">
        <f>CONCATENATE(G319,H319,I319,J319)</f>
        <v>0100</v>
      </c>
      <c r="L319" s="246" t="str">
        <f>A319&amp;B319&amp;E319</f>
        <v>08800067School Turnaround Leaders Program</v>
      </c>
      <c r="M319" s="225"/>
      <c r="N319" s="225"/>
      <c r="O319" s="225"/>
      <c r="P319" s="225"/>
      <c r="Q319" s="225">
        <f>SUM(M319:P319)</f>
        <v>0</v>
      </c>
      <c r="R319" s="225"/>
      <c r="S319" s="225">
        <v>21560</v>
      </c>
      <c r="T319" s="225"/>
      <c r="U319" s="225"/>
      <c r="V319" s="225"/>
      <c r="W319" s="225"/>
      <c r="X319" s="225"/>
      <c r="Y319" s="225"/>
      <c r="Z319" s="225"/>
      <c r="AA319" s="225"/>
      <c r="AB319" s="225"/>
      <c r="AC319" s="225"/>
      <c r="AD319" s="225"/>
      <c r="AE319" s="225"/>
      <c r="AF319" s="225">
        <f>SUM(Q319:AE319)</f>
        <v>21560</v>
      </c>
      <c r="AG319" s="225"/>
      <c r="AH319" s="225">
        <v>0</v>
      </c>
      <c r="AI319" s="225"/>
      <c r="AJ319" s="225"/>
      <c r="AK319" s="225"/>
      <c r="AL319" s="225"/>
      <c r="AM319" s="225"/>
      <c r="AN319" s="225">
        <v>0</v>
      </c>
      <c r="AO319" s="225">
        <v>0</v>
      </c>
      <c r="AP319" s="225"/>
      <c r="AQ319" s="225"/>
      <c r="AR319" s="225"/>
      <c r="AS319" s="225"/>
      <c r="AT319" s="248">
        <v>0</v>
      </c>
      <c r="AU319" s="248">
        <v>0</v>
      </c>
      <c r="AV319" s="248">
        <v>0</v>
      </c>
      <c r="AW319" s="227">
        <f>SUM(AF319:AV319)</f>
        <v>21560</v>
      </c>
      <c r="AX319" s="249">
        <v>21808</v>
      </c>
      <c r="AY319" s="225">
        <v>0</v>
      </c>
      <c r="AZ319" s="227"/>
      <c r="BA319" s="250">
        <v>0</v>
      </c>
      <c r="BB319" s="225">
        <v>0</v>
      </c>
      <c r="BC319" s="225">
        <v>0</v>
      </c>
      <c r="BD319" s="225">
        <v>0</v>
      </c>
      <c r="BE319" s="225"/>
      <c r="BF319" s="225"/>
      <c r="BG319" s="225">
        <v>0</v>
      </c>
      <c r="BH319" s="225">
        <v>0</v>
      </c>
      <c r="BI319" s="225">
        <v>0</v>
      </c>
      <c r="BJ319" s="248"/>
      <c r="BK319" s="248"/>
      <c r="BL319" s="248"/>
      <c r="BM319" s="248">
        <f t="shared" si="151"/>
        <v>43368</v>
      </c>
      <c r="BN319" s="249"/>
      <c r="BO319" s="225"/>
      <c r="BP319" s="248"/>
      <c r="BQ319" s="249"/>
      <c r="BR319" s="225"/>
      <c r="BS319" s="225"/>
      <c r="BT319" s="225"/>
      <c r="BU319" s="225">
        <v>-29161.33</v>
      </c>
      <c r="BV319" s="225"/>
      <c r="BW319" s="225"/>
      <c r="BX319" s="225"/>
      <c r="BY319" s="225"/>
      <c r="BZ319" s="225"/>
      <c r="CA319" s="225"/>
      <c r="CB319" s="225"/>
      <c r="CC319" s="227">
        <f t="shared" si="148"/>
        <v>14206.669999999998</v>
      </c>
      <c r="CD319" s="244"/>
      <c r="CE319" s="244"/>
      <c r="CF319" s="244"/>
    </row>
    <row r="320" spans="1:84" x14ac:dyDescent="0.2">
      <c r="A320" s="245" t="s">
        <v>23</v>
      </c>
      <c r="B320" s="246" t="s">
        <v>433</v>
      </c>
      <c r="C320" s="246" t="s">
        <v>507</v>
      </c>
      <c r="D320" s="246" t="s">
        <v>510</v>
      </c>
      <c r="E320" s="246" t="s">
        <v>509</v>
      </c>
      <c r="F320" s="246"/>
      <c r="G320" s="233"/>
      <c r="H320" s="233"/>
      <c r="I320" s="233"/>
      <c r="J320" s="233"/>
      <c r="K320" s="233"/>
      <c r="L320" s="246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25"/>
      <c r="Z320" s="225"/>
      <c r="AA320" s="225"/>
      <c r="AB320" s="225"/>
      <c r="AC320" s="225"/>
      <c r="AD320" s="225"/>
      <c r="AE320" s="225"/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48"/>
      <c r="AU320" s="248"/>
      <c r="AV320" s="248"/>
      <c r="AW320" s="227"/>
      <c r="AX320" s="249"/>
      <c r="AY320" s="225"/>
      <c r="AZ320" s="227">
        <v>30000</v>
      </c>
      <c r="BA320" s="250"/>
      <c r="BB320" s="225"/>
      <c r="BC320" s="225"/>
      <c r="BD320" s="225"/>
      <c r="BE320" s="225"/>
      <c r="BF320" s="225"/>
      <c r="BG320" s="225"/>
      <c r="BH320" s="225"/>
      <c r="BI320" s="225"/>
      <c r="BJ320" s="248"/>
      <c r="BK320" s="248"/>
      <c r="BL320" s="248"/>
      <c r="BM320" s="248">
        <f t="shared" si="151"/>
        <v>30000</v>
      </c>
      <c r="BN320" s="249"/>
      <c r="BO320" s="225"/>
      <c r="BP320" s="248"/>
      <c r="BQ320" s="249"/>
      <c r="BR320" s="225"/>
      <c r="BS320" s="225"/>
      <c r="BT320" s="225"/>
      <c r="BU320" s="225"/>
      <c r="BV320" s="225"/>
      <c r="BW320" s="225"/>
      <c r="BX320" s="225"/>
      <c r="BY320" s="225"/>
      <c r="BZ320" s="225"/>
      <c r="CA320" s="225"/>
      <c r="CB320" s="225"/>
      <c r="CC320" s="227">
        <f t="shared" si="148"/>
        <v>30000</v>
      </c>
      <c r="CD320" s="244"/>
      <c r="CE320" s="244"/>
      <c r="CF320" s="244"/>
    </row>
    <row r="321" spans="1:84" x14ac:dyDescent="0.2">
      <c r="A321" s="245" t="s">
        <v>23</v>
      </c>
      <c r="B321" s="246" t="s">
        <v>51</v>
      </c>
      <c r="C321" s="246" t="s">
        <v>507</v>
      </c>
      <c r="D321" s="246" t="s">
        <v>516</v>
      </c>
      <c r="E321" s="246" t="s">
        <v>509</v>
      </c>
      <c r="F321" s="246" t="s">
        <v>715</v>
      </c>
      <c r="G321" s="233" t="str">
        <f>IF(M321&gt;0, "1", "0")</f>
        <v>0</v>
      </c>
      <c r="H321" s="233" t="str">
        <f>IF(S321&gt;0, "1", "0")</f>
        <v>1</v>
      </c>
      <c r="I321" s="233" t="str">
        <f>IF(AI321&gt;0, "1", "0")</f>
        <v>0</v>
      </c>
      <c r="J321" s="233" t="str">
        <f>IF(AZ321&gt;0, "1", "0")</f>
        <v>0</v>
      </c>
      <c r="K321" s="233" t="str">
        <f>CONCATENATE(G321,H321,I321,J321)</f>
        <v>0100</v>
      </c>
      <c r="L321" s="246" t="str">
        <f>A321&amp;B321&amp;E321</f>
        <v>08800220School Turnaround Leaders Program</v>
      </c>
      <c r="M321" s="225"/>
      <c r="N321" s="225"/>
      <c r="O321" s="225"/>
      <c r="P321" s="225"/>
      <c r="Q321" s="225">
        <f>SUM(M321:P321)</f>
        <v>0</v>
      </c>
      <c r="R321" s="225"/>
      <c r="S321" s="225">
        <v>25053</v>
      </c>
      <c r="T321" s="225"/>
      <c r="U321" s="225"/>
      <c r="V321" s="225"/>
      <c r="W321" s="225"/>
      <c r="X321" s="225"/>
      <c r="Y321" s="225"/>
      <c r="Z321" s="225"/>
      <c r="AA321" s="225"/>
      <c r="AB321" s="225"/>
      <c r="AC321" s="225"/>
      <c r="AD321" s="225"/>
      <c r="AE321" s="225"/>
      <c r="AF321" s="225">
        <f>SUM(Q321:AE321)</f>
        <v>25053</v>
      </c>
      <c r="AG321" s="225"/>
      <c r="AH321" s="225">
        <v>0</v>
      </c>
      <c r="AI321" s="225"/>
      <c r="AJ321" s="225"/>
      <c r="AK321" s="225"/>
      <c r="AL321" s="225"/>
      <c r="AM321" s="225"/>
      <c r="AN321" s="225">
        <v>0</v>
      </c>
      <c r="AO321" s="225">
        <v>-19404</v>
      </c>
      <c r="AP321" s="225"/>
      <c r="AQ321" s="225"/>
      <c r="AR321" s="225"/>
      <c r="AS321" s="225"/>
      <c r="AT321" s="248">
        <v>0</v>
      </c>
      <c r="AU321" s="248">
        <v>0</v>
      </c>
      <c r="AV321" s="248">
        <v>0</v>
      </c>
      <c r="AW321" s="227">
        <f>SUM(AF321:AV321)</f>
        <v>5649</v>
      </c>
      <c r="AX321" s="249">
        <v>0</v>
      </c>
      <c r="AY321" s="225">
        <v>0</v>
      </c>
      <c r="AZ321" s="227"/>
      <c r="BA321" s="250">
        <v>0</v>
      </c>
      <c r="BB321" s="225">
        <v>0</v>
      </c>
      <c r="BC321" s="225">
        <v>0</v>
      </c>
      <c r="BD321" s="225">
        <v>0</v>
      </c>
      <c r="BE321" s="225"/>
      <c r="BF321" s="225"/>
      <c r="BG321" s="225">
        <v>0</v>
      </c>
      <c r="BH321" s="225">
        <v>0</v>
      </c>
      <c r="BI321" s="225">
        <v>0</v>
      </c>
      <c r="BJ321" s="248"/>
      <c r="BK321" s="248"/>
      <c r="BL321" s="248"/>
      <c r="BM321" s="248">
        <f t="shared" si="151"/>
        <v>5649</v>
      </c>
      <c r="BN321" s="249"/>
      <c r="BO321" s="225"/>
      <c r="BP321" s="248"/>
      <c r="BQ321" s="249"/>
      <c r="BR321" s="225"/>
      <c r="BS321" s="225"/>
      <c r="BT321" s="225"/>
      <c r="BU321" s="225"/>
      <c r="BV321" s="225"/>
      <c r="BW321" s="225"/>
      <c r="BX321" s="225"/>
      <c r="BY321" s="225"/>
      <c r="BZ321" s="225"/>
      <c r="CA321" s="225"/>
      <c r="CB321" s="225"/>
      <c r="CC321" s="227">
        <f t="shared" si="148"/>
        <v>5649</v>
      </c>
      <c r="CD321" s="244"/>
      <c r="CE321" s="244"/>
      <c r="CF321" s="244"/>
    </row>
    <row r="322" spans="1:84" x14ac:dyDescent="0.2">
      <c r="A322" s="245" t="s">
        <v>23</v>
      </c>
      <c r="B322" s="246" t="s">
        <v>53</v>
      </c>
      <c r="C322" s="246" t="s">
        <v>507</v>
      </c>
      <c r="D322" s="246" t="s">
        <v>129</v>
      </c>
      <c r="E322" s="246" t="s">
        <v>509</v>
      </c>
      <c r="F322" s="246" t="s">
        <v>715</v>
      </c>
      <c r="G322" s="233" t="str">
        <f>IF(M322&gt;0, "1", "0")</f>
        <v>0</v>
      </c>
      <c r="H322" s="233" t="str">
        <f>IF(S322&gt;0, "1", "0")</f>
        <v>1</v>
      </c>
      <c r="I322" s="233" t="str">
        <f>IF(AI322&gt;0, "1", "0")</f>
        <v>0</v>
      </c>
      <c r="J322" s="233" t="str">
        <f>IF(AZ322&gt;0, "1", "0")</f>
        <v>0</v>
      </c>
      <c r="K322" s="233" t="str">
        <f>CONCATENATE(G322,H322,I322,J322)</f>
        <v>0100</v>
      </c>
      <c r="L322" s="246" t="str">
        <f>A322&amp;B322&amp;E322</f>
        <v>08800520School Turnaround Leaders Program</v>
      </c>
      <c r="M322" s="225"/>
      <c r="N322" s="225"/>
      <c r="O322" s="225"/>
      <c r="P322" s="225"/>
      <c r="Q322" s="225">
        <f>SUM(M322:P322)</f>
        <v>0</v>
      </c>
      <c r="R322" s="225"/>
      <c r="S322" s="225">
        <v>101437</v>
      </c>
      <c r="T322" s="225"/>
      <c r="U322" s="225"/>
      <c r="V322" s="225"/>
      <c r="W322" s="225"/>
      <c r="X322" s="225"/>
      <c r="Y322" s="225"/>
      <c r="Z322" s="225"/>
      <c r="AA322" s="225"/>
      <c r="AB322" s="225"/>
      <c r="AC322" s="225"/>
      <c r="AD322" s="225"/>
      <c r="AE322" s="225"/>
      <c r="AF322" s="225">
        <f>SUM(Q322:AE322)</f>
        <v>101437</v>
      </c>
      <c r="AG322" s="225"/>
      <c r="AH322" s="225">
        <v>0</v>
      </c>
      <c r="AI322" s="225"/>
      <c r="AJ322" s="225"/>
      <c r="AK322" s="225"/>
      <c r="AL322" s="225"/>
      <c r="AM322" s="225"/>
      <c r="AN322" s="225">
        <v>0</v>
      </c>
      <c r="AO322" s="225">
        <v>0</v>
      </c>
      <c r="AP322" s="225"/>
      <c r="AQ322" s="225"/>
      <c r="AR322" s="225"/>
      <c r="AS322" s="225"/>
      <c r="AT322" s="248">
        <v>0</v>
      </c>
      <c r="AU322" s="248">
        <v>0</v>
      </c>
      <c r="AV322" s="248">
        <v>0</v>
      </c>
      <c r="AW322" s="227">
        <f>SUM(AF322:AV322)</f>
        <v>101437</v>
      </c>
      <c r="AX322" s="249">
        <v>0</v>
      </c>
      <c r="AY322" s="225">
        <v>0</v>
      </c>
      <c r="AZ322" s="227"/>
      <c r="BA322" s="250">
        <v>0</v>
      </c>
      <c r="BB322" s="225">
        <v>0</v>
      </c>
      <c r="BC322" s="225">
        <v>0</v>
      </c>
      <c r="BD322" s="225">
        <v>0</v>
      </c>
      <c r="BE322" s="225"/>
      <c r="BF322" s="225"/>
      <c r="BG322" s="225">
        <v>0</v>
      </c>
      <c r="BH322" s="225">
        <v>0</v>
      </c>
      <c r="BI322" s="225">
        <v>0</v>
      </c>
      <c r="BJ322" s="248"/>
      <c r="BK322" s="248"/>
      <c r="BL322" s="248"/>
      <c r="BM322" s="248">
        <f t="shared" si="151"/>
        <v>101437</v>
      </c>
      <c r="BN322" s="249"/>
      <c r="BO322" s="225"/>
      <c r="BP322" s="248"/>
      <c r="BQ322" s="249"/>
      <c r="BR322" s="225"/>
      <c r="BS322" s="225"/>
      <c r="BT322" s="225"/>
      <c r="BU322" s="225"/>
      <c r="BV322" s="225"/>
      <c r="BW322" s="225"/>
      <c r="BX322" s="225"/>
      <c r="BY322" s="225"/>
      <c r="BZ322" s="225"/>
      <c r="CA322" s="225"/>
      <c r="CB322" s="225"/>
      <c r="CC322" s="227">
        <f t="shared" si="148"/>
        <v>101437</v>
      </c>
      <c r="CD322" s="244"/>
      <c r="CE322" s="244"/>
      <c r="CF322" s="244"/>
    </row>
    <row r="323" spans="1:84" x14ac:dyDescent="0.2">
      <c r="A323" s="245" t="s">
        <v>23</v>
      </c>
      <c r="B323" s="246" t="s">
        <v>681</v>
      </c>
      <c r="C323" s="246" t="s">
        <v>507</v>
      </c>
      <c r="D323" s="246" t="s">
        <v>682</v>
      </c>
      <c r="E323" s="246" t="s">
        <v>509</v>
      </c>
      <c r="F323" s="246" t="s">
        <v>715</v>
      </c>
      <c r="G323" s="233" t="str">
        <f>IF(M323&gt;0, "1", "0")</f>
        <v>0</v>
      </c>
      <c r="H323" s="233" t="str">
        <f>IF(S323&gt;0, "1", "0")</f>
        <v>0</v>
      </c>
      <c r="I323" s="233" t="str">
        <f>IF(AI323&gt;0, "1", "0")</f>
        <v>1</v>
      </c>
      <c r="J323" s="233" t="str">
        <f>IF(AZ323&gt;0, "1", "0")</f>
        <v>0</v>
      </c>
      <c r="K323" s="233" t="str">
        <f>CONCATENATE(G323,H323,I323,J323)</f>
        <v>0010</v>
      </c>
      <c r="L323" s="246" t="str">
        <f>A323&amp;B323&amp;E323</f>
        <v>08801748School Turnaround Leaders Program</v>
      </c>
      <c r="M323" s="225"/>
      <c r="N323" s="225"/>
      <c r="O323" s="225"/>
      <c r="P323" s="225"/>
      <c r="Q323" s="225">
        <f>SUM(M323:P323)</f>
        <v>0</v>
      </c>
      <c r="R323" s="225"/>
      <c r="S323" s="225">
        <v>0</v>
      </c>
      <c r="T323" s="225"/>
      <c r="U323" s="225"/>
      <c r="V323" s="225"/>
      <c r="W323" s="225"/>
      <c r="X323" s="225"/>
      <c r="Y323" s="225"/>
      <c r="Z323" s="225"/>
      <c r="AA323" s="225"/>
      <c r="AB323" s="225"/>
      <c r="AC323" s="225"/>
      <c r="AD323" s="225"/>
      <c r="AE323" s="225"/>
      <c r="AF323" s="225">
        <f>SUM(Q323:AE323)</f>
        <v>0</v>
      </c>
      <c r="AG323" s="225"/>
      <c r="AH323" s="225">
        <v>0</v>
      </c>
      <c r="AI323" s="225">
        <v>56853.1</v>
      </c>
      <c r="AJ323" s="225"/>
      <c r="AK323" s="225"/>
      <c r="AL323" s="225"/>
      <c r="AM323" s="225"/>
      <c r="AN323" s="225">
        <v>0</v>
      </c>
      <c r="AO323" s="225">
        <v>0</v>
      </c>
      <c r="AP323" s="225"/>
      <c r="AQ323" s="225"/>
      <c r="AR323" s="225"/>
      <c r="AS323" s="225"/>
      <c r="AT323" s="248">
        <v>0</v>
      </c>
      <c r="AU323" s="248">
        <v>0</v>
      </c>
      <c r="AV323" s="248">
        <v>0</v>
      </c>
      <c r="AW323" s="227">
        <f>SUM(AF323:AV323)</f>
        <v>56853.1</v>
      </c>
      <c r="AX323" s="249">
        <v>0</v>
      </c>
      <c r="AY323" s="225">
        <v>0</v>
      </c>
      <c r="AZ323" s="227"/>
      <c r="BA323" s="250">
        <v>0</v>
      </c>
      <c r="BB323" s="225">
        <v>0</v>
      </c>
      <c r="BC323" s="225">
        <v>0</v>
      </c>
      <c r="BD323" s="225">
        <v>0</v>
      </c>
      <c r="BE323" s="225"/>
      <c r="BF323" s="225"/>
      <c r="BG323" s="225">
        <v>0</v>
      </c>
      <c r="BH323" s="225">
        <v>0</v>
      </c>
      <c r="BI323" s="225">
        <v>0</v>
      </c>
      <c r="BJ323" s="248"/>
      <c r="BK323" s="248"/>
      <c r="BL323" s="248"/>
      <c r="BM323" s="248">
        <f t="shared" si="151"/>
        <v>56853.1</v>
      </c>
      <c r="BN323" s="249"/>
      <c r="BO323" s="225"/>
      <c r="BP323" s="248"/>
      <c r="BQ323" s="249"/>
      <c r="BR323" s="225"/>
      <c r="BS323" s="225"/>
      <c r="BT323" s="225"/>
      <c r="BU323" s="147">
        <f>-110273.56+55136.78</f>
        <v>-55136.78</v>
      </c>
      <c r="BV323" s="225"/>
      <c r="BW323" s="225"/>
      <c r="BX323" s="225"/>
      <c r="BY323" s="225"/>
      <c r="BZ323" s="225"/>
      <c r="CA323" s="225"/>
      <c r="CB323" s="225"/>
      <c r="CC323" s="227">
        <f t="shared" si="148"/>
        <v>1716.3199999999997</v>
      </c>
      <c r="CD323" s="244"/>
      <c r="CE323" s="244"/>
      <c r="CF323" s="244"/>
    </row>
    <row r="324" spans="1:84" x14ac:dyDescent="0.2">
      <c r="A324" s="245" t="s">
        <v>23</v>
      </c>
      <c r="B324" s="246" t="s">
        <v>681</v>
      </c>
      <c r="C324" s="246" t="s">
        <v>507</v>
      </c>
      <c r="D324" s="246" t="s">
        <v>682</v>
      </c>
      <c r="E324" s="246" t="s">
        <v>509</v>
      </c>
      <c r="F324" s="246"/>
      <c r="G324" s="233"/>
      <c r="H324" s="233"/>
      <c r="I324" s="233"/>
      <c r="J324" s="233"/>
      <c r="K324" s="233"/>
      <c r="L324" s="246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25"/>
      <c r="Z324" s="225"/>
      <c r="AA324" s="225"/>
      <c r="AB324" s="225"/>
      <c r="AC324" s="225"/>
      <c r="AD324" s="225"/>
      <c r="AE324" s="225"/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48"/>
      <c r="AU324" s="248"/>
      <c r="AV324" s="248"/>
      <c r="AW324" s="227"/>
      <c r="AX324" s="249"/>
      <c r="AY324" s="225"/>
      <c r="AZ324" s="227">
        <v>11000</v>
      </c>
      <c r="BA324" s="250"/>
      <c r="BB324" s="225"/>
      <c r="BC324" s="225"/>
      <c r="BD324" s="225"/>
      <c r="BE324" s="225"/>
      <c r="BF324" s="225"/>
      <c r="BG324" s="225"/>
      <c r="BH324" s="225"/>
      <c r="BI324" s="225"/>
      <c r="BJ324" s="248"/>
      <c r="BK324" s="248"/>
      <c r="BL324" s="248"/>
      <c r="BM324" s="248">
        <f t="shared" si="151"/>
        <v>11000</v>
      </c>
      <c r="BN324" s="249"/>
      <c r="BO324" s="225"/>
      <c r="BP324" s="248"/>
      <c r="BQ324" s="249"/>
      <c r="BR324" s="225"/>
      <c r="BS324" s="225"/>
      <c r="BT324" s="225"/>
      <c r="BU324" s="225"/>
      <c r="BV324" s="225"/>
      <c r="BW324" s="225"/>
      <c r="BX324" s="225"/>
      <c r="BY324" s="225"/>
      <c r="BZ324" s="225"/>
      <c r="CA324" s="225"/>
      <c r="CB324" s="225"/>
      <c r="CC324" s="227">
        <f t="shared" si="148"/>
        <v>11000</v>
      </c>
      <c r="CD324" s="244"/>
      <c r="CE324" s="244"/>
      <c r="CF324" s="244"/>
    </row>
    <row r="325" spans="1:84" x14ac:dyDescent="0.2">
      <c r="A325" s="245" t="s">
        <v>23</v>
      </c>
      <c r="B325" s="246" t="s">
        <v>62</v>
      </c>
      <c r="C325" s="246" t="s">
        <v>507</v>
      </c>
      <c r="D325" s="246" t="s">
        <v>514</v>
      </c>
      <c r="E325" s="246" t="s">
        <v>509</v>
      </c>
      <c r="F325" s="246" t="s">
        <v>715</v>
      </c>
      <c r="G325" s="233" t="str">
        <f>IF(M325&gt;0, "1", "0")</f>
        <v>0</v>
      </c>
      <c r="H325" s="233" t="str">
        <f>IF(S325&gt;0, "1", "0")</f>
        <v>1</v>
      </c>
      <c r="I325" s="233" t="str">
        <f>IF(AI325&gt;0, "1", "0")</f>
        <v>0</v>
      </c>
      <c r="J325" s="233" t="str">
        <f>IF(AZ325&gt;0, "1", "0")</f>
        <v>0</v>
      </c>
      <c r="K325" s="233" t="str">
        <f>CONCATENATE(G325,H325,I325,J325)</f>
        <v>0100</v>
      </c>
      <c r="L325" s="246" t="str">
        <f>A325&amp;B325&amp;E325</f>
        <v>08802129School Turnaround Leaders Program</v>
      </c>
      <c r="M325" s="225"/>
      <c r="N325" s="225"/>
      <c r="O325" s="225"/>
      <c r="P325" s="225"/>
      <c r="Q325" s="225">
        <f>SUM(M325:P325)</f>
        <v>0</v>
      </c>
      <c r="R325" s="225"/>
      <c r="S325" s="225">
        <v>25053</v>
      </c>
      <c r="T325" s="225"/>
      <c r="U325" s="225"/>
      <c r="V325" s="225"/>
      <c r="W325" s="225"/>
      <c r="X325" s="225"/>
      <c r="Y325" s="225"/>
      <c r="Z325" s="225"/>
      <c r="AA325" s="225"/>
      <c r="AB325" s="225"/>
      <c r="AC325" s="225"/>
      <c r="AD325" s="225"/>
      <c r="AE325" s="225"/>
      <c r="AF325" s="225">
        <f>SUM(Q325:AE325)</f>
        <v>25053</v>
      </c>
      <c r="AG325" s="225"/>
      <c r="AH325" s="225">
        <v>0</v>
      </c>
      <c r="AI325" s="225"/>
      <c r="AJ325" s="225"/>
      <c r="AK325" s="225"/>
      <c r="AL325" s="225"/>
      <c r="AM325" s="225"/>
      <c r="AN325" s="225">
        <v>0</v>
      </c>
      <c r="AO325" s="225">
        <v>0</v>
      </c>
      <c r="AP325" s="225"/>
      <c r="AQ325" s="225"/>
      <c r="AR325" s="225"/>
      <c r="AS325" s="225"/>
      <c r="AT325" s="248">
        <v>0</v>
      </c>
      <c r="AU325" s="248">
        <v>0</v>
      </c>
      <c r="AV325" s="248">
        <v>0</v>
      </c>
      <c r="AW325" s="227">
        <f>SUM(AF325:AV325)</f>
        <v>25053</v>
      </c>
      <c r="AX325" s="249">
        <v>0</v>
      </c>
      <c r="AY325" s="225">
        <v>0</v>
      </c>
      <c r="AZ325" s="227"/>
      <c r="BA325" s="250">
        <v>0</v>
      </c>
      <c r="BB325" s="225">
        <v>0</v>
      </c>
      <c r="BC325" s="225">
        <v>0</v>
      </c>
      <c r="BD325" s="225">
        <v>0</v>
      </c>
      <c r="BE325" s="225"/>
      <c r="BF325" s="225"/>
      <c r="BG325" s="225">
        <v>0</v>
      </c>
      <c r="BH325" s="225">
        <v>0</v>
      </c>
      <c r="BI325" s="225">
        <v>0</v>
      </c>
      <c r="BJ325" s="248"/>
      <c r="BK325" s="248"/>
      <c r="BL325" s="248"/>
      <c r="BM325" s="248">
        <f t="shared" si="151"/>
        <v>25053</v>
      </c>
      <c r="BN325" s="249"/>
      <c r="BO325" s="225"/>
      <c r="BP325" s="248"/>
      <c r="BQ325" s="249"/>
      <c r="BR325" s="225"/>
      <c r="BS325" s="225"/>
      <c r="BT325" s="225"/>
      <c r="BU325" s="225"/>
      <c r="BV325" s="225"/>
      <c r="BW325" s="225"/>
      <c r="BX325" s="225"/>
      <c r="BY325" s="225"/>
      <c r="BZ325" s="225"/>
      <c r="CA325" s="225"/>
      <c r="CB325" s="225"/>
      <c r="CC325" s="227">
        <f t="shared" si="148"/>
        <v>25053</v>
      </c>
      <c r="CD325" s="244"/>
      <c r="CE325" s="244"/>
      <c r="CF325" s="244"/>
    </row>
    <row r="326" spans="1:84" x14ac:dyDescent="0.2">
      <c r="A326" s="245" t="s">
        <v>23</v>
      </c>
      <c r="B326" s="246" t="s">
        <v>434</v>
      </c>
      <c r="C326" s="246" t="s">
        <v>507</v>
      </c>
      <c r="D326" s="246" t="s">
        <v>513</v>
      </c>
      <c r="E326" s="246" t="s">
        <v>509</v>
      </c>
      <c r="F326" s="246" t="s">
        <v>715</v>
      </c>
      <c r="G326" s="233" t="str">
        <f>IF(M326&gt;0, "1", "0")</f>
        <v>0</v>
      </c>
      <c r="H326" s="233" t="str">
        <f>IF(S326&gt;0, "1", "0")</f>
        <v>1</v>
      </c>
      <c r="I326" s="233" t="str">
        <f>IF(AI326&gt;0, "1", "0")</f>
        <v>0</v>
      </c>
      <c r="J326" s="233" t="str">
        <f>IF(AZ326&gt;0, "1", "0")</f>
        <v>0</v>
      </c>
      <c r="K326" s="233" t="str">
        <f>CONCATENATE(G326,H326,I326,J326)</f>
        <v>0100</v>
      </c>
      <c r="L326" s="246" t="str">
        <f>A326&amp;B326&amp;E326</f>
        <v>08802183School Turnaround Leaders Program</v>
      </c>
      <c r="M326" s="225"/>
      <c r="N326" s="225"/>
      <c r="O326" s="225"/>
      <c r="P326" s="225"/>
      <c r="Q326" s="225">
        <f>SUM(M326:P326)</f>
        <v>0</v>
      </c>
      <c r="R326" s="225"/>
      <c r="S326" s="225">
        <v>94153</v>
      </c>
      <c r="T326" s="225"/>
      <c r="U326" s="225"/>
      <c r="V326" s="225"/>
      <c r="W326" s="225"/>
      <c r="X326" s="225"/>
      <c r="Y326" s="225"/>
      <c r="Z326" s="225"/>
      <c r="AA326" s="225"/>
      <c r="AB326" s="225"/>
      <c r="AC326" s="225"/>
      <c r="AD326" s="225"/>
      <c r="AE326" s="225"/>
      <c r="AF326" s="225">
        <f>SUM(Q326:AE326)</f>
        <v>94153</v>
      </c>
      <c r="AG326" s="225"/>
      <c r="AH326" s="225">
        <v>0</v>
      </c>
      <c r="AI326" s="225"/>
      <c r="AJ326" s="225"/>
      <c r="AK326" s="225"/>
      <c r="AL326" s="225"/>
      <c r="AM326" s="225"/>
      <c r="AN326" s="225">
        <v>0</v>
      </c>
      <c r="AO326" s="225">
        <v>0</v>
      </c>
      <c r="AP326" s="225"/>
      <c r="AQ326" s="225"/>
      <c r="AR326" s="225"/>
      <c r="AS326" s="225"/>
      <c r="AT326" s="248">
        <v>0</v>
      </c>
      <c r="AU326" s="248">
        <v>0</v>
      </c>
      <c r="AV326" s="248">
        <v>0</v>
      </c>
      <c r="AW326" s="227">
        <f>SUM(AF326:AV326)</f>
        <v>94153</v>
      </c>
      <c r="AX326" s="249">
        <v>0</v>
      </c>
      <c r="AY326" s="225">
        <v>0</v>
      </c>
      <c r="AZ326" s="227"/>
      <c r="BA326" s="250">
        <v>0</v>
      </c>
      <c r="BB326" s="225">
        <v>0</v>
      </c>
      <c r="BC326" s="225">
        <v>0</v>
      </c>
      <c r="BD326" s="225">
        <v>0</v>
      </c>
      <c r="BE326" s="225"/>
      <c r="BF326" s="225"/>
      <c r="BG326" s="225">
        <v>0</v>
      </c>
      <c r="BH326" s="225">
        <v>0</v>
      </c>
      <c r="BI326" s="225">
        <v>0</v>
      </c>
      <c r="BJ326" s="248"/>
      <c r="BK326" s="248"/>
      <c r="BL326" s="248"/>
      <c r="BM326" s="248">
        <f t="shared" si="151"/>
        <v>94153</v>
      </c>
      <c r="BN326" s="249"/>
      <c r="BO326" s="225"/>
      <c r="BP326" s="248"/>
      <c r="BQ326" s="249"/>
      <c r="BR326" s="225"/>
      <c r="BS326" s="225"/>
      <c r="BT326" s="225"/>
      <c r="BU326" s="225"/>
      <c r="BV326" s="225"/>
      <c r="BW326" s="225"/>
      <c r="BX326" s="225"/>
      <c r="BY326" s="225"/>
      <c r="BZ326" s="225"/>
      <c r="CA326" s="225"/>
      <c r="CB326" s="225"/>
      <c r="CC326" s="227">
        <f t="shared" si="148"/>
        <v>94153</v>
      </c>
      <c r="CD326" s="244"/>
      <c r="CE326" s="244"/>
      <c r="CF326" s="244"/>
    </row>
    <row r="327" spans="1:84" x14ac:dyDescent="0.2">
      <c r="A327" s="245" t="s">
        <v>23</v>
      </c>
      <c r="B327" s="246" t="s">
        <v>60</v>
      </c>
      <c r="C327" s="246" t="s">
        <v>507</v>
      </c>
      <c r="D327" s="246" t="s">
        <v>512</v>
      </c>
      <c r="E327" s="246" t="s">
        <v>509</v>
      </c>
      <c r="F327" s="246" t="s">
        <v>715</v>
      </c>
      <c r="G327" s="233" t="str">
        <f>IF(M327&gt;0, "1", "0")</f>
        <v>0</v>
      </c>
      <c r="H327" s="233" t="str">
        <f>IF(S327&gt;0, "1", "0")</f>
        <v>1</v>
      </c>
      <c r="I327" s="233" t="str">
        <f>IF(AI327&gt;0, "1", "0")</f>
        <v>0</v>
      </c>
      <c r="J327" s="233" t="str">
        <f>IF(AZ327&gt;0, "1", "0")</f>
        <v>0</v>
      </c>
      <c r="K327" s="233" t="str">
        <f>CONCATENATE(G327,H327,I327,J327)</f>
        <v>0100</v>
      </c>
      <c r="L327" s="246" t="str">
        <f>A327&amp;B327&amp;E327</f>
        <v>08802209School Turnaround Leaders Program</v>
      </c>
      <c r="M327" s="225"/>
      <c r="N327" s="225"/>
      <c r="O327" s="225"/>
      <c r="P327" s="225"/>
      <c r="Q327" s="225">
        <f>SUM(M327:P327)</f>
        <v>0</v>
      </c>
      <c r="R327" s="225"/>
      <c r="S327" s="225">
        <v>94153</v>
      </c>
      <c r="T327" s="225"/>
      <c r="U327" s="225"/>
      <c r="V327" s="225"/>
      <c r="W327" s="225"/>
      <c r="X327" s="225"/>
      <c r="Y327" s="225"/>
      <c r="Z327" s="225"/>
      <c r="AA327" s="225"/>
      <c r="AB327" s="225"/>
      <c r="AC327" s="225"/>
      <c r="AD327" s="225"/>
      <c r="AE327" s="225"/>
      <c r="AF327" s="225">
        <f>SUM(Q327:AE327)</f>
        <v>94153</v>
      </c>
      <c r="AG327" s="225"/>
      <c r="AH327" s="225">
        <v>0</v>
      </c>
      <c r="AI327" s="225"/>
      <c r="AJ327" s="225"/>
      <c r="AK327" s="225"/>
      <c r="AL327" s="225"/>
      <c r="AM327" s="225"/>
      <c r="AN327" s="225">
        <v>0</v>
      </c>
      <c r="AO327" s="225">
        <v>-9702</v>
      </c>
      <c r="AP327" s="225"/>
      <c r="AQ327" s="225"/>
      <c r="AR327" s="225"/>
      <c r="AS327" s="225"/>
      <c r="AT327" s="248">
        <v>0</v>
      </c>
      <c r="AU327" s="248">
        <v>0</v>
      </c>
      <c r="AV327" s="248">
        <v>0</v>
      </c>
      <c r="AW327" s="227">
        <f>SUM(AF327:AV327)</f>
        <v>84451</v>
      </c>
      <c r="AX327" s="249">
        <v>0</v>
      </c>
      <c r="AY327" s="225">
        <v>0</v>
      </c>
      <c r="AZ327" s="227"/>
      <c r="BA327" s="250">
        <v>0</v>
      </c>
      <c r="BB327" s="225">
        <v>0</v>
      </c>
      <c r="BC327" s="225">
        <v>0</v>
      </c>
      <c r="BD327" s="225">
        <v>0</v>
      </c>
      <c r="BE327" s="225"/>
      <c r="BF327" s="225"/>
      <c r="BG327" s="225">
        <v>0</v>
      </c>
      <c r="BH327" s="225">
        <v>0</v>
      </c>
      <c r="BI327" s="225">
        <v>0</v>
      </c>
      <c r="BJ327" s="248"/>
      <c r="BK327" s="248"/>
      <c r="BL327" s="248"/>
      <c r="BM327" s="248">
        <f t="shared" si="151"/>
        <v>84451</v>
      </c>
      <c r="BN327" s="249"/>
      <c r="BO327" s="225"/>
      <c r="BP327" s="248"/>
      <c r="BQ327" s="249"/>
      <c r="BR327" s="225"/>
      <c r="BS327" s="225"/>
      <c r="BT327" s="225"/>
      <c r="BU327" s="147">
        <v>-23872.94</v>
      </c>
      <c r="BV327" s="225"/>
      <c r="BW327" s="225"/>
      <c r="BX327" s="225"/>
      <c r="BY327" s="225"/>
      <c r="BZ327" s="225"/>
      <c r="CA327" s="225"/>
      <c r="CB327" s="225"/>
      <c r="CC327" s="227">
        <f t="shared" si="148"/>
        <v>60578.06</v>
      </c>
      <c r="CD327" s="244"/>
      <c r="CE327" s="244"/>
      <c r="CF327" s="244"/>
    </row>
    <row r="328" spans="1:84" x14ac:dyDescent="0.2">
      <c r="A328" s="245" t="s">
        <v>23</v>
      </c>
      <c r="B328" s="246" t="s">
        <v>60</v>
      </c>
      <c r="C328" s="246" t="s">
        <v>507</v>
      </c>
      <c r="D328" s="246" t="s">
        <v>512</v>
      </c>
      <c r="E328" s="246" t="s">
        <v>509</v>
      </c>
      <c r="F328" s="246"/>
      <c r="G328" s="233"/>
      <c r="H328" s="233"/>
      <c r="I328" s="233"/>
      <c r="J328" s="233"/>
      <c r="K328" s="233"/>
      <c r="L328" s="246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25"/>
      <c r="AK328" s="225"/>
      <c r="AL328" s="225"/>
      <c r="AM328" s="225"/>
      <c r="AN328" s="225"/>
      <c r="AO328" s="225"/>
      <c r="AP328" s="225"/>
      <c r="AQ328" s="225"/>
      <c r="AR328" s="225"/>
      <c r="AS328" s="225"/>
      <c r="AT328" s="248"/>
      <c r="AU328" s="248"/>
      <c r="AV328" s="248"/>
      <c r="AW328" s="227"/>
      <c r="AX328" s="249"/>
      <c r="AY328" s="225"/>
      <c r="AZ328" s="227">
        <v>24000</v>
      </c>
      <c r="BA328" s="250"/>
      <c r="BB328" s="225"/>
      <c r="BC328" s="225"/>
      <c r="BD328" s="225"/>
      <c r="BE328" s="225"/>
      <c r="BF328" s="225"/>
      <c r="BG328" s="225"/>
      <c r="BH328" s="225"/>
      <c r="BI328" s="225"/>
      <c r="BJ328" s="248"/>
      <c r="BK328" s="248"/>
      <c r="BL328" s="248"/>
      <c r="BM328" s="248">
        <f t="shared" si="151"/>
        <v>24000</v>
      </c>
      <c r="BN328" s="249"/>
      <c r="BO328" s="225"/>
      <c r="BP328" s="248">
        <v>5680</v>
      </c>
      <c r="BQ328" s="249"/>
      <c r="BR328" s="225"/>
      <c r="BS328" s="225"/>
      <c r="BT328" s="225"/>
      <c r="BU328" s="225"/>
      <c r="BV328" s="225"/>
      <c r="BW328" s="225"/>
      <c r="BX328" s="225"/>
      <c r="BY328" s="225"/>
      <c r="BZ328" s="225"/>
      <c r="CA328" s="225"/>
      <c r="CB328" s="225"/>
      <c r="CC328" s="227">
        <f t="shared" si="148"/>
        <v>29680</v>
      </c>
      <c r="CD328" s="244"/>
      <c r="CE328" s="244"/>
      <c r="CF328" s="244"/>
    </row>
    <row r="329" spans="1:84" x14ac:dyDescent="0.2">
      <c r="A329" s="245" t="s">
        <v>23</v>
      </c>
      <c r="B329" s="246" t="s">
        <v>786</v>
      </c>
      <c r="C329" s="246" t="s">
        <v>507</v>
      </c>
      <c r="D329" s="246" t="s">
        <v>787</v>
      </c>
      <c r="E329" s="246" t="s">
        <v>509</v>
      </c>
      <c r="F329" s="246"/>
      <c r="G329" s="233"/>
      <c r="H329" s="233"/>
      <c r="I329" s="233"/>
      <c r="J329" s="233"/>
      <c r="K329" s="233"/>
      <c r="L329" s="246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  <c r="AA329" s="225"/>
      <c r="AB329" s="225"/>
      <c r="AC329" s="225"/>
      <c r="AD329" s="225"/>
      <c r="AE329" s="225"/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48"/>
      <c r="AU329" s="248"/>
      <c r="AV329" s="248"/>
      <c r="AW329" s="227"/>
      <c r="AX329" s="249"/>
      <c r="AY329" s="225"/>
      <c r="AZ329" s="227">
        <v>12000</v>
      </c>
      <c r="BA329" s="250"/>
      <c r="BB329" s="225"/>
      <c r="BC329" s="225"/>
      <c r="BD329" s="225"/>
      <c r="BE329" s="225"/>
      <c r="BF329" s="225"/>
      <c r="BG329" s="225"/>
      <c r="BH329" s="225"/>
      <c r="BI329" s="225"/>
      <c r="BJ329" s="248"/>
      <c r="BK329" s="248"/>
      <c r="BL329" s="248"/>
      <c r="BM329" s="248">
        <f t="shared" si="151"/>
        <v>12000</v>
      </c>
      <c r="BN329" s="249"/>
      <c r="BO329" s="225"/>
      <c r="BP329" s="248">
        <v>2840</v>
      </c>
      <c r="BQ329" s="249"/>
      <c r="BR329" s="225"/>
      <c r="BS329" s="225"/>
      <c r="BT329" s="225"/>
      <c r="BU329" s="147">
        <v>-11937.01</v>
      </c>
      <c r="BV329" s="225"/>
      <c r="BW329" s="225"/>
      <c r="BX329" s="225"/>
      <c r="BY329" s="225"/>
      <c r="BZ329" s="225"/>
      <c r="CA329" s="225"/>
      <c r="CB329" s="225"/>
      <c r="CC329" s="227">
        <f t="shared" si="148"/>
        <v>2902.99</v>
      </c>
      <c r="CD329" s="244"/>
      <c r="CE329" s="244"/>
      <c r="CF329" s="244"/>
    </row>
    <row r="330" spans="1:84" x14ac:dyDescent="0.2">
      <c r="A330" s="245" t="s">
        <v>23</v>
      </c>
      <c r="B330" s="246" t="s">
        <v>67</v>
      </c>
      <c r="C330" s="246" t="s">
        <v>507</v>
      </c>
      <c r="D330" s="246" t="s">
        <v>140</v>
      </c>
      <c r="E330" s="246" t="s">
        <v>509</v>
      </c>
      <c r="F330" s="246" t="s">
        <v>715</v>
      </c>
      <c r="G330" s="233" t="str">
        <f>IF(M330&gt;0, "1", "0")</f>
        <v>0</v>
      </c>
      <c r="H330" s="233" t="str">
        <f>IF(S330&gt;0, "1", "0")</f>
        <v>1</v>
      </c>
      <c r="I330" s="233" t="str">
        <f>IF(AI330&gt;0, "1", "0")</f>
        <v>0</v>
      </c>
      <c r="J330" s="233" t="str">
        <f>IF(AZ330&gt;0, "1", "0")</f>
        <v>0</v>
      </c>
      <c r="K330" s="233" t="str">
        <f>CONCATENATE(G330,H330,I330,J330)</f>
        <v>0100</v>
      </c>
      <c r="L330" s="246" t="str">
        <f>A330&amp;B330&amp;E330</f>
        <v>08802757School Turnaround Leaders Program</v>
      </c>
      <c r="M330" s="225"/>
      <c r="N330" s="225"/>
      <c r="O330" s="225"/>
      <c r="P330" s="225"/>
      <c r="Q330" s="225">
        <f>SUM(M330:P330)</f>
        <v>0</v>
      </c>
      <c r="R330" s="225"/>
      <c r="S330" s="225">
        <v>25053</v>
      </c>
      <c r="T330" s="225"/>
      <c r="U330" s="225"/>
      <c r="V330" s="225"/>
      <c r="W330" s="225"/>
      <c r="X330" s="225"/>
      <c r="Y330" s="225"/>
      <c r="Z330" s="225"/>
      <c r="AA330" s="225"/>
      <c r="AB330" s="225"/>
      <c r="AC330" s="225"/>
      <c r="AD330" s="225"/>
      <c r="AE330" s="225"/>
      <c r="AF330" s="225">
        <f>SUM(Q330:AE330)</f>
        <v>25053</v>
      </c>
      <c r="AG330" s="225"/>
      <c r="AH330" s="225">
        <v>0</v>
      </c>
      <c r="AI330" s="225"/>
      <c r="AJ330" s="225"/>
      <c r="AK330" s="225"/>
      <c r="AL330" s="225"/>
      <c r="AM330" s="225"/>
      <c r="AN330" s="225">
        <v>0</v>
      </c>
      <c r="AO330" s="225">
        <v>-19404</v>
      </c>
      <c r="AP330" s="225"/>
      <c r="AQ330" s="225"/>
      <c r="AR330" s="225"/>
      <c r="AS330" s="225"/>
      <c r="AT330" s="248">
        <v>0</v>
      </c>
      <c r="AU330" s="248">
        <v>0</v>
      </c>
      <c r="AV330" s="248">
        <v>0</v>
      </c>
      <c r="AW330" s="227">
        <f>SUM(AF330:AV330)</f>
        <v>5649</v>
      </c>
      <c r="AX330" s="249">
        <v>0</v>
      </c>
      <c r="AY330" s="225">
        <v>0</v>
      </c>
      <c r="AZ330" s="227"/>
      <c r="BA330" s="250">
        <v>0</v>
      </c>
      <c r="BB330" s="225">
        <v>0</v>
      </c>
      <c r="BC330" s="225">
        <v>0</v>
      </c>
      <c r="BD330" s="225">
        <v>0</v>
      </c>
      <c r="BE330" s="225"/>
      <c r="BF330" s="225"/>
      <c r="BG330" s="225">
        <v>0</v>
      </c>
      <c r="BH330" s="225">
        <v>0</v>
      </c>
      <c r="BI330" s="225">
        <v>0</v>
      </c>
      <c r="BJ330" s="248"/>
      <c r="BK330" s="248"/>
      <c r="BL330" s="248"/>
      <c r="BM330" s="248">
        <f t="shared" si="151"/>
        <v>5649</v>
      </c>
      <c r="BN330" s="249"/>
      <c r="BO330" s="225"/>
      <c r="BP330" s="248"/>
      <c r="BQ330" s="249"/>
      <c r="BR330" s="225"/>
      <c r="BS330" s="225"/>
      <c r="BT330" s="225"/>
      <c r="BU330" s="225"/>
      <c r="BV330" s="225"/>
      <c r="BW330" s="225"/>
      <c r="BX330" s="225"/>
      <c r="BY330" s="225"/>
      <c r="BZ330" s="225"/>
      <c r="CA330" s="225"/>
      <c r="CB330" s="225"/>
      <c r="CC330" s="227">
        <f t="shared" si="148"/>
        <v>5649</v>
      </c>
      <c r="CD330" s="244"/>
      <c r="CE330" s="244"/>
      <c r="CF330" s="244"/>
    </row>
    <row r="331" spans="1:84" x14ac:dyDescent="0.2">
      <c r="A331" s="245" t="s">
        <v>23</v>
      </c>
      <c r="B331" s="246" t="s">
        <v>413</v>
      </c>
      <c r="C331" s="246" t="s">
        <v>507</v>
      </c>
      <c r="D331" s="246" t="s">
        <v>515</v>
      </c>
      <c r="E331" s="246" t="s">
        <v>509</v>
      </c>
      <c r="F331" s="246" t="s">
        <v>715</v>
      </c>
      <c r="G331" s="233" t="str">
        <f>IF(M331&gt;0, "1", "0")</f>
        <v>0</v>
      </c>
      <c r="H331" s="233" t="str">
        <f>IF(S331&gt;0, "1", "0")</f>
        <v>1</v>
      </c>
      <c r="I331" s="233" t="str">
        <f>IF(AI331&gt;0, "1", "0")</f>
        <v>0</v>
      </c>
      <c r="J331" s="233" t="str">
        <f>IF(AZ331&gt;0, "1", "0")</f>
        <v>0</v>
      </c>
      <c r="K331" s="233" t="str">
        <f>CONCATENATE(G331,H331,I331,J331)</f>
        <v>0100</v>
      </c>
      <c r="L331" s="246" t="str">
        <f>A331&amp;B331&amp;E331</f>
        <v>08804444School Turnaround Leaders Program</v>
      </c>
      <c r="M331" s="225"/>
      <c r="N331" s="225"/>
      <c r="O331" s="225"/>
      <c r="P331" s="225"/>
      <c r="Q331" s="225">
        <f>SUM(M331:P331)</f>
        <v>0</v>
      </c>
      <c r="R331" s="225"/>
      <c r="S331" s="225">
        <v>25053</v>
      </c>
      <c r="T331" s="225"/>
      <c r="U331" s="225"/>
      <c r="V331" s="225"/>
      <c r="W331" s="225"/>
      <c r="X331" s="225"/>
      <c r="Y331" s="225"/>
      <c r="Z331" s="225"/>
      <c r="AA331" s="225"/>
      <c r="AB331" s="225"/>
      <c r="AC331" s="225"/>
      <c r="AD331" s="225"/>
      <c r="AE331" s="225"/>
      <c r="AF331" s="225">
        <f>SUM(Q331:AE331)</f>
        <v>25053</v>
      </c>
      <c r="AG331" s="225"/>
      <c r="AH331" s="225">
        <v>0</v>
      </c>
      <c r="AI331" s="225"/>
      <c r="AJ331" s="225"/>
      <c r="AK331" s="225"/>
      <c r="AL331" s="225"/>
      <c r="AM331" s="225"/>
      <c r="AN331" s="225">
        <v>0</v>
      </c>
      <c r="AO331" s="225">
        <v>-25053</v>
      </c>
      <c r="AP331" s="225"/>
      <c r="AQ331" s="225"/>
      <c r="AR331" s="225"/>
      <c r="AS331" s="225"/>
      <c r="AT331" s="248">
        <v>0</v>
      </c>
      <c r="AU331" s="248">
        <v>0</v>
      </c>
      <c r="AV331" s="248">
        <v>0</v>
      </c>
      <c r="AW331" s="227">
        <f>SUM(AF331:AV331)</f>
        <v>0</v>
      </c>
      <c r="AX331" s="249">
        <v>0</v>
      </c>
      <c r="AY331" s="225">
        <v>0</v>
      </c>
      <c r="AZ331" s="227"/>
      <c r="BA331" s="250">
        <v>0</v>
      </c>
      <c r="BB331" s="225">
        <v>0</v>
      </c>
      <c r="BC331" s="225">
        <v>0</v>
      </c>
      <c r="BD331" s="225">
        <v>0</v>
      </c>
      <c r="BE331" s="225"/>
      <c r="BF331" s="225"/>
      <c r="BG331" s="225">
        <v>0</v>
      </c>
      <c r="BH331" s="225">
        <v>0</v>
      </c>
      <c r="BI331" s="225">
        <v>0</v>
      </c>
      <c r="BJ331" s="248"/>
      <c r="BK331" s="248"/>
      <c r="BL331" s="248"/>
      <c r="BM331" s="248">
        <f t="shared" si="151"/>
        <v>0</v>
      </c>
      <c r="BN331" s="249"/>
      <c r="BO331" s="225"/>
      <c r="BP331" s="248"/>
      <c r="BQ331" s="249"/>
      <c r="BR331" s="225"/>
      <c r="BS331" s="225"/>
      <c r="BT331" s="225"/>
      <c r="BU331" s="225"/>
      <c r="BV331" s="225"/>
      <c r="BW331" s="225"/>
      <c r="BX331" s="225"/>
      <c r="BY331" s="225"/>
      <c r="BZ331" s="225"/>
      <c r="CA331" s="225"/>
      <c r="CB331" s="225"/>
      <c r="CC331" s="227">
        <f t="shared" si="148"/>
        <v>0</v>
      </c>
      <c r="CD331" s="244"/>
      <c r="CE331" s="244"/>
      <c r="CF331" s="244"/>
    </row>
    <row r="332" spans="1:84" x14ac:dyDescent="0.2">
      <c r="A332" s="245" t="s">
        <v>23</v>
      </c>
      <c r="B332" s="246" t="s">
        <v>415</v>
      </c>
      <c r="C332" s="246" t="s">
        <v>507</v>
      </c>
      <c r="D332" s="246" t="s">
        <v>517</v>
      </c>
      <c r="E332" s="246" t="s">
        <v>509</v>
      </c>
      <c r="F332" s="246" t="s">
        <v>715</v>
      </c>
      <c r="G332" s="233" t="str">
        <f>IF(M332&gt;0, "1", "0")</f>
        <v>0</v>
      </c>
      <c r="H332" s="233" t="str">
        <f>IF(S332&gt;0, "1", "0")</f>
        <v>1</v>
      </c>
      <c r="I332" s="233" t="str">
        <f>IF(AI332&gt;0, "1", "0")</f>
        <v>0</v>
      </c>
      <c r="J332" s="233" t="str">
        <f>IF(AZ332&gt;0, "1", "0")</f>
        <v>0</v>
      </c>
      <c r="K332" s="233" t="str">
        <f>CONCATENATE(G332,H332,I332,J332)</f>
        <v>0100</v>
      </c>
      <c r="L332" s="246" t="str">
        <f>A332&amp;B332&amp;E332</f>
        <v>08804795School Turnaround Leaders Program</v>
      </c>
      <c r="M332" s="225"/>
      <c r="N332" s="225"/>
      <c r="O332" s="225"/>
      <c r="P332" s="225"/>
      <c r="Q332" s="225">
        <f>SUM(M332:P332)</f>
        <v>0</v>
      </c>
      <c r="R332" s="225"/>
      <c r="S332" s="225">
        <v>7837</v>
      </c>
      <c r="T332" s="225"/>
      <c r="U332" s="225"/>
      <c r="V332" s="225"/>
      <c r="W332" s="225"/>
      <c r="X332" s="225"/>
      <c r="Y332" s="225"/>
      <c r="Z332" s="225"/>
      <c r="AA332" s="225"/>
      <c r="AB332" s="225"/>
      <c r="AC332" s="225"/>
      <c r="AD332" s="225"/>
      <c r="AE332" s="225"/>
      <c r="AF332" s="225">
        <f>SUM(Q332:AE332)</f>
        <v>7837</v>
      </c>
      <c r="AG332" s="225"/>
      <c r="AH332" s="225">
        <v>0</v>
      </c>
      <c r="AI332" s="225"/>
      <c r="AJ332" s="225"/>
      <c r="AK332" s="225"/>
      <c r="AL332" s="225"/>
      <c r="AM332" s="225"/>
      <c r="AN332" s="225">
        <v>0</v>
      </c>
      <c r="AO332" s="225">
        <v>0</v>
      </c>
      <c r="AP332" s="225"/>
      <c r="AQ332" s="225"/>
      <c r="AR332" s="225"/>
      <c r="AS332" s="225"/>
      <c r="AT332" s="248">
        <v>0</v>
      </c>
      <c r="AU332" s="248">
        <v>0</v>
      </c>
      <c r="AV332" s="248">
        <v>0</v>
      </c>
      <c r="AW332" s="227">
        <f>SUM(AF332:AV332)</f>
        <v>7837</v>
      </c>
      <c r="AX332" s="249">
        <v>0</v>
      </c>
      <c r="AY332" s="225">
        <v>0</v>
      </c>
      <c r="AZ332" s="227"/>
      <c r="BA332" s="250">
        <v>0</v>
      </c>
      <c r="BB332" s="225">
        <v>0</v>
      </c>
      <c r="BC332" s="225">
        <v>0</v>
      </c>
      <c r="BD332" s="225">
        <v>0</v>
      </c>
      <c r="BE332" s="225"/>
      <c r="BF332" s="225"/>
      <c r="BG332" s="225">
        <v>0</v>
      </c>
      <c r="BH332" s="225">
        <v>0</v>
      </c>
      <c r="BI332" s="225">
        <v>0</v>
      </c>
      <c r="BJ332" s="248"/>
      <c r="BK332" s="248"/>
      <c r="BL332" s="248"/>
      <c r="BM332" s="248">
        <f t="shared" si="151"/>
        <v>7837</v>
      </c>
      <c r="BN332" s="249"/>
      <c r="BO332" s="225"/>
      <c r="BP332" s="248"/>
      <c r="BQ332" s="249"/>
      <c r="BR332" s="225"/>
      <c r="BS332" s="225"/>
      <c r="BT332" s="225"/>
      <c r="BU332" s="225"/>
      <c r="BV332" s="225"/>
      <c r="BW332" s="225"/>
      <c r="BX332" s="225"/>
      <c r="BY332" s="225"/>
      <c r="BZ332" s="225"/>
      <c r="CA332" s="225"/>
      <c r="CB332" s="225"/>
      <c r="CC332" s="227">
        <f t="shared" si="148"/>
        <v>7837</v>
      </c>
      <c r="CD332" s="244"/>
      <c r="CE332" s="244"/>
      <c r="CF332" s="244"/>
    </row>
    <row r="333" spans="1:84" x14ac:dyDescent="0.2">
      <c r="A333" s="245" t="s">
        <v>23</v>
      </c>
      <c r="B333" s="246" t="s">
        <v>416</v>
      </c>
      <c r="C333" s="246" t="s">
        <v>507</v>
      </c>
      <c r="D333" s="246" t="s">
        <v>539</v>
      </c>
      <c r="E333" s="246" t="s">
        <v>509</v>
      </c>
      <c r="F333" s="246" t="s">
        <v>715</v>
      </c>
      <c r="G333" s="233" t="str">
        <f>IF(M333&gt;0, "1", "0")</f>
        <v>0</v>
      </c>
      <c r="H333" s="233" t="str">
        <f>IF(S333&gt;0, "1", "0")</f>
        <v>0</v>
      </c>
      <c r="I333" s="233" t="str">
        <f>IF(AI333&gt;0, "1", "0")</f>
        <v>1</v>
      </c>
      <c r="J333" s="233" t="str">
        <f>IF(AZ333&gt;0, "1", "0")</f>
        <v>0</v>
      </c>
      <c r="K333" s="233" t="str">
        <f>CONCATENATE(G333,H333,I333,J333)</f>
        <v>0010</v>
      </c>
      <c r="L333" s="246" t="str">
        <f>A333&amp;B333&amp;E333</f>
        <v>08805255School Turnaround Leaders Program</v>
      </c>
      <c r="M333" s="225"/>
      <c r="N333" s="225"/>
      <c r="O333" s="225"/>
      <c r="P333" s="225"/>
      <c r="Q333" s="225">
        <f>SUM(M333:P333)</f>
        <v>0</v>
      </c>
      <c r="R333" s="225"/>
      <c r="S333" s="225">
        <v>0</v>
      </c>
      <c r="T333" s="225"/>
      <c r="U333" s="225"/>
      <c r="V333" s="225"/>
      <c r="W333" s="225"/>
      <c r="X333" s="225"/>
      <c r="Y333" s="225"/>
      <c r="Z333" s="225"/>
      <c r="AA333" s="225"/>
      <c r="AB333" s="225"/>
      <c r="AC333" s="225"/>
      <c r="AD333" s="225"/>
      <c r="AE333" s="225"/>
      <c r="AF333" s="225">
        <f>SUM(Q333:AE333)</f>
        <v>0</v>
      </c>
      <c r="AG333" s="225"/>
      <c r="AH333" s="225">
        <v>0</v>
      </c>
      <c r="AI333" s="225">
        <v>38617.199999999997</v>
      </c>
      <c r="AJ333" s="225"/>
      <c r="AK333" s="225"/>
      <c r="AL333" s="225"/>
      <c r="AM333" s="225"/>
      <c r="AN333" s="225">
        <v>0</v>
      </c>
      <c r="AO333" s="225">
        <v>0</v>
      </c>
      <c r="AP333" s="225"/>
      <c r="AQ333" s="225"/>
      <c r="AR333" s="225"/>
      <c r="AS333" s="225"/>
      <c r="AT333" s="248">
        <v>0</v>
      </c>
      <c r="AU333" s="248">
        <v>0</v>
      </c>
      <c r="AV333" s="248">
        <v>0</v>
      </c>
      <c r="AW333" s="227">
        <f>SUM(AF333:AV333)</f>
        <v>38617.199999999997</v>
      </c>
      <c r="AX333" s="249">
        <v>0</v>
      </c>
      <c r="AY333" s="225">
        <v>0</v>
      </c>
      <c r="AZ333" s="227"/>
      <c r="BA333" s="250">
        <v>0</v>
      </c>
      <c r="BB333" s="225">
        <v>0</v>
      </c>
      <c r="BC333" s="225">
        <v>0</v>
      </c>
      <c r="BD333" s="225">
        <v>0</v>
      </c>
      <c r="BE333" s="225"/>
      <c r="BF333" s="225"/>
      <c r="BG333" s="225">
        <v>0</v>
      </c>
      <c r="BH333" s="225">
        <v>0</v>
      </c>
      <c r="BI333" s="225">
        <v>0</v>
      </c>
      <c r="BJ333" s="248"/>
      <c r="BK333" s="248"/>
      <c r="BL333" s="248"/>
      <c r="BM333" s="248">
        <f t="shared" si="151"/>
        <v>38617.199999999997</v>
      </c>
      <c r="BN333" s="249"/>
      <c r="BO333" s="225"/>
      <c r="BP333" s="248"/>
      <c r="BQ333" s="249"/>
      <c r="BR333" s="225"/>
      <c r="BS333" s="225"/>
      <c r="BT333" s="225"/>
      <c r="BU333" s="147">
        <v>-23872.94</v>
      </c>
      <c r="BV333" s="225"/>
      <c r="BW333" s="225"/>
      <c r="BX333" s="225"/>
      <c r="BY333" s="225"/>
      <c r="BZ333" s="225"/>
      <c r="CA333" s="225"/>
      <c r="CB333" s="225"/>
      <c r="CC333" s="227">
        <f t="shared" si="148"/>
        <v>14744.259999999998</v>
      </c>
      <c r="CD333" s="244"/>
      <c r="CE333" s="244"/>
      <c r="CF333" s="244"/>
    </row>
    <row r="334" spans="1:84" x14ac:dyDescent="0.2">
      <c r="A334" s="245" t="s">
        <v>23</v>
      </c>
      <c r="B334" s="246" t="s">
        <v>416</v>
      </c>
      <c r="C334" s="246" t="s">
        <v>507</v>
      </c>
      <c r="D334" s="246" t="s">
        <v>539</v>
      </c>
      <c r="E334" s="246" t="s">
        <v>509</v>
      </c>
      <c r="F334" s="246"/>
      <c r="G334" s="233"/>
      <c r="H334" s="233"/>
      <c r="I334" s="233"/>
      <c r="J334" s="233"/>
      <c r="K334" s="233"/>
      <c r="L334" s="246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  <c r="AA334" s="225"/>
      <c r="AB334" s="225"/>
      <c r="AC334" s="225"/>
      <c r="AD334" s="225"/>
      <c r="AE334" s="225"/>
      <c r="AF334" s="225"/>
      <c r="AG334" s="225"/>
      <c r="AH334" s="225"/>
      <c r="AI334" s="225"/>
      <c r="AJ334" s="225"/>
      <c r="AK334" s="225"/>
      <c r="AL334" s="225"/>
      <c r="AM334" s="225"/>
      <c r="AN334" s="225"/>
      <c r="AO334" s="225"/>
      <c r="AP334" s="225"/>
      <c r="AQ334" s="225"/>
      <c r="AR334" s="225"/>
      <c r="AS334" s="225"/>
      <c r="AT334" s="248"/>
      <c r="AU334" s="248"/>
      <c r="AV334" s="248"/>
      <c r="AW334" s="227"/>
      <c r="AX334" s="249"/>
      <c r="AY334" s="225"/>
      <c r="AZ334" s="227">
        <v>24000</v>
      </c>
      <c r="BA334" s="250"/>
      <c r="BB334" s="225"/>
      <c r="BC334" s="225"/>
      <c r="BD334" s="225"/>
      <c r="BE334" s="225"/>
      <c r="BF334" s="225"/>
      <c r="BG334" s="225"/>
      <c r="BH334" s="225"/>
      <c r="BI334" s="225"/>
      <c r="BJ334" s="248"/>
      <c r="BK334" s="248"/>
      <c r="BL334" s="248"/>
      <c r="BM334" s="248">
        <f t="shared" si="151"/>
        <v>24000</v>
      </c>
      <c r="BN334" s="249"/>
      <c r="BO334" s="225"/>
      <c r="BP334" s="248">
        <v>5680</v>
      </c>
      <c r="BQ334" s="249"/>
      <c r="BR334" s="225"/>
      <c r="BS334" s="225"/>
      <c r="BT334" s="225"/>
      <c r="BU334" s="225"/>
      <c r="BV334" s="225"/>
      <c r="BW334" s="225"/>
      <c r="BX334" s="225"/>
      <c r="BY334" s="225"/>
      <c r="BZ334" s="225"/>
      <c r="CA334" s="225"/>
      <c r="CB334" s="225"/>
      <c r="CC334" s="227">
        <f t="shared" si="148"/>
        <v>29680</v>
      </c>
      <c r="CD334" s="244"/>
      <c r="CE334" s="244"/>
      <c r="CF334" s="244"/>
    </row>
    <row r="335" spans="1:84" x14ac:dyDescent="0.2">
      <c r="A335" s="245" t="s">
        <v>23</v>
      </c>
      <c r="B335" s="246" t="s">
        <v>435</v>
      </c>
      <c r="C335" s="246" t="s">
        <v>507</v>
      </c>
      <c r="D335" s="246" t="s">
        <v>518</v>
      </c>
      <c r="E335" s="246" t="s">
        <v>509</v>
      </c>
      <c r="F335" s="246" t="s">
        <v>715</v>
      </c>
      <c r="G335" s="233" t="str">
        <f>IF(M335&gt;0, "1", "0")</f>
        <v>0</v>
      </c>
      <c r="H335" s="233" t="str">
        <f>IF(S335&gt;0, "1", "0")</f>
        <v>1</v>
      </c>
      <c r="I335" s="233" t="str">
        <f>IF(AI335&gt;0, "1", "0")</f>
        <v>0</v>
      </c>
      <c r="J335" s="233" t="str">
        <f>IF(AZ335&gt;0, "1", "0")</f>
        <v>0</v>
      </c>
      <c r="K335" s="233" t="str">
        <f>CONCATENATE(G335,H335,I335,J335)</f>
        <v>0100</v>
      </c>
      <c r="L335" s="246" t="str">
        <f>A335&amp;B335&amp;E335</f>
        <v>08805448School Turnaround Leaders Program</v>
      </c>
      <c r="M335" s="225"/>
      <c r="N335" s="225"/>
      <c r="O335" s="225"/>
      <c r="P335" s="225"/>
      <c r="Q335" s="225">
        <f>SUM(M335:P335)</f>
        <v>0</v>
      </c>
      <c r="R335" s="225"/>
      <c r="S335" s="225">
        <v>94153</v>
      </c>
      <c r="T335" s="225"/>
      <c r="U335" s="225"/>
      <c r="V335" s="225"/>
      <c r="W335" s="225"/>
      <c r="X335" s="225"/>
      <c r="Y335" s="225"/>
      <c r="Z335" s="225"/>
      <c r="AA335" s="225"/>
      <c r="AB335" s="225"/>
      <c r="AC335" s="225"/>
      <c r="AD335" s="225"/>
      <c r="AE335" s="225"/>
      <c r="AF335" s="225">
        <f>SUM(Q335:AE335)</f>
        <v>94153</v>
      </c>
      <c r="AG335" s="225"/>
      <c r="AH335" s="225">
        <v>0</v>
      </c>
      <c r="AI335" s="225"/>
      <c r="AJ335" s="225"/>
      <c r="AK335" s="225"/>
      <c r="AL335" s="225"/>
      <c r="AM335" s="225"/>
      <c r="AN335" s="225">
        <v>0</v>
      </c>
      <c r="AO335" s="225">
        <v>-9702</v>
      </c>
      <c r="AP335" s="225"/>
      <c r="AQ335" s="225"/>
      <c r="AR335" s="225"/>
      <c r="AS335" s="225"/>
      <c r="AT335" s="248">
        <v>0</v>
      </c>
      <c r="AU335" s="248">
        <v>0</v>
      </c>
      <c r="AV335" s="248">
        <v>0</v>
      </c>
      <c r="AW335" s="227">
        <f>SUM(AF335:AV335)</f>
        <v>84451</v>
      </c>
      <c r="AX335" s="249">
        <v>0</v>
      </c>
      <c r="AY335" s="225">
        <v>0</v>
      </c>
      <c r="AZ335" s="227"/>
      <c r="BA335" s="250">
        <v>0</v>
      </c>
      <c r="BB335" s="225">
        <v>0</v>
      </c>
      <c r="BC335" s="225">
        <v>0</v>
      </c>
      <c r="BD335" s="225">
        <v>0</v>
      </c>
      <c r="BE335" s="225"/>
      <c r="BF335" s="225"/>
      <c r="BG335" s="225">
        <v>0</v>
      </c>
      <c r="BH335" s="225">
        <v>0</v>
      </c>
      <c r="BI335" s="225">
        <v>0</v>
      </c>
      <c r="BJ335" s="248"/>
      <c r="BK335" s="248"/>
      <c r="BL335" s="248"/>
      <c r="BM335" s="248">
        <f t="shared" si="151"/>
        <v>84451</v>
      </c>
      <c r="BN335" s="249"/>
      <c r="BO335" s="225"/>
      <c r="BP335" s="248"/>
      <c r="BQ335" s="249"/>
      <c r="BR335" s="225"/>
      <c r="BS335" s="225"/>
      <c r="BT335" s="225"/>
      <c r="BU335" s="225"/>
      <c r="BV335" s="225"/>
      <c r="BW335" s="225"/>
      <c r="BX335" s="225"/>
      <c r="BY335" s="225"/>
      <c r="BZ335" s="225"/>
      <c r="CA335" s="225"/>
      <c r="CB335" s="225"/>
      <c r="CC335" s="227">
        <f t="shared" si="148"/>
        <v>84451</v>
      </c>
      <c r="CD335" s="244"/>
      <c r="CE335" s="244"/>
      <c r="CF335" s="244"/>
    </row>
    <row r="336" spans="1:84" x14ac:dyDescent="0.2">
      <c r="A336" s="245" t="s">
        <v>23</v>
      </c>
      <c r="B336" s="246" t="s">
        <v>436</v>
      </c>
      <c r="C336" s="246" t="s">
        <v>507</v>
      </c>
      <c r="D336" s="246" t="s">
        <v>519</v>
      </c>
      <c r="E336" s="246" t="s">
        <v>509</v>
      </c>
      <c r="F336" s="246" t="s">
        <v>715</v>
      </c>
      <c r="G336" s="233" t="str">
        <f>IF(M336&gt;0, "1", "0")</f>
        <v>0</v>
      </c>
      <c r="H336" s="233" t="str">
        <f>IF(S336&gt;0, "1", "0")</f>
        <v>1</v>
      </c>
      <c r="I336" s="233" t="str">
        <f>IF(AI336&gt;0, "1", "0")</f>
        <v>0</v>
      </c>
      <c r="J336" s="233" t="str">
        <f>IF(AZ336&gt;0, "1", "0")</f>
        <v>0</v>
      </c>
      <c r="K336" s="233" t="str">
        <f>CONCATENATE(G336,H336,I336,J336)</f>
        <v>0100</v>
      </c>
      <c r="L336" s="246" t="str">
        <f>A336&amp;B336&amp;E336</f>
        <v>08806239School Turnaround Leaders Program</v>
      </c>
      <c r="M336" s="225"/>
      <c r="N336" s="225"/>
      <c r="O336" s="225"/>
      <c r="P336" s="225"/>
      <c r="Q336" s="225">
        <f>SUM(M336:P336)</f>
        <v>0</v>
      </c>
      <c r="R336" s="225"/>
      <c r="S336" s="225">
        <v>94153</v>
      </c>
      <c r="T336" s="225"/>
      <c r="U336" s="225"/>
      <c r="V336" s="225"/>
      <c r="W336" s="225"/>
      <c r="X336" s="225"/>
      <c r="Y336" s="225"/>
      <c r="Z336" s="225"/>
      <c r="AA336" s="225"/>
      <c r="AB336" s="225"/>
      <c r="AC336" s="225"/>
      <c r="AD336" s="225"/>
      <c r="AE336" s="225"/>
      <c r="AF336" s="225">
        <f>SUM(Q336:AE336)</f>
        <v>94153</v>
      </c>
      <c r="AG336" s="225"/>
      <c r="AH336" s="225">
        <v>0</v>
      </c>
      <c r="AI336" s="225"/>
      <c r="AJ336" s="225"/>
      <c r="AK336" s="225"/>
      <c r="AL336" s="225"/>
      <c r="AM336" s="225"/>
      <c r="AN336" s="225">
        <v>0</v>
      </c>
      <c r="AO336" s="225">
        <v>-9702</v>
      </c>
      <c r="AP336" s="225"/>
      <c r="AQ336" s="225"/>
      <c r="AR336" s="225"/>
      <c r="AS336" s="225"/>
      <c r="AT336" s="248">
        <v>0</v>
      </c>
      <c r="AU336" s="248">
        <v>0</v>
      </c>
      <c r="AV336" s="248">
        <v>0</v>
      </c>
      <c r="AW336" s="227">
        <f>SUM(AF336:AV336)</f>
        <v>84451</v>
      </c>
      <c r="AX336" s="249">
        <v>0</v>
      </c>
      <c r="AY336" s="225">
        <v>0</v>
      </c>
      <c r="AZ336" s="227"/>
      <c r="BA336" s="250">
        <v>0</v>
      </c>
      <c r="BB336" s="225">
        <v>0</v>
      </c>
      <c r="BC336" s="225">
        <v>0</v>
      </c>
      <c r="BD336" s="225">
        <v>0</v>
      </c>
      <c r="BE336" s="225"/>
      <c r="BF336" s="225"/>
      <c r="BG336" s="225">
        <v>0</v>
      </c>
      <c r="BH336" s="225">
        <v>0</v>
      </c>
      <c r="BI336" s="225">
        <v>0</v>
      </c>
      <c r="BJ336" s="248"/>
      <c r="BK336" s="248"/>
      <c r="BL336" s="248"/>
      <c r="BM336" s="248">
        <f t="shared" si="151"/>
        <v>84451</v>
      </c>
      <c r="BN336" s="249"/>
      <c r="BO336" s="225"/>
      <c r="BP336" s="248"/>
      <c r="BQ336" s="249"/>
      <c r="BR336" s="225"/>
      <c r="BS336" s="225"/>
      <c r="BT336" s="225"/>
      <c r="BU336" s="225"/>
      <c r="BV336" s="225"/>
      <c r="BW336" s="225"/>
      <c r="BX336" s="225"/>
      <c r="BY336" s="225"/>
      <c r="BZ336" s="225"/>
      <c r="CA336" s="225"/>
      <c r="CB336" s="225"/>
      <c r="CC336" s="227">
        <f t="shared" si="148"/>
        <v>84451</v>
      </c>
      <c r="CD336" s="244"/>
      <c r="CE336" s="244"/>
      <c r="CF336" s="244"/>
    </row>
    <row r="337" spans="1:84" x14ac:dyDescent="0.2">
      <c r="A337" s="245" t="s">
        <v>23</v>
      </c>
      <c r="B337" s="246" t="s">
        <v>437</v>
      </c>
      <c r="C337" s="246" t="s">
        <v>507</v>
      </c>
      <c r="D337" s="246" t="s">
        <v>520</v>
      </c>
      <c r="E337" s="246" t="s">
        <v>509</v>
      </c>
      <c r="F337" s="246" t="s">
        <v>715</v>
      </c>
      <c r="G337" s="233" t="str">
        <f>IF(M337&gt;0, "1", "0")</f>
        <v>0</v>
      </c>
      <c r="H337" s="233" t="str">
        <f>IF(S337&gt;0, "1", "0")</f>
        <v>1</v>
      </c>
      <c r="I337" s="233" t="str">
        <f>IF(AI337&gt;0, "1", "0")</f>
        <v>0</v>
      </c>
      <c r="J337" s="233" t="str">
        <f>IF(AZ337&gt;0, "1", "0")</f>
        <v>0</v>
      </c>
      <c r="K337" s="233" t="str">
        <f>CONCATENATE(G337,H337,I337,J337)</f>
        <v>0100</v>
      </c>
      <c r="L337" s="246" t="str">
        <f>A337&amp;B337&amp;E337</f>
        <v>08806508School Turnaround Leaders Program</v>
      </c>
      <c r="M337" s="225"/>
      <c r="N337" s="225"/>
      <c r="O337" s="225"/>
      <c r="P337" s="225"/>
      <c r="Q337" s="225">
        <f>SUM(M337:P337)</f>
        <v>0</v>
      </c>
      <c r="R337" s="225"/>
      <c r="S337" s="225">
        <v>48510</v>
      </c>
      <c r="T337" s="225"/>
      <c r="U337" s="225"/>
      <c r="V337" s="225"/>
      <c r="W337" s="225"/>
      <c r="X337" s="225"/>
      <c r="Y337" s="225"/>
      <c r="Z337" s="225"/>
      <c r="AA337" s="225"/>
      <c r="AB337" s="225"/>
      <c r="AC337" s="225"/>
      <c r="AD337" s="225"/>
      <c r="AE337" s="225"/>
      <c r="AF337" s="225">
        <f>SUM(Q337:AE337)</f>
        <v>48510</v>
      </c>
      <c r="AG337" s="225"/>
      <c r="AH337" s="225">
        <v>0</v>
      </c>
      <c r="AI337" s="225"/>
      <c r="AJ337" s="225"/>
      <c r="AK337" s="225"/>
      <c r="AL337" s="225"/>
      <c r="AM337" s="225"/>
      <c r="AN337" s="225">
        <v>0</v>
      </c>
      <c r="AO337" s="225">
        <v>0</v>
      </c>
      <c r="AP337" s="225"/>
      <c r="AQ337" s="225"/>
      <c r="AR337" s="225"/>
      <c r="AS337" s="225"/>
      <c r="AT337" s="248">
        <v>0</v>
      </c>
      <c r="AU337" s="248">
        <v>0</v>
      </c>
      <c r="AV337" s="248">
        <v>0</v>
      </c>
      <c r="AW337" s="227">
        <f>SUM(AF337:AV337)</f>
        <v>48510</v>
      </c>
      <c r="AX337" s="249">
        <v>35983.200000000004</v>
      </c>
      <c r="AY337" s="225">
        <v>0</v>
      </c>
      <c r="AZ337" s="227"/>
      <c r="BA337" s="250">
        <v>0</v>
      </c>
      <c r="BB337" s="225">
        <v>0</v>
      </c>
      <c r="BC337" s="225">
        <v>0</v>
      </c>
      <c r="BD337" s="225">
        <v>0</v>
      </c>
      <c r="BE337" s="225"/>
      <c r="BF337" s="225"/>
      <c r="BG337" s="225">
        <v>0</v>
      </c>
      <c r="BH337" s="225">
        <v>0</v>
      </c>
      <c r="BI337" s="225">
        <v>0</v>
      </c>
      <c r="BJ337" s="248"/>
      <c r="BK337" s="248"/>
      <c r="BL337" s="248"/>
      <c r="BM337" s="248">
        <f t="shared" si="151"/>
        <v>84493.200000000012</v>
      </c>
      <c r="BN337" s="249"/>
      <c r="BO337" s="225"/>
      <c r="BP337" s="248"/>
      <c r="BQ337" s="249"/>
      <c r="BR337" s="225"/>
      <c r="BS337" s="225"/>
      <c r="BT337" s="225"/>
      <c r="BU337" s="225"/>
      <c r="BV337" s="225"/>
      <c r="BW337" s="225"/>
      <c r="BX337" s="225"/>
      <c r="BY337" s="225"/>
      <c r="BZ337" s="225"/>
      <c r="CA337" s="225"/>
      <c r="CB337" s="225"/>
      <c r="CC337" s="227">
        <f t="shared" ref="CC337:CC400" si="152">SUM(BM337:CB337)</f>
        <v>84493.200000000012</v>
      </c>
      <c r="CD337" s="244"/>
      <c r="CE337" s="244"/>
      <c r="CF337" s="244"/>
    </row>
    <row r="338" spans="1:84" x14ac:dyDescent="0.2">
      <c r="A338" s="245" t="s">
        <v>23</v>
      </c>
      <c r="B338" s="246" t="s">
        <v>419</v>
      </c>
      <c r="C338" s="246" t="s">
        <v>507</v>
      </c>
      <c r="D338" s="246" t="s">
        <v>536</v>
      </c>
      <c r="E338" s="246" t="s">
        <v>509</v>
      </c>
      <c r="F338" s="246"/>
      <c r="G338" s="233"/>
      <c r="H338" s="233"/>
      <c r="I338" s="233"/>
      <c r="J338" s="233"/>
      <c r="K338" s="233"/>
      <c r="L338" s="246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25"/>
      <c r="Z338" s="225"/>
      <c r="AA338" s="225"/>
      <c r="AB338" s="225"/>
      <c r="AC338" s="225"/>
      <c r="AD338" s="225"/>
      <c r="AE338" s="225"/>
      <c r="AF338" s="225"/>
      <c r="AG338" s="225"/>
      <c r="AH338" s="225"/>
      <c r="AI338" s="225"/>
      <c r="AJ338" s="225"/>
      <c r="AK338" s="225"/>
      <c r="AL338" s="225"/>
      <c r="AM338" s="225"/>
      <c r="AN338" s="225"/>
      <c r="AO338" s="225"/>
      <c r="AP338" s="225"/>
      <c r="AQ338" s="225"/>
      <c r="AR338" s="225"/>
      <c r="AS338" s="225"/>
      <c r="AT338" s="248"/>
      <c r="AU338" s="248"/>
      <c r="AV338" s="248"/>
      <c r="AW338" s="227"/>
      <c r="AX338" s="249"/>
      <c r="AY338" s="225"/>
      <c r="AZ338" s="227">
        <v>12000</v>
      </c>
      <c r="BA338" s="250"/>
      <c r="BB338" s="225"/>
      <c r="BC338" s="225"/>
      <c r="BD338" s="225"/>
      <c r="BE338" s="225"/>
      <c r="BF338" s="225"/>
      <c r="BG338" s="225"/>
      <c r="BH338" s="225"/>
      <c r="BI338" s="225"/>
      <c r="BJ338" s="248"/>
      <c r="BK338" s="248"/>
      <c r="BL338" s="248"/>
      <c r="BM338" s="248">
        <f t="shared" si="151"/>
        <v>12000</v>
      </c>
      <c r="BN338" s="249"/>
      <c r="BO338" s="225"/>
      <c r="BP338" s="248">
        <v>2840</v>
      </c>
      <c r="BQ338" s="249"/>
      <c r="BR338" s="225"/>
      <c r="BS338" s="225"/>
      <c r="BT338" s="225"/>
      <c r="BU338" s="225">
        <v>-11937.01</v>
      </c>
      <c r="BV338" s="225"/>
      <c r="BW338" s="225"/>
      <c r="BX338" s="225"/>
      <c r="BY338" s="225"/>
      <c r="BZ338" s="225"/>
      <c r="CA338" s="225"/>
      <c r="CB338" s="225"/>
      <c r="CC338" s="227">
        <f t="shared" si="152"/>
        <v>2902.99</v>
      </c>
      <c r="CD338" s="244"/>
      <c r="CE338" s="244"/>
      <c r="CF338" s="244"/>
    </row>
    <row r="339" spans="1:84" x14ac:dyDescent="0.2">
      <c r="A339" s="245" t="s">
        <v>23</v>
      </c>
      <c r="B339" s="246" t="s">
        <v>421</v>
      </c>
      <c r="C339" s="246" t="s">
        <v>507</v>
      </c>
      <c r="D339" s="246" t="s">
        <v>546</v>
      </c>
      <c r="E339" s="246" t="s">
        <v>509</v>
      </c>
      <c r="F339" s="246"/>
      <c r="G339" s="233"/>
      <c r="H339" s="233"/>
      <c r="I339" s="233"/>
      <c r="J339" s="233"/>
      <c r="K339" s="233"/>
      <c r="L339" s="246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  <c r="AA339" s="225"/>
      <c r="AB339" s="225"/>
      <c r="AC339" s="225"/>
      <c r="AD339" s="225"/>
      <c r="AE339" s="225"/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48"/>
      <c r="AU339" s="248"/>
      <c r="AV339" s="248"/>
      <c r="AW339" s="227"/>
      <c r="AX339" s="249"/>
      <c r="AY339" s="225"/>
      <c r="AZ339" s="227">
        <v>60000</v>
      </c>
      <c r="BA339" s="250"/>
      <c r="BB339" s="225"/>
      <c r="BC339" s="225"/>
      <c r="BD339" s="225"/>
      <c r="BE339" s="225"/>
      <c r="BF339" s="225"/>
      <c r="BG339" s="225"/>
      <c r="BH339" s="225"/>
      <c r="BI339" s="225"/>
      <c r="BJ339" s="248"/>
      <c r="BK339" s="248"/>
      <c r="BL339" s="248"/>
      <c r="BM339" s="248">
        <f t="shared" si="151"/>
        <v>60000</v>
      </c>
      <c r="BN339" s="249"/>
      <c r="BO339" s="225"/>
      <c r="BP339" s="248">
        <v>40000</v>
      </c>
      <c r="BQ339" s="249"/>
      <c r="BR339" s="225"/>
      <c r="BS339" s="225"/>
      <c r="BT339" s="225"/>
      <c r="BU339" s="225"/>
      <c r="BV339" s="225"/>
      <c r="BW339" s="225"/>
      <c r="BX339" s="225"/>
      <c r="BY339" s="225"/>
      <c r="BZ339" s="225"/>
      <c r="CA339" s="225"/>
      <c r="CB339" s="225"/>
      <c r="CC339" s="227">
        <f t="shared" si="152"/>
        <v>100000</v>
      </c>
      <c r="CD339" s="244"/>
      <c r="CE339" s="244"/>
      <c r="CF339" s="244"/>
    </row>
    <row r="340" spans="1:84" x14ac:dyDescent="0.2">
      <c r="A340" s="245" t="s">
        <v>23</v>
      </c>
      <c r="B340" s="246" t="s">
        <v>422</v>
      </c>
      <c r="C340" s="246" t="s">
        <v>507</v>
      </c>
      <c r="D340" s="246" t="s">
        <v>511</v>
      </c>
      <c r="E340" s="246" t="s">
        <v>509</v>
      </c>
      <c r="F340" s="246" t="s">
        <v>715</v>
      </c>
      <c r="G340" s="233" t="str">
        <f>IF(M340&gt;0, "1", "0")</f>
        <v>0</v>
      </c>
      <c r="H340" s="233" t="str">
        <f>IF(S340&gt;0, "1", "0")</f>
        <v>1</v>
      </c>
      <c r="I340" s="233" t="str">
        <f>IF(AI340&gt;0, "1", "0")</f>
        <v>0</v>
      </c>
      <c r="J340" s="233" t="str">
        <f>IF(AZ340&gt;0, "1", "0")</f>
        <v>0</v>
      </c>
      <c r="K340" s="233" t="str">
        <f>CONCATENATE(G340,H340,I340,J340)</f>
        <v>0100</v>
      </c>
      <c r="L340" s="246" t="str">
        <f>A340&amp;B340&amp;E340</f>
        <v>08807694School Turnaround Leaders Program</v>
      </c>
      <c r="M340" s="225"/>
      <c r="N340" s="225"/>
      <c r="O340" s="225"/>
      <c r="P340" s="225"/>
      <c r="Q340" s="225">
        <f>SUM(M340:P340)</f>
        <v>0</v>
      </c>
      <c r="R340" s="225"/>
      <c r="S340" s="225">
        <v>50105</v>
      </c>
      <c r="T340" s="225"/>
      <c r="U340" s="225"/>
      <c r="V340" s="225"/>
      <c r="W340" s="225"/>
      <c r="X340" s="225"/>
      <c r="Y340" s="225"/>
      <c r="Z340" s="225"/>
      <c r="AA340" s="225"/>
      <c r="AB340" s="225"/>
      <c r="AC340" s="225"/>
      <c r="AD340" s="225"/>
      <c r="AE340" s="225"/>
      <c r="AF340" s="225">
        <f>SUM(Q340:AE340)</f>
        <v>50105</v>
      </c>
      <c r="AG340" s="225"/>
      <c r="AH340" s="225">
        <v>0</v>
      </c>
      <c r="AI340" s="225"/>
      <c r="AJ340" s="225"/>
      <c r="AK340" s="225"/>
      <c r="AL340" s="225"/>
      <c r="AM340" s="225"/>
      <c r="AN340" s="225">
        <v>0</v>
      </c>
      <c r="AO340" s="225">
        <v>-19404</v>
      </c>
      <c r="AP340" s="225"/>
      <c r="AQ340" s="225"/>
      <c r="AR340" s="225"/>
      <c r="AS340" s="225"/>
      <c r="AT340" s="248">
        <v>0</v>
      </c>
      <c r="AU340" s="248">
        <v>0</v>
      </c>
      <c r="AV340" s="248">
        <v>0</v>
      </c>
      <c r="AW340" s="227">
        <f>SUM(AF340:AV340)</f>
        <v>30701</v>
      </c>
      <c r="AX340" s="249">
        <v>0</v>
      </c>
      <c r="AY340" s="225">
        <v>0</v>
      </c>
      <c r="AZ340" s="227"/>
      <c r="BA340" s="250">
        <v>0</v>
      </c>
      <c r="BB340" s="225">
        <v>0</v>
      </c>
      <c r="BC340" s="225">
        <v>0</v>
      </c>
      <c r="BD340" s="225">
        <v>0</v>
      </c>
      <c r="BE340" s="225"/>
      <c r="BF340" s="225"/>
      <c r="BG340" s="225">
        <v>0</v>
      </c>
      <c r="BH340" s="225">
        <v>0</v>
      </c>
      <c r="BI340" s="225">
        <v>0</v>
      </c>
      <c r="BJ340" s="248"/>
      <c r="BK340" s="248"/>
      <c r="BL340" s="248"/>
      <c r="BM340" s="248">
        <f t="shared" si="151"/>
        <v>30701</v>
      </c>
      <c r="BN340" s="249"/>
      <c r="BO340" s="225"/>
      <c r="BP340" s="248"/>
      <c r="BQ340" s="249"/>
      <c r="BR340" s="225"/>
      <c r="BS340" s="225"/>
      <c r="BT340" s="225"/>
      <c r="BU340" s="225"/>
      <c r="BV340" s="225"/>
      <c r="BW340" s="225"/>
      <c r="BX340" s="225"/>
      <c r="BY340" s="225"/>
      <c r="BZ340" s="225"/>
      <c r="CA340" s="225"/>
      <c r="CB340" s="225"/>
      <c r="CC340" s="227">
        <f t="shared" si="152"/>
        <v>30701</v>
      </c>
      <c r="CD340" s="244"/>
      <c r="CE340" s="244"/>
      <c r="CF340" s="244"/>
    </row>
    <row r="341" spans="1:84" x14ac:dyDescent="0.2">
      <c r="A341" s="245" t="s">
        <v>23</v>
      </c>
      <c r="B341" s="246" t="s">
        <v>70</v>
      </c>
      <c r="C341" s="246" t="s">
        <v>507</v>
      </c>
      <c r="D341" s="246" t="s">
        <v>143</v>
      </c>
      <c r="E341" s="246" t="s">
        <v>509</v>
      </c>
      <c r="F341" s="246" t="s">
        <v>715</v>
      </c>
      <c r="G341" s="233" t="str">
        <f>IF(M341&gt;0, "1", "0")</f>
        <v>0</v>
      </c>
      <c r="H341" s="233" t="str">
        <f>IF(S341&gt;0, "1", "0")</f>
        <v>1</v>
      </c>
      <c r="I341" s="233" t="str">
        <f>IF(AI341&gt;0, "1", "0")</f>
        <v>0</v>
      </c>
      <c r="J341" s="233" t="str">
        <f>IF(AZ341&gt;0, "1", "0")</f>
        <v>0</v>
      </c>
      <c r="K341" s="233" t="str">
        <f>CONCATENATE(G341,H341,I341,J341)</f>
        <v>0100</v>
      </c>
      <c r="L341" s="246" t="str">
        <f>A341&amp;B341&amp;E341</f>
        <v>08807698School Turnaround Leaders Program</v>
      </c>
      <c r="M341" s="225"/>
      <c r="N341" s="225"/>
      <c r="O341" s="225"/>
      <c r="P341" s="225"/>
      <c r="Q341" s="225">
        <f>SUM(M341:P341)</f>
        <v>0</v>
      </c>
      <c r="R341" s="225"/>
      <c r="S341" s="225">
        <v>25053</v>
      </c>
      <c r="T341" s="225"/>
      <c r="U341" s="225"/>
      <c r="V341" s="225"/>
      <c r="W341" s="225"/>
      <c r="X341" s="225"/>
      <c r="Y341" s="225"/>
      <c r="Z341" s="225"/>
      <c r="AA341" s="225"/>
      <c r="AB341" s="225"/>
      <c r="AC341" s="225"/>
      <c r="AD341" s="225"/>
      <c r="AE341" s="225"/>
      <c r="AF341" s="225">
        <f>SUM(Q341:AE341)</f>
        <v>25053</v>
      </c>
      <c r="AG341" s="225"/>
      <c r="AH341" s="225">
        <v>0</v>
      </c>
      <c r="AI341" s="225"/>
      <c r="AJ341" s="225"/>
      <c r="AK341" s="225"/>
      <c r="AL341" s="225"/>
      <c r="AM341" s="225"/>
      <c r="AN341" s="225">
        <v>0</v>
      </c>
      <c r="AO341" s="225">
        <v>-19404</v>
      </c>
      <c r="AP341" s="225"/>
      <c r="AQ341" s="225"/>
      <c r="AR341" s="225"/>
      <c r="AS341" s="225"/>
      <c r="AT341" s="248">
        <v>0</v>
      </c>
      <c r="AU341" s="248">
        <v>0</v>
      </c>
      <c r="AV341" s="248">
        <v>0</v>
      </c>
      <c r="AW341" s="227">
        <f>SUM(AF341:AV341)</f>
        <v>5649</v>
      </c>
      <c r="AX341" s="249">
        <v>0</v>
      </c>
      <c r="AY341" s="225">
        <v>0</v>
      </c>
      <c r="AZ341" s="227"/>
      <c r="BA341" s="250">
        <v>0</v>
      </c>
      <c r="BB341" s="225">
        <v>0</v>
      </c>
      <c r="BC341" s="225">
        <v>0</v>
      </c>
      <c r="BD341" s="225">
        <v>0</v>
      </c>
      <c r="BE341" s="225"/>
      <c r="BF341" s="225"/>
      <c r="BG341" s="225">
        <v>0</v>
      </c>
      <c r="BH341" s="225">
        <v>0</v>
      </c>
      <c r="BI341" s="225">
        <v>0</v>
      </c>
      <c r="BJ341" s="248"/>
      <c r="BK341" s="248"/>
      <c r="BL341" s="248"/>
      <c r="BM341" s="248">
        <f t="shared" si="151"/>
        <v>5649</v>
      </c>
      <c r="BN341" s="249"/>
      <c r="BO341" s="225"/>
      <c r="BP341" s="248"/>
      <c r="BQ341" s="249"/>
      <c r="BR341" s="225"/>
      <c r="BS341" s="225"/>
      <c r="BT341" s="225"/>
      <c r="BU341" s="225"/>
      <c r="BV341" s="225"/>
      <c r="BW341" s="225"/>
      <c r="BX341" s="225"/>
      <c r="BY341" s="225"/>
      <c r="BZ341" s="225"/>
      <c r="CA341" s="225"/>
      <c r="CB341" s="225"/>
      <c r="CC341" s="227">
        <f t="shared" si="152"/>
        <v>5649</v>
      </c>
      <c r="CD341" s="244"/>
      <c r="CE341" s="244"/>
      <c r="CF341" s="244"/>
    </row>
    <row r="342" spans="1:84" x14ac:dyDescent="0.2">
      <c r="A342" s="245" t="s">
        <v>23</v>
      </c>
      <c r="B342" s="246" t="s">
        <v>71</v>
      </c>
      <c r="C342" s="246" t="s">
        <v>507</v>
      </c>
      <c r="D342" s="246" t="s">
        <v>144</v>
      </c>
      <c r="E342" s="246" t="s">
        <v>509</v>
      </c>
      <c r="F342" s="246" t="s">
        <v>715</v>
      </c>
      <c r="G342" s="233" t="str">
        <f>IF(M342&gt;0, "1", "0")</f>
        <v>0</v>
      </c>
      <c r="H342" s="233" t="str">
        <f>IF(S342&gt;0, "1", "0")</f>
        <v>0</v>
      </c>
      <c r="I342" s="233" t="str">
        <f>IF(AI342&gt;0, "1", "0")</f>
        <v>1</v>
      </c>
      <c r="J342" s="233" t="str">
        <f>IF(AZ342&gt;0, "1", "0")</f>
        <v>0</v>
      </c>
      <c r="K342" s="233" t="str">
        <f>CONCATENATE(G342,H342,I342,J342)</f>
        <v>0010</v>
      </c>
      <c r="L342" s="246" t="str">
        <f>A342&amp;B342&amp;E342</f>
        <v>08808006School Turnaround Leaders Program</v>
      </c>
      <c r="M342" s="225"/>
      <c r="N342" s="225"/>
      <c r="O342" s="225"/>
      <c r="P342" s="225"/>
      <c r="Q342" s="225">
        <f>SUM(M342:P342)</f>
        <v>0</v>
      </c>
      <c r="R342" s="225"/>
      <c r="S342" s="225">
        <v>0</v>
      </c>
      <c r="T342" s="225"/>
      <c r="U342" s="225"/>
      <c r="V342" s="225"/>
      <c r="W342" s="225"/>
      <c r="X342" s="225"/>
      <c r="Y342" s="225"/>
      <c r="Z342" s="225"/>
      <c r="AA342" s="225"/>
      <c r="AB342" s="225"/>
      <c r="AC342" s="225"/>
      <c r="AD342" s="225"/>
      <c r="AE342" s="225"/>
      <c r="AF342" s="225">
        <f>SUM(Q342:AE342)</f>
        <v>0</v>
      </c>
      <c r="AG342" s="225"/>
      <c r="AH342" s="225">
        <v>0</v>
      </c>
      <c r="AI342" s="225">
        <v>33253.699999999997</v>
      </c>
      <c r="AJ342" s="225"/>
      <c r="AK342" s="225"/>
      <c r="AL342" s="225"/>
      <c r="AM342" s="225"/>
      <c r="AN342" s="225">
        <v>0</v>
      </c>
      <c r="AO342" s="225">
        <v>0</v>
      </c>
      <c r="AP342" s="225"/>
      <c r="AQ342" s="225"/>
      <c r="AR342" s="225"/>
      <c r="AS342" s="225"/>
      <c r="AT342" s="248">
        <v>0</v>
      </c>
      <c r="AU342" s="248">
        <v>0</v>
      </c>
      <c r="AV342" s="248">
        <v>0</v>
      </c>
      <c r="AW342" s="227">
        <f>SUM(AF342:AV342)</f>
        <v>33253.699999999997</v>
      </c>
      <c r="AX342" s="249">
        <v>0</v>
      </c>
      <c r="AY342" s="225">
        <v>0</v>
      </c>
      <c r="AZ342" s="227"/>
      <c r="BA342" s="250">
        <v>0</v>
      </c>
      <c r="BB342" s="225">
        <v>0</v>
      </c>
      <c r="BC342" s="225">
        <v>0</v>
      </c>
      <c r="BD342" s="225">
        <v>0</v>
      </c>
      <c r="BE342" s="225"/>
      <c r="BF342" s="225"/>
      <c r="BG342" s="225">
        <v>0</v>
      </c>
      <c r="BH342" s="225">
        <v>0</v>
      </c>
      <c r="BI342" s="225">
        <v>0</v>
      </c>
      <c r="BJ342" s="248"/>
      <c r="BK342" s="248"/>
      <c r="BL342" s="248"/>
      <c r="BM342" s="248">
        <f t="shared" si="151"/>
        <v>33253.699999999997</v>
      </c>
      <c r="BN342" s="249"/>
      <c r="BO342" s="225"/>
      <c r="BP342" s="248"/>
      <c r="BQ342" s="249"/>
      <c r="BR342" s="225"/>
      <c r="BS342" s="225"/>
      <c r="BT342" s="225"/>
      <c r="BU342" s="225"/>
      <c r="BV342" s="225"/>
      <c r="BW342" s="225"/>
      <c r="BX342" s="225"/>
      <c r="BY342" s="225"/>
      <c r="BZ342" s="225"/>
      <c r="CA342" s="225"/>
      <c r="CB342" s="225"/>
      <c r="CC342" s="227">
        <f t="shared" si="152"/>
        <v>33253.699999999997</v>
      </c>
      <c r="CD342" s="244"/>
      <c r="CE342" s="244"/>
      <c r="CF342" s="244"/>
    </row>
    <row r="343" spans="1:84" x14ac:dyDescent="0.2">
      <c r="A343" s="245" t="s">
        <v>23</v>
      </c>
      <c r="B343" s="246" t="s">
        <v>71</v>
      </c>
      <c r="C343" s="246" t="s">
        <v>507</v>
      </c>
      <c r="D343" s="246" t="s">
        <v>144</v>
      </c>
      <c r="E343" s="246" t="s">
        <v>509</v>
      </c>
      <c r="F343" s="246" t="s">
        <v>715</v>
      </c>
      <c r="G343" s="233" t="str">
        <f>IF(M343&gt;0, "1", "0")</f>
        <v>0</v>
      </c>
      <c r="H343" s="233" t="str">
        <f>IF(S343&gt;0, "1", "0")</f>
        <v>1</v>
      </c>
      <c r="I343" s="233" t="str">
        <f>IF(AI343&gt;0, "1", "0")</f>
        <v>0</v>
      </c>
      <c r="J343" s="233" t="str">
        <f>IF(AZ343&gt;0, "1", "0")</f>
        <v>0</v>
      </c>
      <c r="K343" s="233" t="str">
        <f>CONCATENATE(G343,H343,I343,J343)</f>
        <v>0100</v>
      </c>
      <c r="L343" s="246" t="str">
        <f>A343&amp;B343&amp;E343</f>
        <v>08808006School Turnaround Leaders Program</v>
      </c>
      <c r="M343" s="225"/>
      <c r="N343" s="225"/>
      <c r="O343" s="225"/>
      <c r="P343" s="225"/>
      <c r="Q343" s="225">
        <f>SUM(M343:P343)</f>
        <v>0</v>
      </c>
      <c r="R343" s="225"/>
      <c r="S343" s="225">
        <v>25053</v>
      </c>
      <c r="T343" s="225"/>
      <c r="U343" s="225"/>
      <c r="V343" s="225"/>
      <c r="W343" s="225"/>
      <c r="X343" s="225"/>
      <c r="Y343" s="225"/>
      <c r="Z343" s="225"/>
      <c r="AA343" s="225"/>
      <c r="AB343" s="225"/>
      <c r="AC343" s="225"/>
      <c r="AD343" s="225"/>
      <c r="AE343" s="225"/>
      <c r="AF343" s="225">
        <f>SUM(Q343:AE343)</f>
        <v>25053</v>
      </c>
      <c r="AG343" s="225"/>
      <c r="AH343" s="225">
        <v>0</v>
      </c>
      <c r="AI343" s="225"/>
      <c r="AJ343" s="225"/>
      <c r="AK343" s="225"/>
      <c r="AL343" s="225"/>
      <c r="AM343" s="225"/>
      <c r="AN343" s="225">
        <v>0</v>
      </c>
      <c r="AO343" s="225">
        <v>0</v>
      </c>
      <c r="AP343" s="225"/>
      <c r="AQ343" s="225"/>
      <c r="AR343" s="225"/>
      <c r="AS343" s="225"/>
      <c r="AT343" s="248">
        <v>0</v>
      </c>
      <c r="AU343" s="248">
        <v>0</v>
      </c>
      <c r="AV343" s="248">
        <v>0</v>
      </c>
      <c r="AW343" s="227">
        <f>SUM(AF343:AV343)</f>
        <v>25053</v>
      </c>
      <c r="AX343" s="249">
        <v>0</v>
      </c>
      <c r="AY343" s="225">
        <v>0</v>
      </c>
      <c r="AZ343" s="227"/>
      <c r="BA343" s="250">
        <v>0</v>
      </c>
      <c r="BB343" s="225">
        <v>0</v>
      </c>
      <c r="BC343" s="225">
        <v>0</v>
      </c>
      <c r="BD343" s="225">
        <v>0</v>
      </c>
      <c r="BE343" s="225"/>
      <c r="BF343" s="225"/>
      <c r="BG343" s="225">
        <v>0</v>
      </c>
      <c r="BH343" s="225">
        <v>0</v>
      </c>
      <c r="BI343" s="225">
        <v>0</v>
      </c>
      <c r="BJ343" s="248"/>
      <c r="BK343" s="248"/>
      <c r="BL343" s="248"/>
      <c r="BM343" s="248">
        <f t="shared" si="151"/>
        <v>25053</v>
      </c>
      <c r="BN343" s="249"/>
      <c r="BO343" s="225"/>
      <c r="BP343" s="248"/>
      <c r="BQ343" s="249"/>
      <c r="BR343" s="225"/>
      <c r="BS343" s="225"/>
      <c r="BT343" s="225"/>
      <c r="BU343" s="225"/>
      <c r="BV343" s="225"/>
      <c r="BW343" s="225"/>
      <c r="BX343" s="225"/>
      <c r="BY343" s="225"/>
      <c r="BZ343" s="225"/>
      <c r="CA343" s="225"/>
      <c r="CB343" s="225"/>
      <c r="CC343" s="227">
        <f t="shared" si="152"/>
        <v>25053</v>
      </c>
      <c r="CD343" s="244"/>
      <c r="CE343" s="244"/>
      <c r="CF343" s="244"/>
    </row>
    <row r="344" spans="1:84" x14ac:dyDescent="0.2">
      <c r="A344" s="245" t="s">
        <v>23</v>
      </c>
      <c r="B344" s="246" t="s">
        <v>398</v>
      </c>
      <c r="C344" s="246" t="s">
        <v>507</v>
      </c>
      <c r="D344" s="246" t="s">
        <v>521</v>
      </c>
      <c r="E344" s="246" t="s">
        <v>509</v>
      </c>
      <c r="F344" s="246" t="s">
        <v>715</v>
      </c>
      <c r="G344" s="233" t="str">
        <f>IF(M344&gt;0, "1", "0")</f>
        <v>0</v>
      </c>
      <c r="H344" s="233" t="str">
        <f>IF(S344&gt;0, "1", "0")</f>
        <v>1</v>
      </c>
      <c r="I344" s="233" t="str">
        <f>IF(AI344&gt;0, "1", "0")</f>
        <v>0</v>
      </c>
      <c r="J344" s="233" t="str">
        <f>IF(AZ344&gt;0, "1", "0")</f>
        <v>0</v>
      </c>
      <c r="K344" s="233" t="str">
        <f>CONCATENATE(G344,H344,I344,J344)</f>
        <v>0100</v>
      </c>
      <c r="L344" s="246" t="str">
        <f>A344&amp;B344&amp;E344</f>
        <v>08808145School Turnaround Leaders Program</v>
      </c>
      <c r="M344" s="225"/>
      <c r="N344" s="225"/>
      <c r="O344" s="225"/>
      <c r="P344" s="225"/>
      <c r="Q344" s="225">
        <f>SUM(M344:P344)</f>
        <v>0</v>
      </c>
      <c r="R344" s="225"/>
      <c r="S344" s="225">
        <v>25053</v>
      </c>
      <c r="T344" s="225"/>
      <c r="U344" s="225"/>
      <c r="V344" s="225"/>
      <c r="W344" s="225"/>
      <c r="X344" s="225"/>
      <c r="Y344" s="225"/>
      <c r="Z344" s="225"/>
      <c r="AA344" s="225"/>
      <c r="AB344" s="225"/>
      <c r="AC344" s="225"/>
      <c r="AD344" s="225"/>
      <c r="AE344" s="225"/>
      <c r="AF344" s="225">
        <f>SUM(Q344:AE344)</f>
        <v>25053</v>
      </c>
      <c r="AG344" s="225"/>
      <c r="AH344" s="225">
        <v>0</v>
      </c>
      <c r="AI344" s="225"/>
      <c r="AJ344" s="225"/>
      <c r="AK344" s="225"/>
      <c r="AL344" s="225"/>
      <c r="AM344" s="225"/>
      <c r="AN344" s="225">
        <v>0</v>
      </c>
      <c r="AO344" s="225">
        <v>-19404</v>
      </c>
      <c r="AP344" s="225"/>
      <c r="AQ344" s="225"/>
      <c r="AR344" s="225"/>
      <c r="AS344" s="225"/>
      <c r="AT344" s="248">
        <v>0</v>
      </c>
      <c r="AU344" s="248">
        <v>0</v>
      </c>
      <c r="AV344" s="248">
        <v>0</v>
      </c>
      <c r="AW344" s="227">
        <f>SUM(AF344:AV344)</f>
        <v>5649</v>
      </c>
      <c r="AX344" s="249">
        <v>0</v>
      </c>
      <c r="AY344" s="225">
        <v>0</v>
      </c>
      <c r="AZ344" s="227"/>
      <c r="BA344" s="250">
        <v>0</v>
      </c>
      <c r="BB344" s="225">
        <v>0</v>
      </c>
      <c r="BC344" s="225">
        <v>0</v>
      </c>
      <c r="BD344" s="225">
        <v>0</v>
      </c>
      <c r="BE344" s="225"/>
      <c r="BF344" s="225"/>
      <c r="BG344" s="225">
        <v>0</v>
      </c>
      <c r="BH344" s="225">
        <v>0</v>
      </c>
      <c r="BI344" s="225">
        <v>0</v>
      </c>
      <c r="BJ344" s="248"/>
      <c r="BK344" s="248"/>
      <c r="BL344" s="248"/>
      <c r="BM344" s="248">
        <f t="shared" si="151"/>
        <v>5649</v>
      </c>
      <c r="BN344" s="249"/>
      <c r="BO344" s="225"/>
      <c r="BP344" s="248"/>
      <c r="BQ344" s="249"/>
      <c r="BR344" s="225"/>
      <c r="BS344" s="225"/>
      <c r="BT344" s="225"/>
      <c r="BU344" s="225"/>
      <c r="BV344" s="225"/>
      <c r="BW344" s="225"/>
      <c r="BX344" s="225"/>
      <c r="BY344" s="225"/>
      <c r="BZ344" s="225"/>
      <c r="CA344" s="225"/>
      <c r="CB344" s="225"/>
      <c r="CC344" s="227">
        <f t="shared" si="152"/>
        <v>5649</v>
      </c>
      <c r="CD344" s="244"/>
      <c r="CE344" s="244"/>
      <c r="CF344" s="244"/>
    </row>
    <row r="345" spans="1:84" x14ac:dyDescent="0.2">
      <c r="A345" s="245" t="s">
        <v>23</v>
      </c>
      <c r="B345" s="246" t="s">
        <v>788</v>
      </c>
      <c r="C345" s="246" t="s">
        <v>507</v>
      </c>
      <c r="D345" s="246" t="s">
        <v>789</v>
      </c>
      <c r="E345" s="246" t="s">
        <v>509</v>
      </c>
      <c r="F345" s="246"/>
      <c r="G345" s="233"/>
      <c r="H345" s="233"/>
      <c r="I345" s="233"/>
      <c r="J345" s="233"/>
      <c r="K345" s="233"/>
      <c r="L345" s="246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5"/>
      <c r="Z345" s="225"/>
      <c r="AA345" s="225"/>
      <c r="AB345" s="225"/>
      <c r="AC345" s="225"/>
      <c r="AD345" s="225"/>
      <c r="AE345" s="225"/>
      <c r="AF345" s="225"/>
      <c r="AG345" s="225"/>
      <c r="AH345" s="225"/>
      <c r="AI345" s="225"/>
      <c r="AJ345" s="225"/>
      <c r="AK345" s="225"/>
      <c r="AL345" s="225"/>
      <c r="AM345" s="225"/>
      <c r="AN345" s="225"/>
      <c r="AO345" s="225"/>
      <c r="AP345" s="225"/>
      <c r="AQ345" s="225"/>
      <c r="AR345" s="225"/>
      <c r="AS345" s="225"/>
      <c r="AT345" s="248"/>
      <c r="AU345" s="248"/>
      <c r="AV345" s="248"/>
      <c r="AW345" s="227"/>
      <c r="AX345" s="249"/>
      <c r="AY345" s="225"/>
      <c r="AZ345" s="227">
        <v>12000</v>
      </c>
      <c r="BA345" s="250"/>
      <c r="BB345" s="225"/>
      <c r="BC345" s="225"/>
      <c r="BD345" s="225"/>
      <c r="BE345" s="225"/>
      <c r="BF345" s="225"/>
      <c r="BG345" s="225"/>
      <c r="BH345" s="225"/>
      <c r="BI345" s="225"/>
      <c r="BJ345" s="248"/>
      <c r="BK345" s="248"/>
      <c r="BL345" s="248"/>
      <c r="BM345" s="248">
        <f t="shared" si="151"/>
        <v>12000</v>
      </c>
      <c r="BN345" s="249"/>
      <c r="BO345" s="225"/>
      <c r="BP345" s="248">
        <v>2840</v>
      </c>
      <c r="BQ345" s="249"/>
      <c r="BR345" s="225"/>
      <c r="BS345" s="225"/>
      <c r="BT345" s="225"/>
      <c r="BU345" s="147">
        <v>-11937.01</v>
      </c>
      <c r="BV345" s="225"/>
      <c r="BW345" s="225"/>
      <c r="BX345" s="225"/>
      <c r="BY345" s="225"/>
      <c r="BZ345" s="225"/>
      <c r="CA345" s="225"/>
      <c r="CB345" s="225"/>
      <c r="CC345" s="227">
        <f t="shared" si="152"/>
        <v>2902.99</v>
      </c>
      <c r="CD345" s="244"/>
      <c r="CE345" s="244"/>
      <c r="CF345" s="244"/>
    </row>
    <row r="346" spans="1:84" x14ac:dyDescent="0.2">
      <c r="A346" s="245" t="s">
        <v>23</v>
      </c>
      <c r="B346" s="246" t="s">
        <v>790</v>
      </c>
      <c r="C346" s="246" t="s">
        <v>507</v>
      </c>
      <c r="D346" s="246" t="s">
        <v>791</v>
      </c>
      <c r="E346" s="246" t="s">
        <v>509</v>
      </c>
      <c r="F346" s="246"/>
      <c r="G346" s="233"/>
      <c r="H346" s="233"/>
      <c r="I346" s="233"/>
      <c r="J346" s="233"/>
      <c r="K346" s="233"/>
      <c r="L346" s="246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5"/>
      <c r="AA346" s="225"/>
      <c r="AB346" s="225"/>
      <c r="AC346" s="225"/>
      <c r="AD346" s="225"/>
      <c r="AE346" s="225"/>
      <c r="AF346" s="225"/>
      <c r="AG346" s="225"/>
      <c r="AH346" s="225"/>
      <c r="AI346" s="225"/>
      <c r="AJ346" s="225"/>
      <c r="AK346" s="225"/>
      <c r="AL346" s="225"/>
      <c r="AM346" s="225"/>
      <c r="AN346" s="225"/>
      <c r="AO346" s="225"/>
      <c r="AP346" s="225"/>
      <c r="AQ346" s="225"/>
      <c r="AR346" s="225"/>
      <c r="AS346" s="225"/>
      <c r="AT346" s="248"/>
      <c r="AU346" s="248"/>
      <c r="AV346" s="248"/>
      <c r="AW346" s="227"/>
      <c r="AX346" s="249"/>
      <c r="AY346" s="225"/>
      <c r="AZ346" s="227">
        <v>12000</v>
      </c>
      <c r="BA346" s="250"/>
      <c r="BB346" s="225"/>
      <c r="BC346" s="225"/>
      <c r="BD346" s="225"/>
      <c r="BE346" s="225"/>
      <c r="BF346" s="225"/>
      <c r="BG346" s="225"/>
      <c r="BH346" s="225"/>
      <c r="BI346" s="225"/>
      <c r="BJ346" s="248"/>
      <c r="BK346" s="248"/>
      <c r="BL346" s="248"/>
      <c r="BM346" s="248">
        <f t="shared" si="151"/>
        <v>12000</v>
      </c>
      <c r="BN346" s="249"/>
      <c r="BO346" s="225"/>
      <c r="BP346" s="248">
        <v>2840</v>
      </c>
      <c r="BQ346" s="249"/>
      <c r="BR346" s="225"/>
      <c r="BS346" s="225"/>
      <c r="BT346" s="225"/>
      <c r="BU346" s="147">
        <v>-11937.01</v>
      </c>
      <c r="BV346" s="225"/>
      <c r="BW346" s="225"/>
      <c r="BX346" s="225"/>
      <c r="BY346" s="225"/>
      <c r="BZ346" s="225"/>
      <c r="CA346" s="225"/>
      <c r="CB346" s="225"/>
      <c r="CC346" s="227">
        <f t="shared" si="152"/>
        <v>2902.99</v>
      </c>
      <c r="CD346" s="244"/>
      <c r="CE346" s="244"/>
      <c r="CF346" s="244"/>
    </row>
    <row r="347" spans="1:84" x14ac:dyDescent="0.2">
      <c r="A347" s="245" t="s">
        <v>23</v>
      </c>
      <c r="B347" s="246" t="s">
        <v>34</v>
      </c>
      <c r="C347" s="246" t="s">
        <v>507</v>
      </c>
      <c r="D347" s="246" t="s">
        <v>111</v>
      </c>
      <c r="E347" s="246" t="s">
        <v>509</v>
      </c>
      <c r="F347" s="246" t="s">
        <v>715</v>
      </c>
      <c r="G347" s="233" t="str">
        <f>IF(M347&gt;0, "1", "0")</f>
        <v>0</v>
      </c>
      <c r="H347" s="233" t="str">
        <f>IF(S347&gt;0, "1", "0")</f>
        <v>0</v>
      </c>
      <c r="I347" s="233" t="str">
        <f>IF(AI347&gt;0, "1", "0")</f>
        <v>0</v>
      </c>
      <c r="J347" s="233" t="str">
        <f>IF(AZ347&gt;0, "1", "0")</f>
        <v>0</v>
      </c>
      <c r="K347" s="233" t="str">
        <f>CONCATENATE(G347,H347,I347,J347)</f>
        <v>0000</v>
      </c>
      <c r="L347" s="246" t="str">
        <f>A347&amp;B347&amp;E347</f>
        <v>0880N/ASchool Turnaround Leaders Program</v>
      </c>
      <c r="M347" s="225"/>
      <c r="N347" s="225"/>
      <c r="O347" s="225"/>
      <c r="P347" s="225"/>
      <c r="Q347" s="225">
        <f>SUM(M347:P347)</f>
        <v>0</v>
      </c>
      <c r="R347" s="225"/>
      <c r="S347" s="225">
        <v>0</v>
      </c>
      <c r="T347" s="225"/>
      <c r="U347" s="225"/>
      <c r="V347" s="225"/>
      <c r="W347" s="225"/>
      <c r="X347" s="225"/>
      <c r="Y347" s="225"/>
      <c r="Z347" s="225"/>
      <c r="AA347" s="225"/>
      <c r="AB347" s="225"/>
      <c r="AC347" s="225"/>
      <c r="AD347" s="225"/>
      <c r="AE347" s="225"/>
      <c r="AF347" s="225">
        <f>SUM(Q347:AE347)</f>
        <v>0</v>
      </c>
      <c r="AG347" s="225"/>
      <c r="AH347" s="225">
        <v>421897</v>
      </c>
      <c r="AI347" s="225"/>
      <c r="AJ347" s="225"/>
      <c r="AK347" s="225"/>
      <c r="AL347" s="225"/>
      <c r="AM347" s="225"/>
      <c r="AN347" s="225">
        <v>0</v>
      </c>
      <c r="AO347" s="225">
        <v>0</v>
      </c>
      <c r="AP347" s="225"/>
      <c r="AQ347" s="225"/>
      <c r="AR347" s="225"/>
      <c r="AS347" s="225"/>
      <c r="AT347" s="248">
        <v>0</v>
      </c>
      <c r="AU347" s="248">
        <v>0</v>
      </c>
      <c r="AV347" s="248">
        <v>0</v>
      </c>
      <c r="AW347" s="227">
        <f>SUM(AF347:AV347)</f>
        <v>421897</v>
      </c>
      <c r="AX347" s="249">
        <v>0</v>
      </c>
      <c r="AY347" s="225">
        <v>0</v>
      </c>
      <c r="AZ347" s="227"/>
      <c r="BA347" s="250">
        <v>0</v>
      </c>
      <c r="BB347" s="225">
        <v>0</v>
      </c>
      <c r="BC347" s="225">
        <v>0</v>
      </c>
      <c r="BD347" s="225">
        <v>0</v>
      </c>
      <c r="BE347" s="225"/>
      <c r="BF347" s="225"/>
      <c r="BG347" s="225">
        <v>0</v>
      </c>
      <c r="BH347" s="225">
        <v>0</v>
      </c>
      <c r="BI347" s="225">
        <v>-251885.11000000002</v>
      </c>
      <c r="BJ347" s="248"/>
      <c r="BK347" s="248"/>
      <c r="BL347" s="248"/>
      <c r="BM347" s="248">
        <f t="shared" si="151"/>
        <v>170011.88999999998</v>
      </c>
      <c r="BN347" s="249"/>
      <c r="BO347" s="225"/>
      <c r="BP347" s="248"/>
      <c r="BQ347" s="249"/>
      <c r="BR347" s="225"/>
      <c r="BS347" s="225"/>
      <c r="BT347" s="225"/>
      <c r="BU347" s="147">
        <v>18578.61</v>
      </c>
      <c r="BV347" s="225"/>
      <c r="BW347" s="225"/>
      <c r="BX347" s="225"/>
      <c r="BY347" s="225"/>
      <c r="BZ347" s="225"/>
      <c r="CA347" s="225"/>
      <c r="CB347" s="225"/>
      <c r="CC347" s="227">
        <f t="shared" si="152"/>
        <v>188590.5</v>
      </c>
      <c r="CD347" s="244"/>
      <c r="CE347" s="244"/>
      <c r="CF347" s="244"/>
    </row>
    <row r="348" spans="1:84" x14ac:dyDescent="0.2">
      <c r="A348" s="245" t="s">
        <v>431</v>
      </c>
      <c r="B348" s="246" t="s">
        <v>438</v>
      </c>
      <c r="C348" s="246" t="s">
        <v>508</v>
      </c>
      <c r="D348" s="246" t="s">
        <v>522</v>
      </c>
      <c r="E348" s="246" t="s">
        <v>509</v>
      </c>
      <c r="F348" s="246" t="s">
        <v>715</v>
      </c>
      <c r="G348" s="233" t="str">
        <f>IF(M348&gt;0, "1", "0")</f>
        <v>0</v>
      </c>
      <c r="H348" s="233" t="str">
        <f>IF(S348&gt;0, "1", "0")</f>
        <v>1</v>
      </c>
      <c r="I348" s="233" t="str">
        <f>IF(AI348&gt;0, "1", "0")</f>
        <v>0</v>
      </c>
      <c r="J348" s="233" t="str">
        <f>IF(AZ348&gt;0, "1", "0")</f>
        <v>0</v>
      </c>
      <c r="K348" s="233" t="str">
        <f>CONCATENATE(G348,H348,I348,J348)</f>
        <v>0100</v>
      </c>
      <c r="L348" s="246" t="str">
        <f>A348&amp;B348&amp;E348</f>
        <v>09003863School Turnaround Leaders Program</v>
      </c>
      <c r="M348" s="225"/>
      <c r="N348" s="225"/>
      <c r="O348" s="225"/>
      <c r="P348" s="225"/>
      <c r="Q348" s="225">
        <f>SUM(M348:P348)</f>
        <v>0</v>
      </c>
      <c r="R348" s="225"/>
      <c r="S348" s="225">
        <v>139010</v>
      </c>
      <c r="T348" s="225"/>
      <c r="U348" s="225"/>
      <c r="V348" s="225"/>
      <c r="W348" s="225"/>
      <c r="X348" s="225"/>
      <c r="Y348" s="225"/>
      <c r="Z348" s="225"/>
      <c r="AA348" s="225"/>
      <c r="AB348" s="225"/>
      <c r="AC348" s="225"/>
      <c r="AD348" s="225"/>
      <c r="AE348" s="225">
        <v>-118735</v>
      </c>
      <c r="AF348" s="225">
        <f>SUM(Q348:AE348)</f>
        <v>20275</v>
      </c>
      <c r="AG348" s="225"/>
      <c r="AH348" s="225">
        <v>0</v>
      </c>
      <c r="AI348" s="225"/>
      <c r="AJ348" s="225">
        <v>-20275</v>
      </c>
      <c r="AK348" s="225"/>
      <c r="AL348" s="225"/>
      <c r="AM348" s="225"/>
      <c r="AN348" s="225">
        <v>0</v>
      </c>
      <c r="AO348" s="225">
        <v>0</v>
      </c>
      <c r="AP348" s="225"/>
      <c r="AQ348" s="225"/>
      <c r="AR348" s="225"/>
      <c r="AS348" s="225"/>
      <c r="AT348" s="248">
        <v>0</v>
      </c>
      <c r="AU348" s="248">
        <v>0</v>
      </c>
      <c r="AV348" s="248">
        <v>0</v>
      </c>
      <c r="AW348" s="227">
        <f>SUM(AF348:AV348)</f>
        <v>0</v>
      </c>
      <c r="AX348" s="249">
        <v>0</v>
      </c>
      <c r="AY348" s="225">
        <v>0</v>
      </c>
      <c r="AZ348" s="227"/>
      <c r="BA348" s="250">
        <v>0</v>
      </c>
      <c r="BB348" s="225">
        <v>0</v>
      </c>
      <c r="BC348" s="225">
        <v>0</v>
      </c>
      <c r="BD348" s="225">
        <v>0</v>
      </c>
      <c r="BE348" s="225"/>
      <c r="BF348" s="225"/>
      <c r="BG348" s="225">
        <v>0</v>
      </c>
      <c r="BH348" s="225">
        <v>0</v>
      </c>
      <c r="BI348" s="225">
        <v>0</v>
      </c>
      <c r="BJ348" s="248"/>
      <c r="BK348" s="248"/>
      <c r="BL348" s="248"/>
      <c r="BM348" s="248">
        <f t="shared" si="151"/>
        <v>0</v>
      </c>
      <c r="BN348" s="249"/>
      <c r="BO348" s="225"/>
      <c r="BP348" s="248"/>
      <c r="BQ348" s="249"/>
      <c r="BR348" s="225"/>
      <c r="BS348" s="225"/>
      <c r="BT348" s="225"/>
      <c r="BU348" s="225"/>
      <c r="BV348" s="225"/>
      <c r="BW348" s="225"/>
      <c r="BX348" s="225"/>
      <c r="BY348" s="225"/>
      <c r="BZ348" s="225"/>
      <c r="CA348" s="225"/>
      <c r="CB348" s="225"/>
      <c r="CC348" s="227">
        <f t="shared" si="152"/>
        <v>0</v>
      </c>
      <c r="CD348" s="244"/>
      <c r="CE348" s="244"/>
      <c r="CF348" s="244"/>
    </row>
    <row r="349" spans="1:84" x14ac:dyDescent="0.2">
      <c r="A349" s="245" t="s">
        <v>25</v>
      </c>
      <c r="B349" s="246" t="s">
        <v>34</v>
      </c>
      <c r="C349" s="246" t="s">
        <v>103</v>
      </c>
      <c r="D349" s="246" t="s">
        <v>111</v>
      </c>
      <c r="E349" s="246" t="s">
        <v>456</v>
      </c>
      <c r="F349" s="246"/>
      <c r="G349" s="233"/>
      <c r="H349" s="233"/>
      <c r="I349" s="233"/>
      <c r="J349" s="233"/>
      <c r="K349" s="233"/>
      <c r="L349" s="246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5"/>
      <c r="Z349" s="225"/>
      <c r="AA349" s="225"/>
      <c r="AB349" s="225"/>
      <c r="AC349" s="225"/>
      <c r="AD349" s="225"/>
      <c r="AE349" s="225"/>
      <c r="AF349" s="225"/>
      <c r="AG349" s="225"/>
      <c r="AH349" s="225">
        <v>88057</v>
      </c>
      <c r="AI349" s="225"/>
      <c r="AJ349" s="225"/>
      <c r="AK349" s="225"/>
      <c r="AL349" s="225"/>
      <c r="AM349" s="225"/>
      <c r="AN349" s="225"/>
      <c r="AO349" s="225">
        <v>88057</v>
      </c>
      <c r="AP349" s="225"/>
      <c r="AQ349" s="225"/>
      <c r="AR349" s="225"/>
      <c r="AS349" s="225"/>
      <c r="AT349" s="248"/>
      <c r="AU349" s="248"/>
      <c r="AV349" s="248"/>
      <c r="AW349" s="227"/>
      <c r="AX349" s="249"/>
      <c r="AY349" s="225"/>
      <c r="AZ349" s="227"/>
      <c r="BA349" s="250"/>
      <c r="BB349" s="225"/>
      <c r="BC349" s="225"/>
      <c r="BD349" s="225"/>
      <c r="BE349" s="225"/>
      <c r="BF349" s="225"/>
      <c r="BG349" s="225"/>
      <c r="BH349" s="225"/>
      <c r="BI349" s="225"/>
      <c r="BJ349" s="248"/>
      <c r="BK349" s="248"/>
      <c r="BL349" s="248"/>
      <c r="BM349" s="248"/>
      <c r="BN349" s="249"/>
      <c r="BO349" s="225"/>
      <c r="BP349" s="248">
        <v>88057</v>
      </c>
      <c r="BQ349" s="249"/>
      <c r="BR349" s="225"/>
      <c r="BS349" s="225"/>
      <c r="BT349" s="225"/>
      <c r="BU349" s="225"/>
      <c r="BV349" s="225"/>
      <c r="BW349" s="225"/>
      <c r="BX349" s="225"/>
      <c r="BY349" s="225"/>
      <c r="BZ349" s="225"/>
      <c r="CA349" s="225"/>
      <c r="CB349" s="225"/>
      <c r="CC349" s="227">
        <f t="shared" si="152"/>
        <v>88057</v>
      </c>
      <c r="CD349" s="244"/>
      <c r="CE349" s="244"/>
      <c r="CF349" s="244"/>
    </row>
    <row r="350" spans="1:84" x14ac:dyDescent="0.2">
      <c r="A350" s="245" t="s">
        <v>25</v>
      </c>
      <c r="B350" s="246" t="s">
        <v>34</v>
      </c>
      <c r="C350" s="246" t="s">
        <v>103</v>
      </c>
      <c r="D350" s="246" t="s">
        <v>111</v>
      </c>
      <c r="E350" s="246" t="s">
        <v>509</v>
      </c>
      <c r="F350" s="246" t="s">
        <v>715</v>
      </c>
      <c r="G350" s="233" t="str">
        <f>IF(M350&gt;0, "1", "0")</f>
        <v>0</v>
      </c>
      <c r="H350" s="233" t="str">
        <f>IF(S350&gt;0, "1", "0")</f>
        <v>1</v>
      </c>
      <c r="I350" s="233" t="str">
        <f>IF(AI350&gt;0, "1", "0")</f>
        <v>0</v>
      </c>
      <c r="J350" s="233" t="str">
        <f>IF(AZ350&gt;0, "1", "0")</f>
        <v>0</v>
      </c>
      <c r="K350" s="233" t="str">
        <f>CONCATENATE(G350,H350,I350,J350)</f>
        <v>0100</v>
      </c>
      <c r="L350" s="246" t="str">
        <f>A350&amp;B350&amp;E350</f>
        <v>1420N/ASchool Turnaround Leaders Program</v>
      </c>
      <c r="M350" s="225"/>
      <c r="N350" s="225"/>
      <c r="O350" s="225"/>
      <c r="P350" s="225"/>
      <c r="Q350" s="225">
        <f>SUM(M350:P350)</f>
        <v>0</v>
      </c>
      <c r="R350" s="225"/>
      <c r="S350" s="225">
        <v>362794</v>
      </c>
      <c r="T350" s="225"/>
      <c r="U350" s="225"/>
      <c r="V350" s="225"/>
      <c r="W350" s="225"/>
      <c r="X350" s="225"/>
      <c r="Y350" s="225"/>
      <c r="Z350" s="225"/>
      <c r="AA350" s="225"/>
      <c r="AB350" s="225"/>
      <c r="AC350" s="225"/>
      <c r="AD350" s="225"/>
      <c r="AE350" s="225"/>
      <c r="AF350" s="225">
        <f>SUM(Q350:AE350)</f>
        <v>362794</v>
      </c>
      <c r="AG350" s="225"/>
      <c r="AH350" s="225">
        <v>0</v>
      </c>
      <c r="AI350" s="225"/>
      <c r="AJ350" s="225"/>
      <c r="AK350" s="225"/>
      <c r="AL350" s="225"/>
      <c r="AM350" s="225"/>
      <c r="AN350" s="225">
        <v>0</v>
      </c>
      <c r="AO350" s="225">
        <v>-246350.06</v>
      </c>
      <c r="AP350" s="225"/>
      <c r="AQ350" s="225">
        <v>-116443.94</v>
      </c>
      <c r="AR350" s="225"/>
      <c r="AS350" s="225"/>
      <c r="AT350" s="248">
        <v>0</v>
      </c>
      <c r="AU350" s="248">
        <v>0</v>
      </c>
      <c r="AV350" s="248">
        <v>0</v>
      </c>
      <c r="AW350" s="227">
        <f>SUM(AF350:AV350)</f>
        <v>0</v>
      </c>
      <c r="AX350" s="249">
        <v>0</v>
      </c>
      <c r="AY350" s="225">
        <v>0</v>
      </c>
      <c r="AZ350" s="227"/>
      <c r="BA350" s="250">
        <v>0</v>
      </c>
      <c r="BB350" s="225">
        <v>0</v>
      </c>
      <c r="BC350" s="225">
        <v>0</v>
      </c>
      <c r="BD350" s="225">
        <v>0</v>
      </c>
      <c r="BE350" s="225"/>
      <c r="BF350" s="225"/>
      <c r="BG350" s="225">
        <v>0</v>
      </c>
      <c r="BH350" s="225">
        <v>0</v>
      </c>
      <c r="BI350" s="225">
        <v>0</v>
      </c>
      <c r="BJ350" s="248"/>
      <c r="BK350" s="248"/>
      <c r="BL350" s="248"/>
      <c r="BM350" s="248">
        <f t="shared" ref="BM350:BM381" si="153">SUM(AW350:BL350)</f>
        <v>0</v>
      </c>
      <c r="BN350" s="249"/>
      <c r="BO350" s="225"/>
      <c r="BP350" s="248"/>
      <c r="BQ350" s="249"/>
      <c r="BR350" s="225"/>
      <c r="BS350" s="225"/>
      <c r="BT350" s="225"/>
      <c r="BU350" s="225"/>
      <c r="BV350" s="225"/>
      <c r="BW350" s="225"/>
      <c r="BX350" s="225"/>
      <c r="BY350" s="225"/>
      <c r="BZ350" s="225"/>
      <c r="CA350" s="225"/>
      <c r="CB350" s="225"/>
      <c r="CC350" s="227">
        <f t="shared" si="152"/>
        <v>0</v>
      </c>
      <c r="CD350" s="244"/>
      <c r="CE350" s="244"/>
      <c r="CF350" s="244"/>
    </row>
    <row r="351" spans="1:84" x14ac:dyDescent="0.2">
      <c r="A351" s="245" t="s">
        <v>381</v>
      </c>
      <c r="B351" s="246" t="s">
        <v>800</v>
      </c>
      <c r="C351" s="246" t="s">
        <v>465</v>
      </c>
      <c r="D351" s="246" t="s">
        <v>503</v>
      </c>
      <c r="E351" s="246" t="s">
        <v>509</v>
      </c>
      <c r="F351" s="246"/>
      <c r="G351" s="233"/>
      <c r="H351" s="233"/>
      <c r="I351" s="233"/>
      <c r="J351" s="233"/>
      <c r="K351" s="233"/>
      <c r="L351" s="246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5"/>
      <c r="AA351" s="225"/>
      <c r="AB351" s="225"/>
      <c r="AC351" s="225"/>
      <c r="AD351" s="225"/>
      <c r="AE351" s="225"/>
      <c r="AF351" s="225"/>
      <c r="AG351" s="225"/>
      <c r="AH351" s="225"/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48"/>
      <c r="AU351" s="248"/>
      <c r="AV351" s="248"/>
      <c r="AW351" s="227"/>
      <c r="AX351" s="249"/>
      <c r="AY351" s="225"/>
      <c r="AZ351" s="227">
        <v>23000</v>
      </c>
      <c r="BA351" s="250"/>
      <c r="BB351" s="225"/>
      <c r="BC351" s="225"/>
      <c r="BD351" s="225"/>
      <c r="BE351" s="225"/>
      <c r="BF351" s="225"/>
      <c r="BG351" s="225"/>
      <c r="BH351" s="225"/>
      <c r="BI351" s="225"/>
      <c r="BJ351" s="248"/>
      <c r="BK351" s="248"/>
      <c r="BL351" s="248"/>
      <c r="BM351" s="248">
        <f t="shared" si="153"/>
        <v>23000</v>
      </c>
      <c r="BN351" s="249"/>
      <c r="BO351" s="225"/>
      <c r="BP351" s="248"/>
      <c r="BQ351" s="249"/>
      <c r="BR351" s="225"/>
      <c r="BS351" s="225"/>
      <c r="BT351" s="225">
        <v>-23000</v>
      </c>
      <c r="BU351" s="225"/>
      <c r="BV351" s="225"/>
      <c r="BW351" s="225"/>
      <c r="BX351" s="225"/>
      <c r="BY351" s="225"/>
      <c r="BZ351" s="225"/>
      <c r="CA351" s="225"/>
      <c r="CB351" s="225"/>
      <c r="CC351" s="227">
        <f t="shared" si="152"/>
        <v>0</v>
      </c>
      <c r="CD351" s="244"/>
      <c r="CE351" s="244"/>
      <c r="CF351" s="244"/>
    </row>
    <row r="352" spans="1:84" x14ac:dyDescent="0.2">
      <c r="A352" s="245" t="s">
        <v>381</v>
      </c>
      <c r="B352" s="246" t="s">
        <v>17</v>
      </c>
      <c r="C352" s="246" t="s">
        <v>605</v>
      </c>
      <c r="D352" s="246" t="s">
        <v>683</v>
      </c>
      <c r="E352" s="246" t="s">
        <v>509</v>
      </c>
      <c r="F352" s="246" t="s">
        <v>715</v>
      </c>
      <c r="G352" s="233" t="str">
        <f>IF(M352&gt;0, "1", "0")</f>
        <v>0</v>
      </c>
      <c r="H352" s="233" t="str">
        <f>IF(S352&gt;0, "1", "0")</f>
        <v>0</v>
      </c>
      <c r="I352" s="233" t="str">
        <f>IF(AI352&gt;0, "1", "0")</f>
        <v>1</v>
      </c>
      <c r="J352" s="233" t="str">
        <f>IF(AZ352&gt;0, "1", "0")</f>
        <v>0</v>
      </c>
      <c r="K352" s="233" t="str">
        <f>CONCATENATE(G352,H352,I352,J352)</f>
        <v>0010</v>
      </c>
      <c r="L352" s="246" t="str">
        <f>A352&amp;B352&amp;E352</f>
        <v>20001520School Turnaround Leaders Program</v>
      </c>
      <c r="M352" s="225"/>
      <c r="N352" s="225"/>
      <c r="O352" s="225"/>
      <c r="P352" s="225"/>
      <c r="Q352" s="225">
        <f>SUM(M352:P352)</f>
        <v>0</v>
      </c>
      <c r="R352" s="225"/>
      <c r="S352" s="225">
        <v>0</v>
      </c>
      <c r="T352" s="225"/>
      <c r="U352" s="225"/>
      <c r="V352" s="225"/>
      <c r="W352" s="225"/>
      <c r="X352" s="225"/>
      <c r="Y352" s="225"/>
      <c r="Z352" s="225"/>
      <c r="AA352" s="225"/>
      <c r="AB352" s="225"/>
      <c r="AC352" s="225"/>
      <c r="AD352" s="225"/>
      <c r="AE352" s="225"/>
      <c r="AF352" s="225">
        <f>SUM(Q352:AE352)</f>
        <v>0</v>
      </c>
      <c r="AG352" s="225"/>
      <c r="AH352" s="225">
        <v>0</v>
      </c>
      <c r="AI352" s="225">
        <v>31780.268</v>
      </c>
      <c r="AJ352" s="225"/>
      <c r="AK352" s="225"/>
      <c r="AL352" s="225"/>
      <c r="AM352" s="225"/>
      <c r="AN352" s="225">
        <v>0</v>
      </c>
      <c r="AO352" s="225">
        <v>0</v>
      </c>
      <c r="AP352" s="225"/>
      <c r="AQ352" s="225"/>
      <c r="AR352" s="225"/>
      <c r="AS352" s="225"/>
      <c r="AT352" s="248">
        <v>0</v>
      </c>
      <c r="AU352" s="248">
        <v>0</v>
      </c>
      <c r="AV352" s="248">
        <v>0</v>
      </c>
      <c r="AW352" s="227">
        <f>SUM(AF352:AV352)</f>
        <v>31780.268</v>
      </c>
      <c r="AX352" s="249">
        <v>0</v>
      </c>
      <c r="AY352" s="225">
        <v>0</v>
      </c>
      <c r="AZ352" s="227"/>
      <c r="BA352" s="250">
        <v>0</v>
      </c>
      <c r="BB352" s="225">
        <v>0</v>
      </c>
      <c r="BC352" s="225">
        <v>0</v>
      </c>
      <c r="BD352" s="225">
        <v>0</v>
      </c>
      <c r="BE352" s="225"/>
      <c r="BF352" s="225"/>
      <c r="BG352" s="225">
        <v>0</v>
      </c>
      <c r="BH352" s="225">
        <v>-1430</v>
      </c>
      <c r="BI352" s="225">
        <v>-12870</v>
      </c>
      <c r="BJ352" s="248">
        <v>-5867.82</v>
      </c>
      <c r="BK352" s="248">
        <v>-8042.83</v>
      </c>
      <c r="BL352" s="248"/>
      <c r="BM352" s="248">
        <f t="shared" si="153"/>
        <v>3569.6180000000004</v>
      </c>
      <c r="BN352" s="249"/>
      <c r="BO352" s="225"/>
      <c r="BP352" s="248"/>
      <c r="BQ352" s="249"/>
      <c r="BR352" s="225"/>
      <c r="BS352" s="225"/>
      <c r="BT352" s="225"/>
      <c r="BU352" s="225"/>
      <c r="BV352" s="225">
        <v>-3380.14</v>
      </c>
      <c r="BW352" s="225"/>
      <c r="BX352" s="225"/>
      <c r="BY352" s="225"/>
      <c r="BZ352" s="225"/>
      <c r="CA352" s="225"/>
      <c r="CB352" s="225"/>
      <c r="CC352" s="227">
        <f t="shared" si="152"/>
        <v>189.47800000000052</v>
      </c>
      <c r="CD352" s="244"/>
      <c r="CE352" s="244"/>
      <c r="CF352" s="244"/>
    </row>
    <row r="353" spans="1:84" x14ac:dyDescent="0.2">
      <c r="A353" s="245" t="s">
        <v>383</v>
      </c>
      <c r="B353" s="246" t="s">
        <v>367</v>
      </c>
      <c r="C353" s="246" t="s">
        <v>607</v>
      </c>
      <c r="D353" s="246" t="s">
        <v>595</v>
      </c>
      <c r="E353" s="247" t="s">
        <v>214</v>
      </c>
      <c r="F353" s="247" t="s">
        <v>712</v>
      </c>
      <c r="G353" s="233" t="str">
        <f>IF(M353&gt;0, "1", "0")</f>
        <v>0</v>
      </c>
      <c r="H353" s="233" t="str">
        <f>IF(S353&gt;0, "1", "0")</f>
        <v>0</v>
      </c>
      <c r="I353" s="233" t="str">
        <f>IF(AI353&gt;0, "1", "0")</f>
        <v>1</v>
      </c>
      <c r="J353" s="233" t="str">
        <f>IF(AZ353&gt;0, "1", "0")</f>
        <v>0</v>
      </c>
      <c r="K353" s="233" t="str">
        <f>CONCATENATE(G353,H353,I353,J353)</f>
        <v>0010</v>
      </c>
      <c r="L353" s="247" t="str">
        <f>A353&amp;B353&amp;E353</f>
        <v>30008376District Design and Led 19-22</v>
      </c>
      <c r="M353" s="255"/>
      <c r="N353" s="255"/>
      <c r="O353" s="255"/>
      <c r="P353" s="255"/>
      <c r="Q353" s="225">
        <f>SUM(M353:P353)</f>
        <v>0</v>
      </c>
      <c r="R353" s="225"/>
      <c r="S353" s="225">
        <v>0</v>
      </c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25"/>
      <c r="AE353" s="255"/>
      <c r="AF353" s="225">
        <f>SUM(Q353:AE353)</f>
        <v>0</v>
      </c>
      <c r="AG353" s="225"/>
      <c r="AH353" s="225">
        <v>0</v>
      </c>
      <c r="AI353" s="225">
        <v>74250</v>
      </c>
      <c r="AJ353" s="255"/>
      <c r="AK353" s="255"/>
      <c r="AL353" s="255"/>
      <c r="AM353" s="255"/>
      <c r="AN353" s="225">
        <v>0</v>
      </c>
      <c r="AO353" s="225">
        <v>0</v>
      </c>
      <c r="AP353" s="255"/>
      <c r="AQ353" s="255"/>
      <c r="AR353" s="225"/>
      <c r="AS353" s="225"/>
      <c r="AT353" s="248">
        <v>0</v>
      </c>
      <c r="AU353" s="248">
        <v>0</v>
      </c>
      <c r="AV353" s="248">
        <v>0</v>
      </c>
      <c r="AW353" s="227">
        <f>SUM(AF353:AV353)</f>
        <v>74250</v>
      </c>
      <c r="AX353" s="249">
        <v>0</v>
      </c>
      <c r="AY353" s="225">
        <v>74250</v>
      </c>
      <c r="AZ353" s="227"/>
      <c r="BA353" s="250">
        <v>0</v>
      </c>
      <c r="BB353" s="225">
        <v>0</v>
      </c>
      <c r="BC353" s="255">
        <v>0</v>
      </c>
      <c r="BD353" s="225">
        <v>0</v>
      </c>
      <c r="BE353" s="225"/>
      <c r="BF353" s="255">
        <v>-26976.82</v>
      </c>
      <c r="BG353" s="255">
        <v>-47674.05</v>
      </c>
      <c r="BH353" s="225">
        <v>-1464.81</v>
      </c>
      <c r="BI353" s="225">
        <v>0</v>
      </c>
      <c r="BJ353" s="248">
        <v>-19969.349999999999</v>
      </c>
      <c r="BK353" s="248"/>
      <c r="BL353" s="248" t="s">
        <v>701</v>
      </c>
      <c r="BM353" s="248">
        <f t="shared" si="153"/>
        <v>52414.969999999994</v>
      </c>
      <c r="BN353" s="249"/>
      <c r="BO353" s="225">
        <v>77643</v>
      </c>
      <c r="BP353" s="248"/>
      <c r="BQ353" s="249">
        <v>-1362.33</v>
      </c>
      <c r="BR353" s="225"/>
      <c r="BS353" s="225"/>
      <c r="BT353" s="225">
        <v>-820.87</v>
      </c>
      <c r="BU353" s="225">
        <v>-17355.13</v>
      </c>
      <c r="BV353" s="225"/>
      <c r="BW353" s="225">
        <v>-18630</v>
      </c>
      <c r="BX353" s="225">
        <v>-17987.5</v>
      </c>
      <c r="BY353" s="225">
        <v>-372</v>
      </c>
      <c r="BZ353" s="225"/>
      <c r="CA353" s="225"/>
      <c r="CB353" s="225"/>
      <c r="CC353" s="227">
        <f t="shared" si="152"/>
        <v>73530.14</v>
      </c>
      <c r="CD353" s="244"/>
      <c r="CE353" s="244"/>
      <c r="CF353" s="244"/>
    </row>
    <row r="354" spans="1:84" x14ac:dyDescent="0.2">
      <c r="A354" s="245" t="s">
        <v>19</v>
      </c>
      <c r="B354" s="246" t="s">
        <v>668</v>
      </c>
      <c r="C354" s="246" t="s">
        <v>98</v>
      </c>
      <c r="D354" s="246" t="s">
        <v>678</v>
      </c>
      <c r="E354" s="246" t="s">
        <v>509</v>
      </c>
      <c r="F354" s="246"/>
      <c r="G354" s="233"/>
      <c r="H354" s="233"/>
      <c r="I354" s="233"/>
      <c r="J354" s="233"/>
      <c r="K354" s="233"/>
      <c r="L354" s="246"/>
      <c r="M354" s="225"/>
      <c r="N354" s="225"/>
      <c r="O354" s="225"/>
      <c r="P354" s="225"/>
      <c r="Q354" s="225"/>
      <c r="R354" s="225"/>
      <c r="S354" s="225"/>
      <c r="T354" s="225"/>
      <c r="U354" s="225"/>
      <c r="V354" s="225"/>
      <c r="W354" s="225"/>
      <c r="X354" s="225"/>
      <c r="Y354" s="225"/>
      <c r="Z354" s="225"/>
      <c r="AA354" s="225"/>
      <c r="AB354" s="225"/>
      <c r="AC354" s="225"/>
      <c r="AD354" s="225"/>
      <c r="AE354" s="225"/>
      <c r="AF354" s="225"/>
      <c r="AG354" s="225"/>
      <c r="AH354" s="225"/>
      <c r="AI354" s="225"/>
      <c r="AJ354" s="225"/>
      <c r="AK354" s="225"/>
      <c r="AL354" s="225"/>
      <c r="AM354" s="225"/>
      <c r="AN354" s="225"/>
      <c r="AO354" s="225"/>
      <c r="AP354" s="225"/>
      <c r="AQ354" s="225"/>
      <c r="AR354" s="225"/>
      <c r="AS354" s="225"/>
      <c r="AT354" s="248"/>
      <c r="AU354" s="248"/>
      <c r="AV354" s="248"/>
      <c r="AW354" s="227"/>
      <c r="AX354" s="249"/>
      <c r="AY354" s="225"/>
      <c r="AZ354" s="227">
        <v>29400</v>
      </c>
      <c r="BA354" s="250"/>
      <c r="BB354" s="225"/>
      <c r="BC354" s="225"/>
      <c r="BD354" s="225"/>
      <c r="BE354" s="225"/>
      <c r="BF354" s="225"/>
      <c r="BG354" s="225"/>
      <c r="BH354" s="225"/>
      <c r="BI354" s="225"/>
      <c r="BJ354" s="248"/>
      <c r="BK354" s="248"/>
      <c r="BL354" s="248"/>
      <c r="BM354" s="248">
        <f t="shared" si="153"/>
        <v>29400</v>
      </c>
      <c r="BN354" s="249"/>
      <c r="BO354" s="225"/>
      <c r="BP354" s="248"/>
      <c r="BQ354" s="249"/>
      <c r="BR354" s="225"/>
      <c r="BS354" s="225"/>
      <c r="BT354" s="225">
        <v>-27069.360000000001</v>
      </c>
      <c r="BU354" s="225"/>
      <c r="BV354" s="225"/>
      <c r="BW354" s="225"/>
      <c r="BX354" s="225"/>
      <c r="BY354" s="225"/>
      <c r="BZ354" s="225"/>
      <c r="CA354" s="225"/>
      <c r="CB354" s="225"/>
      <c r="CC354" s="227">
        <f t="shared" si="152"/>
        <v>2330.6399999999994</v>
      </c>
      <c r="CD354" s="244"/>
      <c r="CE354" s="244"/>
      <c r="CF354" s="244"/>
    </row>
    <row r="355" spans="1:84" x14ac:dyDescent="0.2">
      <c r="A355" s="245" t="s">
        <v>19</v>
      </c>
      <c r="B355" s="246" t="s">
        <v>34</v>
      </c>
      <c r="C355" s="246" t="s">
        <v>98</v>
      </c>
      <c r="D355" s="246" t="s">
        <v>111</v>
      </c>
      <c r="E355" s="246" t="s">
        <v>509</v>
      </c>
      <c r="F355" s="246" t="s">
        <v>715</v>
      </c>
      <c r="G355" s="233" t="str">
        <f>IF(M355&gt;0, "1", "0")</f>
        <v>0</v>
      </c>
      <c r="H355" s="233" t="str">
        <f>IF(S355&gt;0, "1", "0")</f>
        <v>1</v>
      </c>
      <c r="I355" s="233" t="str">
        <f>IF(AI355&gt;0, "1", "0")</f>
        <v>0</v>
      </c>
      <c r="J355" s="233" t="str">
        <f>IF(AZ355&gt;0, "1", "0")</f>
        <v>0</v>
      </c>
      <c r="K355" s="233" t="str">
        <f>CONCATENATE(G355,H355,I355,J355)</f>
        <v>0100</v>
      </c>
      <c r="L355" s="246" t="str">
        <f>A355&amp;B355&amp;E355</f>
        <v>2690N/ASchool Turnaround Leaders Program</v>
      </c>
      <c r="M355" s="225"/>
      <c r="N355" s="225"/>
      <c r="O355" s="225"/>
      <c r="P355" s="225"/>
      <c r="Q355" s="225">
        <f>SUM(M355:P355)</f>
        <v>0</v>
      </c>
      <c r="R355" s="225"/>
      <c r="S355" s="225">
        <v>161110</v>
      </c>
      <c r="T355" s="225"/>
      <c r="U355" s="225"/>
      <c r="V355" s="225"/>
      <c r="W355" s="225"/>
      <c r="X355" s="225"/>
      <c r="Y355" s="225"/>
      <c r="Z355" s="225"/>
      <c r="AA355" s="225"/>
      <c r="AB355" s="225"/>
      <c r="AC355" s="225"/>
      <c r="AD355" s="225"/>
      <c r="AE355" s="225"/>
      <c r="AF355" s="225">
        <f>SUM(Q355:AE355)</f>
        <v>161110</v>
      </c>
      <c r="AG355" s="225"/>
      <c r="AH355" s="225">
        <v>60000</v>
      </c>
      <c r="AI355" s="225"/>
      <c r="AJ355" s="225"/>
      <c r="AK355" s="225"/>
      <c r="AL355" s="225"/>
      <c r="AM355" s="225"/>
      <c r="AN355" s="225">
        <v>0</v>
      </c>
      <c r="AO355" s="225">
        <v>0</v>
      </c>
      <c r="AP355" s="225"/>
      <c r="AQ355" s="225"/>
      <c r="AR355" s="225"/>
      <c r="AS355" s="225"/>
      <c r="AT355" s="248">
        <v>0</v>
      </c>
      <c r="AU355" s="248">
        <v>0</v>
      </c>
      <c r="AV355" s="248">
        <v>0</v>
      </c>
      <c r="AW355" s="227">
        <f>SUM(AF355:AV355)</f>
        <v>221110</v>
      </c>
      <c r="AX355" s="249">
        <v>0</v>
      </c>
      <c r="AY355" s="225">
        <v>0</v>
      </c>
      <c r="AZ355" s="227"/>
      <c r="BA355" s="250">
        <v>0</v>
      </c>
      <c r="BB355" s="225">
        <v>0</v>
      </c>
      <c r="BC355" s="225">
        <v>0</v>
      </c>
      <c r="BD355" s="225">
        <v>0</v>
      </c>
      <c r="BE355" s="225"/>
      <c r="BF355" s="225"/>
      <c r="BG355" s="225">
        <v>0</v>
      </c>
      <c r="BH355" s="225">
        <v>-52108.42</v>
      </c>
      <c r="BI355" s="225">
        <v>-4387.5</v>
      </c>
      <c r="BJ355" s="248">
        <v>-8856.5</v>
      </c>
      <c r="BK355" s="248"/>
      <c r="BL355" s="248"/>
      <c r="BM355" s="248">
        <f t="shared" si="153"/>
        <v>155757.58000000002</v>
      </c>
      <c r="BN355" s="249"/>
      <c r="BO355" s="225"/>
      <c r="BP355" s="248"/>
      <c r="BQ355" s="249"/>
      <c r="BR355" s="225"/>
      <c r="BS355" s="225"/>
      <c r="BT355" s="225">
        <v>-50221.57</v>
      </c>
      <c r="BU355" s="225"/>
      <c r="BV355" s="225"/>
      <c r="BW355" s="225">
        <v>-23278.66</v>
      </c>
      <c r="BX355" s="225"/>
      <c r="BY355" s="225"/>
      <c r="BZ355" s="225"/>
      <c r="CA355" s="225"/>
      <c r="CB355" s="225"/>
      <c r="CC355" s="227">
        <f t="shared" si="152"/>
        <v>82257.350000000006</v>
      </c>
      <c r="CD355" s="244"/>
      <c r="CE355" s="244"/>
      <c r="CF355" s="244"/>
    </row>
    <row r="356" spans="1:84" x14ac:dyDescent="0.2">
      <c r="A356" s="245" t="s">
        <v>19</v>
      </c>
      <c r="B356" s="246" t="s">
        <v>34</v>
      </c>
      <c r="C356" s="246" t="s">
        <v>98</v>
      </c>
      <c r="D356" s="246" t="s">
        <v>111</v>
      </c>
      <c r="E356" s="246" t="s">
        <v>509</v>
      </c>
      <c r="F356" s="246"/>
      <c r="G356" s="233"/>
      <c r="H356" s="233"/>
      <c r="I356" s="233"/>
      <c r="J356" s="233"/>
      <c r="K356" s="233"/>
      <c r="L356" s="246"/>
      <c r="M356" s="225"/>
      <c r="N356" s="225"/>
      <c r="O356" s="225"/>
      <c r="P356" s="225"/>
      <c r="Q356" s="225"/>
      <c r="R356" s="225"/>
      <c r="S356" s="225"/>
      <c r="T356" s="225"/>
      <c r="U356" s="225"/>
      <c r="V356" s="225"/>
      <c r="W356" s="225"/>
      <c r="X356" s="225"/>
      <c r="Y356" s="225"/>
      <c r="Z356" s="225"/>
      <c r="AA356" s="225"/>
      <c r="AB356" s="225"/>
      <c r="AC356" s="225"/>
      <c r="AD356" s="225"/>
      <c r="AE356" s="225"/>
      <c r="AF356" s="225"/>
      <c r="AG356" s="225"/>
      <c r="AH356" s="225"/>
      <c r="AI356" s="225"/>
      <c r="AJ356" s="225"/>
      <c r="AK356" s="225"/>
      <c r="AL356" s="225"/>
      <c r="AM356" s="225"/>
      <c r="AN356" s="225"/>
      <c r="AO356" s="225"/>
      <c r="AP356" s="225"/>
      <c r="AQ356" s="225"/>
      <c r="AR356" s="225"/>
      <c r="AS356" s="225"/>
      <c r="AT356" s="248"/>
      <c r="AU356" s="248"/>
      <c r="AV356" s="248"/>
      <c r="AW356" s="227"/>
      <c r="AX356" s="249"/>
      <c r="AY356" s="225"/>
      <c r="AZ356" s="227">
        <v>33400</v>
      </c>
      <c r="BA356" s="250"/>
      <c r="BB356" s="225"/>
      <c r="BC356" s="225"/>
      <c r="BD356" s="225"/>
      <c r="BE356" s="225"/>
      <c r="BF356" s="225"/>
      <c r="BG356" s="225"/>
      <c r="BH356" s="225"/>
      <c r="BI356" s="225"/>
      <c r="BJ356" s="248"/>
      <c r="BK356" s="248"/>
      <c r="BL356" s="248"/>
      <c r="BM356" s="248">
        <f t="shared" si="153"/>
        <v>33400</v>
      </c>
      <c r="BN356" s="249"/>
      <c r="BO356" s="225"/>
      <c r="BP356" s="248"/>
      <c r="BQ356" s="249"/>
      <c r="BR356" s="225"/>
      <c r="BS356" s="225"/>
      <c r="BT356" s="225">
        <v>-33400</v>
      </c>
      <c r="BU356" s="225"/>
      <c r="BV356" s="225"/>
      <c r="BW356" s="225"/>
      <c r="BX356" s="225"/>
      <c r="BY356" s="225"/>
      <c r="BZ356" s="225"/>
      <c r="CA356" s="225"/>
      <c r="CB356" s="225"/>
      <c r="CC356" s="227">
        <f t="shared" si="152"/>
        <v>0</v>
      </c>
      <c r="CD356" s="244"/>
      <c r="CE356" s="244"/>
      <c r="CF356" s="244"/>
    </row>
    <row r="357" spans="1:84" x14ac:dyDescent="0.2">
      <c r="A357" s="245" t="s">
        <v>20</v>
      </c>
      <c r="B357" s="246" t="s">
        <v>45</v>
      </c>
      <c r="C357" s="246" t="s">
        <v>99</v>
      </c>
      <c r="D357" s="246" t="s">
        <v>121</v>
      </c>
      <c r="E357" s="246" t="s">
        <v>509</v>
      </c>
      <c r="F357" s="246" t="s">
        <v>715</v>
      </c>
      <c r="G357" s="233" t="str">
        <f t="shared" ref="G357:G374" si="154">IF(M357&gt;0, "1", "0")</f>
        <v>0</v>
      </c>
      <c r="H357" s="233" t="str">
        <f t="shared" ref="H357:H374" si="155">IF(S357&gt;0, "1", "0")</f>
        <v>1</v>
      </c>
      <c r="I357" s="233" t="str">
        <f t="shared" ref="I357:I374" si="156">IF(AI357&gt;0, "1", "0")</f>
        <v>0</v>
      </c>
      <c r="J357" s="233" t="str">
        <f t="shared" ref="J357:J374" si="157">IF(AZ357&gt;0, "1", "0")</f>
        <v>0</v>
      </c>
      <c r="K357" s="233" t="str">
        <f t="shared" ref="K357:K374" si="158">CONCATENATE(G357,H357,I357,J357)</f>
        <v>0100</v>
      </c>
      <c r="L357" s="246" t="str">
        <f t="shared" ref="L357:L374" si="159">A357&amp;B357&amp;E357</f>
        <v>27602522School Turnaround Leaders Program</v>
      </c>
      <c r="M357" s="225"/>
      <c r="N357" s="225"/>
      <c r="O357" s="225"/>
      <c r="P357" s="225"/>
      <c r="Q357" s="225">
        <f t="shared" ref="Q357:Q362" si="160">SUM(M357:P357)</f>
        <v>0</v>
      </c>
      <c r="R357" s="225"/>
      <c r="S357" s="225">
        <v>47520</v>
      </c>
      <c r="T357" s="225"/>
      <c r="U357" s="225"/>
      <c r="V357" s="225"/>
      <c r="W357" s="225"/>
      <c r="X357" s="225"/>
      <c r="Y357" s="225"/>
      <c r="Z357" s="225"/>
      <c r="AA357" s="225"/>
      <c r="AB357" s="225"/>
      <c r="AC357" s="225"/>
      <c r="AD357" s="225">
        <v>-38190</v>
      </c>
      <c r="AE357" s="225"/>
      <c r="AF357" s="225">
        <f t="shared" ref="AF357:AF374" si="161">SUM(Q357:AE357)</f>
        <v>9330</v>
      </c>
      <c r="AG357" s="225"/>
      <c r="AH357" s="225">
        <v>82000</v>
      </c>
      <c r="AI357" s="225"/>
      <c r="AJ357" s="225"/>
      <c r="AK357" s="225"/>
      <c r="AL357" s="225"/>
      <c r="AM357" s="225"/>
      <c r="AN357" s="225">
        <v>0</v>
      </c>
      <c r="AO357" s="225">
        <v>0</v>
      </c>
      <c r="AP357" s="225"/>
      <c r="AQ357" s="225"/>
      <c r="AR357" s="225"/>
      <c r="AS357" s="225"/>
      <c r="AT357" s="248">
        <v>0</v>
      </c>
      <c r="AU357" s="248">
        <v>0</v>
      </c>
      <c r="AV357" s="248">
        <v>-91330</v>
      </c>
      <c r="AW357" s="227">
        <f t="shared" ref="AW357:AW374" si="162">SUM(AF357:AV357)</f>
        <v>0</v>
      </c>
      <c r="AX357" s="249">
        <v>0</v>
      </c>
      <c r="AY357" s="225">
        <v>0</v>
      </c>
      <c r="AZ357" s="227"/>
      <c r="BA357" s="250">
        <v>0</v>
      </c>
      <c r="BB357" s="225">
        <v>0</v>
      </c>
      <c r="BC357" s="225">
        <v>0</v>
      </c>
      <c r="BD357" s="225">
        <v>0</v>
      </c>
      <c r="BE357" s="225"/>
      <c r="BF357" s="225"/>
      <c r="BG357" s="225">
        <v>0</v>
      </c>
      <c r="BH357" s="225">
        <v>0</v>
      </c>
      <c r="BI357" s="225">
        <v>0</v>
      </c>
      <c r="BJ357" s="248"/>
      <c r="BK357" s="248"/>
      <c r="BL357" s="248"/>
      <c r="BM357" s="248">
        <f t="shared" si="153"/>
        <v>0</v>
      </c>
      <c r="BN357" s="249"/>
      <c r="BO357" s="225"/>
      <c r="BP357" s="248"/>
      <c r="BQ357" s="249"/>
      <c r="BR357" s="225"/>
      <c r="BS357" s="225"/>
      <c r="BT357" s="225"/>
      <c r="BU357" s="225"/>
      <c r="BV357" s="225"/>
      <c r="BW357" s="225"/>
      <c r="BX357" s="225"/>
      <c r="BY357" s="225"/>
      <c r="BZ357" s="225"/>
      <c r="CA357" s="225"/>
      <c r="CB357" s="225"/>
      <c r="CC357" s="227">
        <f t="shared" si="152"/>
        <v>0</v>
      </c>
      <c r="CD357" s="244"/>
      <c r="CE357" s="244"/>
      <c r="CF357" s="244"/>
    </row>
    <row r="358" spans="1:84" x14ac:dyDescent="0.2">
      <c r="A358" s="245" t="s">
        <v>21</v>
      </c>
      <c r="B358" s="246" t="s">
        <v>439</v>
      </c>
      <c r="C358" s="246" t="s">
        <v>100</v>
      </c>
      <c r="D358" s="246" t="s">
        <v>523</v>
      </c>
      <c r="E358" s="246" t="s">
        <v>509</v>
      </c>
      <c r="F358" s="246" t="s">
        <v>715</v>
      </c>
      <c r="G358" s="233" t="str">
        <f t="shared" si="154"/>
        <v>0</v>
      </c>
      <c r="H358" s="233" t="str">
        <f t="shared" si="155"/>
        <v>1</v>
      </c>
      <c r="I358" s="233" t="str">
        <f t="shared" si="156"/>
        <v>0</v>
      </c>
      <c r="J358" s="233" t="str">
        <f t="shared" si="157"/>
        <v>0</v>
      </c>
      <c r="K358" s="233" t="str">
        <f t="shared" si="158"/>
        <v>0100</v>
      </c>
      <c r="L358" s="246" t="str">
        <f t="shared" si="159"/>
        <v>31204425School Turnaround Leaders Program</v>
      </c>
      <c r="M358" s="225"/>
      <c r="N358" s="225"/>
      <c r="O358" s="225"/>
      <c r="P358" s="225"/>
      <c r="Q358" s="225">
        <f t="shared" si="160"/>
        <v>0</v>
      </c>
      <c r="R358" s="225"/>
      <c r="S358" s="225">
        <v>39284</v>
      </c>
      <c r="T358" s="225"/>
      <c r="U358" s="225"/>
      <c r="V358" s="225"/>
      <c r="W358" s="225"/>
      <c r="X358" s="225"/>
      <c r="Y358" s="225"/>
      <c r="Z358" s="225"/>
      <c r="AA358" s="225"/>
      <c r="AB358" s="225"/>
      <c r="AC358" s="225"/>
      <c r="AD358" s="225"/>
      <c r="AE358" s="225"/>
      <c r="AF358" s="225">
        <f t="shared" si="161"/>
        <v>39284</v>
      </c>
      <c r="AG358" s="225"/>
      <c r="AH358" s="225">
        <v>2040</v>
      </c>
      <c r="AI358" s="225"/>
      <c r="AJ358" s="225"/>
      <c r="AK358" s="225"/>
      <c r="AL358" s="225"/>
      <c r="AM358" s="225">
        <v>-8258.86</v>
      </c>
      <c r="AN358" s="225">
        <v>-31025.14</v>
      </c>
      <c r="AO358" s="225">
        <v>0</v>
      </c>
      <c r="AP358" s="225"/>
      <c r="AQ358" s="225"/>
      <c r="AR358" s="225"/>
      <c r="AS358" s="225"/>
      <c r="AT358" s="248">
        <v>0</v>
      </c>
      <c r="AU358" s="248">
        <v>0</v>
      </c>
      <c r="AV358" s="248">
        <v>0</v>
      </c>
      <c r="AW358" s="227">
        <f t="shared" si="162"/>
        <v>2040</v>
      </c>
      <c r="AX358" s="249">
        <v>0</v>
      </c>
      <c r="AY358" s="225">
        <v>0</v>
      </c>
      <c r="AZ358" s="227"/>
      <c r="BA358" s="250">
        <v>0</v>
      </c>
      <c r="BB358" s="225">
        <v>0</v>
      </c>
      <c r="BC358" s="225">
        <v>0</v>
      </c>
      <c r="BD358" s="225">
        <v>0</v>
      </c>
      <c r="BE358" s="225"/>
      <c r="BF358" s="225"/>
      <c r="BG358" s="225">
        <v>0</v>
      </c>
      <c r="BH358" s="225">
        <v>0</v>
      </c>
      <c r="BI358" s="225">
        <v>0</v>
      </c>
      <c r="BJ358" s="248"/>
      <c r="BK358" s="248"/>
      <c r="BL358" s="248"/>
      <c r="BM358" s="248">
        <f t="shared" si="153"/>
        <v>2040</v>
      </c>
      <c r="BN358" s="249"/>
      <c r="BO358" s="225"/>
      <c r="BP358" s="248"/>
      <c r="BQ358" s="249"/>
      <c r="BR358" s="225"/>
      <c r="BS358" s="225"/>
      <c r="BT358" s="225"/>
      <c r="BU358" s="225"/>
      <c r="BV358" s="225"/>
      <c r="BW358" s="225"/>
      <c r="BX358" s="225"/>
      <c r="BY358" s="225"/>
      <c r="BZ358" s="225"/>
      <c r="CA358" s="225"/>
      <c r="CB358" s="225"/>
      <c r="CC358" s="227">
        <f t="shared" si="152"/>
        <v>2040</v>
      </c>
      <c r="CD358" s="244"/>
      <c r="CE358" s="244"/>
      <c r="CF358" s="244"/>
    </row>
    <row r="359" spans="1:84" x14ac:dyDescent="0.2">
      <c r="A359" s="251" t="s">
        <v>230</v>
      </c>
      <c r="B359" s="246" t="s">
        <v>34</v>
      </c>
      <c r="C359" s="246" t="s">
        <v>232</v>
      </c>
      <c r="D359" s="246" t="s">
        <v>111</v>
      </c>
      <c r="E359" s="246" t="s">
        <v>476</v>
      </c>
      <c r="F359" s="246" t="s">
        <v>714</v>
      </c>
      <c r="G359" s="233" t="str">
        <f t="shared" si="154"/>
        <v>0</v>
      </c>
      <c r="H359" s="233" t="str">
        <f t="shared" si="155"/>
        <v>1</v>
      </c>
      <c r="I359" s="233" t="str">
        <f t="shared" si="156"/>
        <v>0</v>
      </c>
      <c r="J359" s="233" t="str">
        <f t="shared" si="157"/>
        <v>0</v>
      </c>
      <c r="K359" s="233" t="str">
        <f t="shared" si="158"/>
        <v>0100</v>
      </c>
      <c r="L359" s="246" t="str">
        <f t="shared" si="159"/>
        <v>1010N/ASupervisor Pilot</v>
      </c>
      <c r="M359" s="225"/>
      <c r="N359" s="225"/>
      <c r="O359" s="225"/>
      <c r="P359" s="225"/>
      <c r="Q359" s="225">
        <f t="shared" si="160"/>
        <v>0</v>
      </c>
      <c r="R359" s="225"/>
      <c r="S359" s="225">
        <v>40000</v>
      </c>
      <c r="T359" s="225"/>
      <c r="U359" s="225"/>
      <c r="V359" s="225"/>
      <c r="W359" s="225"/>
      <c r="X359" s="225"/>
      <c r="Y359" s="225"/>
      <c r="Z359" s="225"/>
      <c r="AA359" s="225"/>
      <c r="AB359" s="225"/>
      <c r="AC359" s="225"/>
      <c r="AD359" s="225"/>
      <c r="AE359" s="225"/>
      <c r="AF359" s="225">
        <f t="shared" si="161"/>
        <v>40000</v>
      </c>
      <c r="AG359" s="225"/>
      <c r="AH359" s="225">
        <v>0</v>
      </c>
      <c r="AI359" s="225"/>
      <c r="AJ359" s="225"/>
      <c r="AK359" s="225"/>
      <c r="AL359" s="225"/>
      <c r="AM359" s="225"/>
      <c r="AN359" s="225">
        <v>0</v>
      </c>
      <c r="AO359" s="225">
        <v>0</v>
      </c>
      <c r="AP359" s="225"/>
      <c r="AQ359" s="225">
        <v>-12467.16</v>
      </c>
      <c r="AR359" s="225">
        <v>-6150</v>
      </c>
      <c r="AS359" s="225"/>
      <c r="AT359" s="248">
        <v>-1249.06</v>
      </c>
      <c r="AU359" s="248">
        <v>0</v>
      </c>
      <c r="AV359" s="248">
        <v>0</v>
      </c>
      <c r="AW359" s="227">
        <f t="shared" si="162"/>
        <v>20133.78</v>
      </c>
      <c r="AX359" s="249">
        <v>0</v>
      </c>
      <c r="AY359" s="225">
        <v>0</v>
      </c>
      <c r="AZ359" s="227"/>
      <c r="BA359" s="250">
        <v>0</v>
      </c>
      <c r="BB359" s="225">
        <v>0</v>
      </c>
      <c r="BC359" s="225">
        <v>0</v>
      </c>
      <c r="BD359" s="225">
        <v>0</v>
      </c>
      <c r="BE359" s="225"/>
      <c r="BF359" s="225"/>
      <c r="BG359" s="225">
        <v>0</v>
      </c>
      <c r="BH359" s="225">
        <v>0</v>
      </c>
      <c r="BI359" s="225">
        <v>0</v>
      </c>
      <c r="BJ359" s="248">
        <v>-2253.56</v>
      </c>
      <c r="BK359" s="248"/>
      <c r="BL359" s="248"/>
      <c r="BM359" s="248">
        <f t="shared" si="153"/>
        <v>17880.219999999998</v>
      </c>
      <c r="BN359" s="249"/>
      <c r="BO359" s="225"/>
      <c r="BP359" s="248"/>
      <c r="BQ359" s="249"/>
      <c r="BR359" s="225"/>
      <c r="BS359" s="225"/>
      <c r="BT359" s="225"/>
      <c r="BU359" s="225"/>
      <c r="BV359" s="225"/>
      <c r="BW359" s="225"/>
      <c r="BX359" s="225"/>
      <c r="BY359" s="225"/>
      <c r="BZ359" s="225"/>
      <c r="CA359" s="225"/>
      <c r="CB359" s="225"/>
      <c r="CC359" s="227">
        <f t="shared" si="152"/>
        <v>17880.219999999998</v>
      </c>
      <c r="CD359" s="244"/>
      <c r="CE359" s="244"/>
      <c r="CF359" s="244"/>
    </row>
    <row r="360" spans="1:84" x14ac:dyDescent="0.2">
      <c r="A360" s="251" t="s">
        <v>21</v>
      </c>
      <c r="B360" s="246" t="s">
        <v>34</v>
      </c>
      <c r="C360" s="246" t="s">
        <v>100</v>
      </c>
      <c r="D360" s="246" t="s">
        <v>111</v>
      </c>
      <c r="E360" s="246" t="s">
        <v>476</v>
      </c>
      <c r="F360" s="246" t="s">
        <v>714</v>
      </c>
      <c r="G360" s="233" t="str">
        <f t="shared" si="154"/>
        <v>0</v>
      </c>
      <c r="H360" s="233" t="str">
        <f t="shared" si="155"/>
        <v>1</v>
      </c>
      <c r="I360" s="233" t="str">
        <f t="shared" si="156"/>
        <v>0</v>
      </c>
      <c r="J360" s="233" t="str">
        <f t="shared" si="157"/>
        <v>0</v>
      </c>
      <c r="K360" s="233" t="str">
        <f t="shared" si="158"/>
        <v>0100</v>
      </c>
      <c r="L360" s="246" t="str">
        <f t="shared" si="159"/>
        <v>3120N/ASupervisor Pilot</v>
      </c>
      <c r="M360" s="225"/>
      <c r="N360" s="225"/>
      <c r="O360" s="225"/>
      <c r="P360" s="225"/>
      <c r="Q360" s="225">
        <f t="shared" si="160"/>
        <v>0</v>
      </c>
      <c r="R360" s="225"/>
      <c r="S360" s="225">
        <v>30000</v>
      </c>
      <c r="T360" s="225"/>
      <c r="U360" s="225"/>
      <c r="V360" s="225"/>
      <c r="W360" s="225"/>
      <c r="X360" s="225"/>
      <c r="Y360" s="225"/>
      <c r="Z360" s="225"/>
      <c r="AA360" s="225"/>
      <c r="AB360" s="225"/>
      <c r="AC360" s="225"/>
      <c r="AD360" s="225"/>
      <c r="AE360" s="225"/>
      <c r="AF360" s="225">
        <f t="shared" si="161"/>
        <v>30000</v>
      </c>
      <c r="AG360" s="225"/>
      <c r="AH360" s="225">
        <v>0</v>
      </c>
      <c r="AI360" s="225"/>
      <c r="AJ360" s="225"/>
      <c r="AK360" s="225"/>
      <c r="AL360" s="225"/>
      <c r="AM360" s="225"/>
      <c r="AN360" s="225">
        <v>0</v>
      </c>
      <c r="AO360" s="225">
        <v>0</v>
      </c>
      <c r="AP360" s="225"/>
      <c r="AQ360" s="225"/>
      <c r="AR360" s="225"/>
      <c r="AS360" s="225"/>
      <c r="AT360" s="248">
        <v>0</v>
      </c>
      <c r="AU360" s="248">
        <v>-8868.7999999999993</v>
      </c>
      <c r="AV360" s="248">
        <v>0</v>
      </c>
      <c r="AW360" s="227">
        <f t="shared" si="162"/>
        <v>21131.200000000001</v>
      </c>
      <c r="AX360" s="249">
        <v>0</v>
      </c>
      <c r="AY360" s="225">
        <v>0</v>
      </c>
      <c r="AZ360" s="227"/>
      <c r="BA360" s="250">
        <v>0</v>
      </c>
      <c r="BB360" s="225">
        <v>0</v>
      </c>
      <c r="BC360" s="225">
        <v>0</v>
      </c>
      <c r="BD360" s="225">
        <v>-885.11</v>
      </c>
      <c r="BE360" s="225">
        <v>-54.24</v>
      </c>
      <c r="BF360" s="225"/>
      <c r="BG360" s="225">
        <v>0</v>
      </c>
      <c r="BH360" s="225">
        <v>0</v>
      </c>
      <c r="BI360" s="225">
        <v>0</v>
      </c>
      <c r="BJ360" s="248">
        <v>-273.74</v>
      </c>
      <c r="BK360" s="248"/>
      <c r="BL360" s="248">
        <v>-1614.15</v>
      </c>
      <c r="BM360" s="248">
        <f t="shared" si="153"/>
        <v>18303.959999999995</v>
      </c>
      <c r="BN360" s="249"/>
      <c r="BO360" s="225"/>
      <c r="BP360" s="248"/>
      <c r="BQ360" s="249"/>
      <c r="BR360" s="225"/>
      <c r="BS360" s="225"/>
      <c r="BT360" s="225"/>
      <c r="BU360" s="225">
        <v>-8785.07</v>
      </c>
      <c r="BV360" s="225"/>
      <c r="BW360" s="225"/>
      <c r="BX360" s="225"/>
      <c r="BY360" s="225"/>
      <c r="BZ360" s="225"/>
      <c r="CA360" s="225"/>
      <c r="CB360" s="225"/>
      <c r="CC360" s="227">
        <f t="shared" si="152"/>
        <v>9518.8899999999958</v>
      </c>
      <c r="CD360" s="244"/>
      <c r="CE360" s="244"/>
      <c r="CF360" s="244"/>
    </row>
    <row r="361" spans="1:84" x14ac:dyDescent="0.2">
      <c r="A361" s="245" t="s">
        <v>229</v>
      </c>
      <c r="B361" s="247" t="s">
        <v>234</v>
      </c>
      <c r="C361" s="246" t="s">
        <v>231</v>
      </c>
      <c r="D361" s="246" t="s">
        <v>251</v>
      </c>
      <c r="E361" s="247" t="s">
        <v>228</v>
      </c>
      <c r="F361" s="247" t="s">
        <v>716</v>
      </c>
      <c r="G361" s="233" t="str">
        <f t="shared" si="154"/>
        <v>1</v>
      </c>
      <c r="H361" s="233" t="str">
        <f t="shared" si="155"/>
        <v>0</v>
      </c>
      <c r="I361" s="233" t="str">
        <f t="shared" si="156"/>
        <v>0</v>
      </c>
      <c r="J361" s="233" t="str">
        <f t="shared" si="157"/>
        <v>0</v>
      </c>
      <c r="K361" s="233" t="str">
        <f t="shared" si="158"/>
        <v>1000</v>
      </c>
      <c r="L361" s="247" t="str">
        <f t="shared" si="159"/>
        <v>00206376Turnaround Network</v>
      </c>
      <c r="M361" s="225">
        <v>50000</v>
      </c>
      <c r="N361" s="225"/>
      <c r="O361" s="225"/>
      <c r="P361" s="225"/>
      <c r="Q361" s="225">
        <f t="shared" si="160"/>
        <v>50000</v>
      </c>
      <c r="R361" s="225"/>
      <c r="S361" s="225">
        <v>0</v>
      </c>
      <c r="T361" s="225"/>
      <c r="U361" s="225"/>
      <c r="V361" s="225"/>
      <c r="W361" s="225">
        <v>-20940</v>
      </c>
      <c r="X361" s="225">
        <v>-1871</v>
      </c>
      <c r="Y361" s="225">
        <v>-2227</v>
      </c>
      <c r="Z361" s="225">
        <v>-825</v>
      </c>
      <c r="AA361" s="225">
        <v>-388</v>
      </c>
      <c r="AB361" s="225"/>
      <c r="AC361" s="225">
        <v>-821</v>
      </c>
      <c r="AD361" s="225">
        <v>-337</v>
      </c>
      <c r="AE361" s="225"/>
      <c r="AF361" s="225">
        <f t="shared" si="161"/>
        <v>22591</v>
      </c>
      <c r="AG361" s="225"/>
      <c r="AH361" s="225">
        <v>0</v>
      </c>
      <c r="AI361" s="225"/>
      <c r="AJ361" s="225">
        <v>-17</v>
      </c>
      <c r="AK361" s="225"/>
      <c r="AL361" s="225"/>
      <c r="AM361" s="225">
        <v>-9845.17</v>
      </c>
      <c r="AN361" s="225">
        <v>-12403.28</v>
      </c>
      <c r="AO361" s="225">
        <v>0</v>
      </c>
      <c r="AP361" s="225"/>
      <c r="AQ361" s="225"/>
      <c r="AR361" s="225"/>
      <c r="AS361" s="225"/>
      <c r="AT361" s="248">
        <v>0</v>
      </c>
      <c r="AU361" s="248">
        <v>0</v>
      </c>
      <c r="AV361" s="248">
        <v>0</v>
      </c>
      <c r="AW361" s="227">
        <f t="shared" si="162"/>
        <v>325.54999999999927</v>
      </c>
      <c r="AX361" s="249">
        <v>0</v>
      </c>
      <c r="AY361" s="225">
        <v>0</v>
      </c>
      <c r="AZ361" s="227"/>
      <c r="BA361" s="250">
        <v>0</v>
      </c>
      <c r="BB361" s="225">
        <v>0</v>
      </c>
      <c r="BC361" s="225">
        <v>0</v>
      </c>
      <c r="BD361" s="225">
        <v>0</v>
      </c>
      <c r="BE361" s="225"/>
      <c r="BF361" s="225"/>
      <c r="BG361" s="225">
        <v>0</v>
      </c>
      <c r="BH361" s="225">
        <v>0</v>
      </c>
      <c r="BI361" s="225">
        <v>0</v>
      </c>
      <c r="BJ361" s="248"/>
      <c r="BK361" s="248"/>
      <c r="BL361" s="248"/>
      <c r="BM361" s="248">
        <f t="shared" si="153"/>
        <v>325.54999999999927</v>
      </c>
      <c r="BN361" s="249"/>
      <c r="BO361" s="225"/>
      <c r="BP361" s="248"/>
      <c r="BQ361" s="249"/>
      <c r="BR361" s="225"/>
      <c r="BS361" s="225"/>
      <c r="BT361" s="225"/>
      <c r="BU361" s="225"/>
      <c r="BV361" s="225"/>
      <c r="BW361" s="225"/>
      <c r="BX361" s="225"/>
      <c r="BY361" s="225"/>
      <c r="BZ361" s="225"/>
      <c r="CA361" s="225"/>
      <c r="CB361" s="225"/>
      <c r="CC361" s="227">
        <f t="shared" si="152"/>
        <v>325.54999999999927</v>
      </c>
      <c r="CD361" s="244"/>
      <c r="CE361" s="244"/>
      <c r="CF361" s="244"/>
    </row>
    <row r="362" spans="1:84" x14ac:dyDescent="0.2">
      <c r="A362" s="245" t="s">
        <v>229</v>
      </c>
      <c r="B362" s="247" t="s">
        <v>277</v>
      </c>
      <c r="C362" s="246" t="s">
        <v>231</v>
      </c>
      <c r="D362" s="246" t="s">
        <v>111</v>
      </c>
      <c r="E362" s="247" t="s">
        <v>228</v>
      </c>
      <c r="F362" s="247" t="s">
        <v>716</v>
      </c>
      <c r="G362" s="233" t="str">
        <f t="shared" si="154"/>
        <v>1</v>
      </c>
      <c r="H362" s="233" t="str">
        <f t="shared" si="155"/>
        <v>0</v>
      </c>
      <c r="I362" s="233" t="str">
        <f t="shared" si="156"/>
        <v>0</v>
      </c>
      <c r="J362" s="233" t="str">
        <f t="shared" si="157"/>
        <v>0</v>
      </c>
      <c r="K362" s="233" t="str">
        <f t="shared" si="158"/>
        <v>1000</v>
      </c>
      <c r="L362" s="247" t="str">
        <f t="shared" si="159"/>
        <v>0020N/A Turnaround Network</v>
      </c>
      <c r="M362" s="225">
        <v>30000</v>
      </c>
      <c r="N362" s="225"/>
      <c r="O362" s="225"/>
      <c r="P362" s="225"/>
      <c r="Q362" s="225">
        <f t="shared" si="160"/>
        <v>30000</v>
      </c>
      <c r="R362" s="225"/>
      <c r="S362" s="225">
        <v>0</v>
      </c>
      <c r="T362" s="225"/>
      <c r="U362" s="225"/>
      <c r="V362" s="225"/>
      <c r="W362" s="225">
        <v>-8265</v>
      </c>
      <c r="X362" s="225"/>
      <c r="Y362" s="225">
        <v>-5490</v>
      </c>
      <c r="Z362" s="225">
        <v>-1319</v>
      </c>
      <c r="AA362" s="225">
        <v>-677</v>
      </c>
      <c r="AB362" s="225"/>
      <c r="AC362" s="225"/>
      <c r="AD362" s="225"/>
      <c r="AE362" s="225"/>
      <c r="AF362" s="225">
        <f t="shared" si="161"/>
        <v>14249</v>
      </c>
      <c r="AG362" s="225"/>
      <c r="AH362" s="225">
        <v>0</v>
      </c>
      <c r="AI362" s="225"/>
      <c r="AJ362" s="225">
        <v>-1626</v>
      </c>
      <c r="AK362" s="225"/>
      <c r="AL362" s="225"/>
      <c r="AM362" s="225">
        <v>-4572.5600000000004</v>
      </c>
      <c r="AN362" s="225">
        <v>-6179.44</v>
      </c>
      <c r="AO362" s="225">
        <v>0</v>
      </c>
      <c r="AP362" s="225"/>
      <c r="AQ362" s="225"/>
      <c r="AR362" s="225"/>
      <c r="AS362" s="225"/>
      <c r="AT362" s="248">
        <v>-1871</v>
      </c>
      <c r="AU362" s="248">
        <v>0</v>
      </c>
      <c r="AV362" s="248">
        <v>0</v>
      </c>
      <c r="AW362" s="227">
        <f t="shared" si="162"/>
        <v>0</v>
      </c>
      <c r="AX362" s="249">
        <v>0</v>
      </c>
      <c r="AY362" s="225">
        <v>0</v>
      </c>
      <c r="AZ362" s="227"/>
      <c r="BA362" s="250">
        <v>0</v>
      </c>
      <c r="BB362" s="225">
        <v>0</v>
      </c>
      <c r="BC362" s="225">
        <v>0</v>
      </c>
      <c r="BD362" s="225">
        <v>2572.94</v>
      </c>
      <c r="BE362" s="225"/>
      <c r="BF362" s="225"/>
      <c r="BG362" s="225">
        <v>0</v>
      </c>
      <c r="BH362" s="225">
        <v>0</v>
      </c>
      <c r="BI362" s="225">
        <v>0</v>
      </c>
      <c r="BJ362" s="248"/>
      <c r="BK362" s="248"/>
      <c r="BL362" s="248"/>
      <c r="BM362" s="248">
        <f t="shared" si="153"/>
        <v>2572.94</v>
      </c>
      <c r="BN362" s="249"/>
      <c r="BO362" s="225"/>
      <c r="BP362" s="248"/>
      <c r="BQ362" s="249"/>
      <c r="BR362" s="225"/>
      <c r="BS362" s="225"/>
      <c r="BT362" s="225"/>
      <c r="BU362" s="225"/>
      <c r="BV362" s="225"/>
      <c r="BW362" s="225"/>
      <c r="BX362" s="225"/>
      <c r="BY362" s="225"/>
      <c r="BZ362" s="225"/>
      <c r="CA362" s="225"/>
      <c r="CB362" s="225"/>
      <c r="CC362" s="227">
        <f t="shared" si="152"/>
        <v>2572.94</v>
      </c>
      <c r="CD362" s="244"/>
      <c r="CE362" s="244"/>
      <c r="CF362" s="244"/>
    </row>
    <row r="363" spans="1:84" x14ac:dyDescent="0.2">
      <c r="A363" s="245" t="s">
        <v>9</v>
      </c>
      <c r="B363" s="247" t="s">
        <v>295</v>
      </c>
      <c r="C363" s="246" t="s">
        <v>90</v>
      </c>
      <c r="D363" s="246" t="s">
        <v>280</v>
      </c>
      <c r="E363" s="247" t="s">
        <v>228</v>
      </c>
      <c r="F363" s="247" t="s">
        <v>716</v>
      </c>
      <c r="G363" s="233" t="str">
        <f t="shared" si="154"/>
        <v>0</v>
      </c>
      <c r="H363" s="233" t="str">
        <f t="shared" si="155"/>
        <v>0</v>
      </c>
      <c r="I363" s="233" t="str">
        <f t="shared" si="156"/>
        <v>0</v>
      </c>
      <c r="J363" s="233" t="str">
        <f t="shared" si="157"/>
        <v>0</v>
      </c>
      <c r="K363" s="233" t="str">
        <f t="shared" si="158"/>
        <v>0000</v>
      </c>
      <c r="L363" s="247" t="str">
        <f t="shared" si="159"/>
        <v>00305982Turnaround Network</v>
      </c>
      <c r="M363" s="225"/>
      <c r="N363" s="225"/>
      <c r="O363" s="225"/>
      <c r="P363" s="225"/>
      <c r="Q363" s="225">
        <v>2336</v>
      </c>
      <c r="R363" s="225"/>
      <c r="S363" s="225">
        <v>0</v>
      </c>
      <c r="T363" s="225"/>
      <c r="U363" s="225"/>
      <c r="V363" s="225"/>
      <c r="W363" s="225"/>
      <c r="X363" s="225"/>
      <c r="Y363" s="225"/>
      <c r="Z363" s="225"/>
      <c r="AA363" s="225"/>
      <c r="AB363" s="225"/>
      <c r="AC363" s="225"/>
      <c r="AD363" s="225"/>
      <c r="AE363" s="225"/>
      <c r="AF363" s="225">
        <f t="shared" si="161"/>
        <v>2336</v>
      </c>
      <c r="AG363" s="225"/>
      <c r="AH363" s="225">
        <v>0</v>
      </c>
      <c r="AI363" s="225"/>
      <c r="AJ363" s="225"/>
      <c r="AK363" s="225"/>
      <c r="AL363" s="225"/>
      <c r="AM363" s="225"/>
      <c r="AN363" s="225">
        <v>0</v>
      </c>
      <c r="AO363" s="225">
        <v>0</v>
      </c>
      <c r="AP363" s="225"/>
      <c r="AQ363" s="225"/>
      <c r="AR363" s="225"/>
      <c r="AS363" s="225"/>
      <c r="AT363" s="248">
        <v>0</v>
      </c>
      <c r="AU363" s="248">
        <v>0</v>
      </c>
      <c r="AV363" s="248">
        <v>0</v>
      </c>
      <c r="AW363" s="227">
        <f t="shared" si="162"/>
        <v>2336</v>
      </c>
      <c r="AX363" s="249">
        <v>0</v>
      </c>
      <c r="AY363" s="225">
        <v>0</v>
      </c>
      <c r="AZ363" s="227"/>
      <c r="BA363" s="250">
        <v>0</v>
      </c>
      <c r="BB363" s="225">
        <v>0</v>
      </c>
      <c r="BC363" s="225">
        <v>0</v>
      </c>
      <c r="BD363" s="225">
        <v>0</v>
      </c>
      <c r="BE363" s="225"/>
      <c r="BF363" s="225"/>
      <c r="BG363" s="225">
        <v>0</v>
      </c>
      <c r="BH363" s="225">
        <v>0</v>
      </c>
      <c r="BI363" s="225">
        <v>0</v>
      </c>
      <c r="BJ363" s="248"/>
      <c r="BK363" s="248"/>
      <c r="BL363" s="248"/>
      <c r="BM363" s="248">
        <f t="shared" si="153"/>
        <v>2336</v>
      </c>
      <c r="BN363" s="249"/>
      <c r="BO363" s="225"/>
      <c r="BP363" s="248"/>
      <c r="BQ363" s="249"/>
      <c r="BR363" s="225"/>
      <c r="BS363" s="225"/>
      <c r="BT363" s="225"/>
      <c r="BU363" s="225"/>
      <c r="BV363" s="225"/>
      <c r="BW363" s="225"/>
      <c r="BX363" s="225"/>
      <c r="BY363" s="225"/>
      <c r="BZ363" s="225"/>
      <c r="CA363" s="225"/>
      <c r="CB363" s="225"/>
      <c r="CC363" s="227">
        <f t="shared" si="152"/>
        <v>2336</v>
      </c>
      <c r="CD363" s="244"/>
      <c r="CE363" s="244"/>
      <c r="CF363" s="244"/>
    </row>
    <row r="364" spans="1:84" x14ac:dyDescent="0.2">
      <c r="A364" s="245" t="s">
        <v>9</v>
      </c>
      <c r="B364" s="247" t="s">
        <v>295</v>
      </c>
      <c r="C364" s="246" t="s">
        <v>90</v>
      </c>
      <c r="D364" s="246" t="s">
        <v>280</v>
      </c>
      <c r="E364" s="247" t="s">
        <v>228</v>
      </c>
      <c r="F364" s="247" t="s">
        <v>716</v>
      </c>
      <c r="G364" s="233" t="str">
        <f t="shared" si="154"/>
        <v>1</v>
      </c>
      <c r="H364" s="233" t="str">
        <f t="shared" si="155"/>
        <v>0</v>
      </c>
      <c r="I364" s="233" t="str">
        <f t="shared" si="156"/>
        <v>0</v>
      </c>
      <c r="J364" s="233" t="str">
        <f t="shared" si="157"/>
        <v>0</v>
      </c>
      <c r="K364" s="233" t="str">
        <f t="shared" si="158"/>
        <v>1000</v>
      </c>
      <c r="L364" s="247" t="str">
        <f t="shared" si="159"/>
        <v>00305982Turnaround Network</v>
      </c>
      <c r="M364" s="225">
        <v>50000</v>
      </c>
      <c r="N364" s="225"/>
      <c r="O364" s="225"/>
      <c r="P364" s="225"/>
      <c r="Q364" s="225">
        <f>SUM(M364:P364)</f>
        <v>50000</v>
      </c>
      <c r="R364" s="225"/>
      <c r="S364" s="225">
        <v>0</v>
      </c>
      <c r="T364" s="225"/>
      <c r="U364" s="225"/>
      <c r="V364" s="225"/>
      <c r="W364" s="225">
        <v>-3618</v>
      </c>
      <c r="X364" s="225"/>
      <c r="Y364" s="225">
        <v>-1541</v>
      </c>
      <c r="Z364" s="225">
        <v>-1129</v>
      </c>
      <c r="AA364" s="225">
        <v>-694</v>
      </c>
      <c r="AB364" s="225"/>
      <c r="AC364" s="225"/>
      <c r="AD364" s="225"/>
      <c r="AE364" s="225"/>
      <c r="AF364" s="225">
        <f t="shared" si="161"/>
        <v>43018</v>
      </c>
      <c r="AG364" s="225"/>
      <c r="AH364" s="225">
        <v>0</v>
      </c>
      <c r="AI364" s="225"/>
      <c r="AJ364" s="225"/>
      <c r="AK364" s="225"/>
      <c r="AL364" s="225"/>
      <c r="AM364" s="225"/>
      <c r="AN364" s="225">
        <v>0</v>
      </c>
      <c r="AO364" s="225">
        <v>0</v>
      </c>
      <c r="AP364" s="225"/>
      <c r="AQ364" s="225"/>
      <c r="AR364" s="225"/>
      <c r="AS364" s="225"/>
      <c r="AT364" s="248">
        <v>0</v>
      </c>
      <c r="AU364" s="248">
        <v>0</v>
      </c>
      <c r="AV364" s="248">
        <v>0</v>
      </c>
      <c r="AW364" s="227">
        <f t="shared" si="162"/>
        <v>43018</v>
      </c>
      <c r="AX364" s="249">
        <v>0</v>
      </c>
      <c r="AY364" s="225">
        <v>0</v>
      </c>
      <c r="AZ364" s="227"/>
      <c r="BA364" s="250">
        <v>0</v>
      </c>
      <c r="BB364" s="225">
        <v>0</v>
      </c>
      <c r="BC364" s="225">
        <v>0</v>
      </c>
      <c r="BD364" s="225">
        <v>0</v>
      </c>
      <c r="BE364" s="225"/>
      <c r="BF364" s="225"/>
      <c r="BG364" s="225">
        <v>0</v>
      </c>
      <c r="BH364" s="225">
        <v>0</v>
      </c>
      <c r="BI364" s="225">
        <v>0</v>
      </c>
      <c r="BJ364" s="248"/>
      <c r="BK364" s="248"/>
      <c r="BL364" s="248"/>
      <c r="BM364" s="248">
        <f t="shared" si="153"/>
        <v>43018</v>
      </c>
      <c r="BN364" s="249"/>
      <c r="BO364" s="225"/>
      <c r="BP364" s="248"/>
      <c r="BQ364" s="249"/>
      <c r="BR364" s="225"/>
      <c r="BS364" s="225"/>
      <c r="BT364" s="225"/>
      <c r="BU364" s="225"/>
      <c r="BV364" s="225"/>
      <c r="BW364" s="225"/>
      <c r="BX364" s="225"/>
      <c r="BY364" s="225"/>
      <c r="BZ364" s="225"/>
      <c r="CA364" s="225"/>
      <c r="CB364" s="225"/>
      <c r="CC364" s="227">
        <f t="shared" si="152"/>
        <v>43018</v>
      </c>
      <c r="CD364" s="244"/>
      <c r="CE364" s="244"/>
      <c r="CF364" s="244"/>
    </row>
    <row r="365" spans="1:84" x14ac:dyDescent="0.2">
      <c r="A365" s="245" t="s">
        <v>9</v>
      </c>
      <c r="B365" s="246" t="s">
        <v>34</v>
      </c>
      <c r="C365" s="246" t="s">
        <v>90</v>
      </c>
      <c r="D365" s="246" t="s">
        <v>111</v>
      </c>
      <c r="E365" s="247" t="s">
        <v>228</v>
      </c>
      <c r="F365" s="247" t="s">
        <v>716</v>
      </c>
      <c r="G365" s="233" t="str">
        <f t="shared" si="154"/>
        <v>1</v>
      </c>
      <c r="H365" s="233" t="str">
        <f t="shared" si="155"/>
        <v>0</v>
      </c>
      <c r="I365" s="233" t="str">
        <f t="shared" si="156"/>
        <v>0</v>
      </c>
      <c r="J365" s="233" t="str">
        <f t="shared" si="157"/>
        <v>0</v>
      </c>
      <c r="K365" s="233" t="str">
        <f t="shared" si="158"/>
        <v>1000</v>
      </c>
      <c r="L365" s="247" t="str">
        <f t="shared" si="159"/>
        <v>0030N/ATurnaround Network</v>
      </c>
      <c r="M365" s="225">
        <v>10000</v>
      </c>
      <c r="N365" s="225"/>
      <c r="O365" s="225"/>
      <c r="P365" s="225"/>
      <c r="Q365" s="225">
        <f>SUM(M365:P365)</f>
        <v>10000</v>
      </c>
      <c r="R365" s="225"/>
      <c r="S365" s="225">
        <v>0</v>
      </c>
      <c r="T365" s="225"/>
      <c r="U365" s="225"/>
      <c r="V365" s="225"/>
      <c r="W365" s="225"/>
      <c r="X365" s="225"/>
      <c r="Y365" s="225"/>
      <c r="Z365" s="225"/>
      <c r="AA365" s="225"/>
      <c r="AB365" s="225"/>
      <c r="AC365" s="225"/>
      <c r="AD365" s="225"/>
      <c r="AE365" s="225"/>
      <c r="AF365" s="225">
        <f t="shared" si="161"/>
        <v>10000</v>
      </c>
      <c r="AG365" s="225"/>
      <c r="AH365" s="225">
        <v>0</v>
      </c>
      <c r="AI365" s="225"/>
      <c r="AJ365" s="225"/>
      <c r="AK365" s="225"/>
      <c r="AL365" s="225"/>
      <c r="AM365" s="225"/>
      <c r="AN365" s="225">
        <v>0</v>
      </c>
      <c r="AO365" s="225">
        <v>0</v>
      </c>
      <c r="AP365" s="225"/>
      <c r="AQ365" s="225"/>
      <c r="AR365" s="225"/>
      <c r="AS365" s="225"/>
      <c r="AT365" s="248">
        <v>0</v>
      </c>
      <c r="AU365" s="248">
        <v>0</v>
      </c>
      <c r="AV365" s="248">
        <v>0</v>
      </c>
      <c r="AW365" s="227">
        <f t="shared" si="162"/>
        <v>10000</v>
      </c>
      <c r="AX365" s="249">
        <v>0</v>
      </c>
      <c r="AY365" s="225">
        <v>0</v>
      </c>
      <c r="AZ365" s="227"/>
      <c r="BA365" s="250">
        <v>0</v>
      </c>
      <c r="BB365" s="225">
        <v>0</v>
      </c>
      <c r="BC365" s="225">
        <v>0</v>
      </c>
      <c r="BD365" s="225">
        <v>0</v>
      </c>
      <c r="BE365" s="225"/>
      <c r="BF365" s="225"/>
      <c r="BG365" s="225">
        <v>0</v>
      </c>
      <c r="BH365" s="225">
        <v>0</v>
      </c>
      <c r="BI365" s="225">
        <v>0</v>
      </c>
      <c r="BJ365" s="248"/>
      <c r="BK365" s="248"/>
      <c r="BL365" s="248"/>
      <c r="BM365" s="248">
        <f t="shared" si="153"/>
        <v>10000</v>
      </c>
      <c r="BN365" s="249"/>
      <c r="BO365" s="225"/>
      <c r="BP365" s="248"/>
      <c r="BQ365" s="249"/>
      <c r="BR365" s="225"/>
      <c r="BS365" s="225"/>
      <c r="BT365" s="225"/>
      <c r="BU365" s="225"/>
      <c r="BV365" s="225"/>
      <c r="BW365" s="225"/>
      <c r="BX365" s="225"/>
      <c r="BY365" s="225"/>
      <c r="BZ365" s="225"/>
      <c r="CA365" s="225"/>
      <c r="CB365" s="225"/>
      <c r="CC365" s="227">
        <f t="shared" si="152"/>
        <v>10000</v>
      </c>
      <c r="CD365" s="244"/>
      <c r="CE365" s="244"/>
      <c r="CF365" s="244"/>
    </row>
    <row r="366" spans="1:84" x14ac:dyDescent="0.2">
      <c r="A366" s="245" t="s">
        <v>13</v>
      </c>
      <c r="B366" s="247" t="s">
        <v>36</v>
      </c>
      <c r="C366" s="246" t="s">
        <v>94</v>
      </c>
      <c r="D366" s="246" t="s">
        <v>113</v>
      </c>
      <c r="E366" s="247" t="s">
        <v>228</v>
      </c>
      <c r="F366" s="247" t="s">
        <v>716</v>
      </c>
      <c r="G366" s="233" t="str">
        <f t="shared" si="154"/>
        <v>0</v>
      </c>
      <c r="H366" s="233" t="str">
        <f t="shared" si="155"/>
        <v>0</v>
      </c>
      <c r="I366" s="233" t="str">
        <f t="shared" si="156"/>
        <v>1</v>
      </c>
      <c r="J366" s="233" t="str">
        <f t="shared" si="157"/>
        <v>0</v>
      </c>
      <c r="K366" s="233" t="str">
        <f t="shared" si="158"/>
        <v>0010</v>
      </c>
      <c r="L366" s="247" t="str">
        <f t="shared" si="159"/>
        <v>01202752Turnaround Network</v>
      </c>
      <c r="M366" s="225"/>
      <c r="N366" s="225"/>
      <c r="O366" s="225"/>
      <c r="P366" s="225"/>
      <c r="Q366" s="225">
        <f>SUM(M366:P366)</f>
        <v>0</v>
      </c>
      <c r="R366" s="225"/>
      <c r="S366" s="225">
        <v>0</v>
      </c>
      <c r="T366" s="225"/>
      <c r="U366" s="225"/>
      <c r="V366" s="225"/>
      <c r="W366" s="225"/>
      <c r="X366" s="225"/>
      <c r="Y366" s="225"/>
      <c r="Z366" s="225"/>
      <c r="AA366" s="225"/>
      <c r="AB366" s="225"/>
      <c r="AC366" s="225"/>
      <c r="AD366" s="225"/>
      <c r="AE366" s="225"/>
      <c r="AF366" s="225">
        <f t="shared" si="161"/>
        <v>0</v>
      </c>
      <c r="AG366" s="225"/>
      <c r="AH366" s="225">
        <v>0</v>
      </c>
      <c r="AI366" s="225">
        <v>15647.4558</v>
      </c>
      <c r="AJ366" s="225"/>
      <c r="AK366" s="225"/>
      <c r="AL366" s="225"/>
      <c r="AM366" s="225"/>
      <c r="AN366" s="225">
        <v>0</v>
      </c>
      <c r="AO366" s="225">
        <v>0</v>
      </c>
      <c r="AP366" s="225"/>
      <c r="AQ366" s="225"/>
      <c r="AR366" s="225"/>
      <c r="AS366" s="225"/>
      <c r="AT366" s="248">
        <v>0</v>
      </c>
      <c r="AU366" s="248">
        <v>0</v>
      </c>
      <c r="AV366" s="248">
        <v>0</v>
      </c>
      <c r="AW366" s="227">
        <f t="shared" si="162"/>
        <v>15647.4558</v>
      </c>
      <c r="AX366" s="249">
        <v>0</v>
      </c>
      <c r="AY366" s="225">
        <v>29977</v>
      </c>
      <c r="AZ366" s="227"/>
      <c r="BA366" s="250">
        <v>0</v>
      </c>
      <c r="BB366" s="225">
        <v>0</v>
      </c>
      <c r="BC366" s="225">
        <v>0</v>
      </c>
      <c r="BD366" s="225">
        <v>0</v>
      </c>
      <c r="BE366" s="225"/>
      <c r="BF366" s="225">
        <v>-12793</v>
      </c>
      <c r="BG366" s="225">
        <v>0</v>
      </c>
      <c r="BH366" s="225">
        <v>-1387</v>
      </c>
      <c r="BI366" s="225">
        <v>-820</v>
      </c>
      <c r="BJ366" s="248"/>
      <c r="BK366" s="248">
        <v>-3997</v>
      </c>
      <c r="BL366" s="248"/>
      <c r="BM366" s="248">
        <f t="shared" si="153"/>
        <v>26627.455799999996</v>
      </c>
      <c r="BN366" s="249"/>
      <c r="BO366" s="225">
        <v>64470</v>
      </c>
      <c r="BP366" s="248"/>
      <c r="BQ366" s="249">
        <v>-8998</v>
      </c>
      <c r="BR366" s="225">
        <v>-1982</v>
      </c>
      <c r="BS366" s="225"/>
      <c r="BT366" s="225"/>
      <c r="BU366" s="225"/>
      <c r="BV366" s="147">
        <v>-4328.8500000000004</v>
      </c>
      <c r="BW366" s="225"/>
      <c r="BX366" s="225"/>
      <c r="BY366" s="225"/>
      <c r="BZ366" s="225"/>
      <c r="CA366" s="225"/>
      <c r="CB366" s="225"/>
      <c r="CC366" s="227">
        <f t="shared" si="152"/>
        <v>75788.60579999999</v>
      </c>
      <c r="CD366" s="244"/>
      <c r="CE366" s="244"/>
      <c r="CF366" s="244"/>
    </row>
    <row r="367" spans="1:84" x14ac:dyDescent="0.2">
      <c r="A367" s="245" t="s">
        <v>15</v>
      </c>
      <c r="B367" s="246" t="s">
        <v>233</v>
      </c>
      <c r="C367" s="246" t="s">
        <v>296</v>
      </c>
      <c r="D367" s="246" t="s">
        <v>254</v>
      </c>
      <c r="E367" s="247" t="s">
        <v>228</v>
      </c>
      <c r="F367" s="247" t="s">
        <v>716</v>
      </c>
      <c r="G367" s="233" t="str">
        <f t="shared" si="154"/>
        <v>1</v>
      </c>
      <c r="H367" s="233" t="str">
        <f t="shared" si="155"/>
        <v>0</v>
      </c>
      <c r="I367" s="233" t="str">
        <f t="shared" si="156"/>
        <v>0</v>
      </c>
      <c r="J367" s="233" t="str">
        <f t="shared" si="157"/>
        <v>0</v>
      </c>
      <c r="K367" s="233" t="str">
        <f t="shared" si="158"/>
        <v>1000</v>
      </c>
      <c r="L367" s="247" t="str">
        <f t="shared" si="159"/>
        <v>01800464Turnaround Network</v>
      </c>
      <c r="M367" s="225">
        <v>106594</v>
      </c>
      <c r="N367" s="225"/>
      <c r="O367" s="225"/>
      <c r="P367" s="225"/>
      <c r="Q367" s="225">
        <f>SUM(M367:P367)</f>
        <v>106594</v>
      </c>
      <c r="R367" s="225"/>
      <c r="S367" s="225">
        <v>0</v>
      </c>
      <c r="T367" s="225"/>
      <c r="U367" s="225"/>
      <c r="V367" s="225"/>
      <c r="W367" s="225"/>
      <c r="X367" s="225"/>
      <c r="Y367" s="225">
        <v>-7191</v>
      </c>
      <c r="Z367" s="225"/>
      <c r="AA367" s="225"/>
      <c r="AB367" s="225"/>
      <c r="AC367" s="225">
        <v>-9680</v>
      </c>
      <c r="AD367" s="225"/>
      <c r="AE367" s="225"/>
      <c r="AF367" s="225">
        <f t="shared" si="161"/>
        <v>89723</v>
      </c>
      <c r="AG367" s="225"/>
      <c r="AH367" s="225">
        <v>30000</v>
      </c>
      <c r="AI367" s="225"/>
      <c r="AJ367" s="225"/>
      <c r="AK367" s="225"/>
      <c r="AL367" s="225"/>
      <c r="AM367" s="225">
        <v>-35998.019999999997</v>
      </c>
      <c r="AN367" s="225">
        <v>0</v>
      </c>
      <c r="AO367" s="225">
        <v>0</v>
      </c>
      <c r="AP367" s="225"/>
      <c r="AQ367" s="225"/>
      <c r="AR367" s="225"/>
      <c r="AS367" s="225"/>
      <c r="AT367" s="248">
        <v>0</v>
      </c>
      <c r="AU367" s="248">
        <v>0</v>
      </c>
      <c r="AV367" s="248">
        <v>0</v>
      </c>
      <c r="AW367" s="227">
        <f t="shared" si="162"/>
        <v>83724.98000000001</v>
      </c>
      <c r="AX367" s="249">
        <v>0</v>
      </c>
      <c r="AY367" s="225">
        <v>0</v>
      </c>
      <c r="AZ367" s="227"/>
      <c r="BA367" s="250">
        <v>0</v>
      </c>
      <c r="BB367" s="225">
        <v>0</v>
      </c>
      <c r="BC367" s="225">
        <v>-15760.21</v>
      </c>
      <c r="BD367" s="225">
        <v>0</v>
      </c>
      <c r="BE367" s="225"/>
      <c r="BF367" s="225"/>
      <c r="BG367" s="225">
        <v>0</v>
      </c>
      <c r="BH367" s="225">
        <v>0</v>
      </c>
      <c r="BI367" s="225">
        <v>0</v>
      </c>
      <c r="BJ367" s="248"/>
      <c r="BK367" s="248"/>
      <c r="BL367" s="248"/>
      <c r="BM367" s="248">
        <f t="shared" si="153"/>
        <v>67964.770000000019</v>
      </c>
      <c r="BN367" s="249"/>
      <c r="BO367" s="225"/>
      <c r="BP367" s="248"/>
      <c r="BQ367" s="249"/>
      <c r="BR367" s="225"/>
      <c r="BS367" s="225"/>
      <c r="BT367" s="225"/>
      <c r="BU367" s="225"/>
      <c r="BV367" s="225"/>
      <c r="BW367" s="225"/>
      <c r="BX367" s="225"/>
      <c r="BY367" s="225"/>
      <c r="BZ367" s="225"/>
      <c r="CA367" s="225"/>
      <c r="CB367" s="225"/>
      <c r="CC367" s="227">
        <f t="shared" si="152"/>
        <v>67964.770000000019</v>
      </c>
      <c r="CD367" s="244"/>
      <c r="CE367" s="244"/>
      <c r="CF367" s="244"/>
    </row>
    <row r="368" spans="1:84" x14ac:dyDescent="0.2">
      <c r="A368" s="245" t="s">
        <v>15</v>
      </c>
      <c r="B368" s="247" t="s">
        <v>235</v>
      </c>
      <c r="C368" s="246" t="s">
        <v>296</v>
      </c>
      <c r="D368" s="246" t="s">
        <v>252</v>
      </c>
      <c r="E368" s="247" t="s">
        <v>228</v>
      </c>
      <c r="F368" s="247" t="s">
        <v>716</v>
      </c>
      <c r="G368" s="233" t="str">
        <f t="shared" si="154"/>
        <v>0</v>
      </c>
      <c r="H368" s="233" t="str">
        <f t="shared" si="155"/>
        <v>0</v>
      </c>
      <c r="I368" s="233" t="str">
        <f t="shared" si="156"/>
        <v>0</v>
      </c>
      <c r="J368" s="233" t="str">
        <f t="shared" si="157"/>
        <v>0</v>
      </c>
      <c r="K368" s="233" t="str">
        <f t="shared" si="158"/>
        <v>0000</v>
      </c>
      <c r="L368" s="247" t="str">
        <f t="shared" si="159"/>
        <v>01806310Turnaround Network</v>
      </c>
      <c r="M368" s="225"/>
      <c r="N368" s="225"/>
      <c r="O368" s="225"/>
      <c r="P368" s="225"/>
      <c r="Q368" s="225">
        <v>3154</v>
      </c>
      <c r="R368" s="225"/>
      <c r="S368" s="225">
        <v>0</v>
      </c>
      <c r="T368" s="225"/>
      <c r="U368" s="225"/>
      <c r="V368" s="225"/>
      <c r="W368" s="225"/>
      <c r="X368" s="225"/>
      <c r="Y368" s="225"/>
      <c r="Z368" s="225"/>
      <c r="AA368" s="225"/>
      <c r="AB368" s="225"/>
      <c r="AC368" s="225"/>
      <c r="AD368" s="225"/>
      <c r="AE368" s="225"/>
      <c r="AF368" s="225">
        <f t="shared" si="161"/>
        <v>3154</v>
      </c>
      <c r="AG368" s="225"/>
      <c r="AH368" s="225">
        <v>0</v>
      </c>
      <c r="AI368" s="225"/>
      <c r="AJ368" s="225"/>
      <c r="AK368" s="225"/>
      <c r="AL368" s="225"/>
      <c r="AM368" s="225"/>
      <c r="AN368" s="225">
        <v>-3154</v>
      </c>
      <c r="AO368" s="225">
        <v>0</v>
      </c>
      <c r="AP368" s="225"/>
      <c r="AQ368" s="225"/>
      <c r="AR368" s="225"/>
      <c r="AS368" s="225"/>
      <c r="AT368" s="248">
        <v>0</v>
      </c>
      <c r="AU368" s="248">
        <v>0</v>
      </c>
      <c r="AV368" s="248">
        <v>0</v>
      </c>
      <c r="AW368" s="227">
        <f t="shared" si="162"/>
        <v>0</v>
      </c>
      <c r="AX368" s="249">
        <v>0</v>
      </c>
      <c r="AY368" s="225">
        <v>0</v>
      </c>
      <c r="AZ368" s="227"/>
      <c r="BA368" s="250">
        <v>0</v>
      </c>
      <c r="BB368" s="225">
        <v>0</v>
      </c>
      <c r="BC368" s="225">
        <v>0</v>
      </c>
      <c r="BD368" s="225">
        <v>0</v>
      </c>
      <c r="BE368" s="225"/>
      <c r="BF368" s="225"/>
      <c r="BG368" s="225">
        <v>0</v>
      </c>
      <c r="BH368" s="225">
        <v>0</v>
      </c>
      <c r="BI368" s="225">
        <v>0</v>
      </c>
      <c r="BJ368" s="248"/>
      <c r="BK368" s="248"/>
      <c r="BL368" s="248"/>
      <c r="BM368" s="248">
        <f t="shared" si="153"/>
        <v>0</v>
      </c>
      <c r="BN368" s="249"/>
      <c r="BO368" s="225"/>
      <c r="BP368" s="248"/>
      <c r="BQ368" s="249"/>
      <c r="BR368" s="225"/>
      <c r="BS368" s="225"/>
      <c r="BT368" s="225"/>
      <c r="BU368" s="225"/>
      <c r="BV368" s="225"/>
      <c r="BW368" s="225"/>
      <c r="BX368" s="225"/>
      <c r="BY368" s="225"/>
      <c r="BZ368" s="225"/>
      <c r="CA368" s="225"/>
      <c r="CB368" s="225"/>
      <c r="CC368" s="227">
        <f t="shared" si="152"/>
        <v>0</v>
      </c>
      <c r="CD368" s="244"/>
      <c r="CE368" s="244"/>
      <c r="CF368" s="244"/>
    </row>
    <row r="369" spans="1:84" x14ac:dyDescent="0.2">
      <c r="A369" s="245" t="s">
        <v>15</v>
      </c>
      <c r="B369" s="247" t="s">
        <v>235</v>
      </c>
      <c r="C369" s="246" t="s">
        <v>296</v>
      </c>
      <c r="D369" s="246" t="s">
        <v>252</v>
      </c>
      <c r="E369" s="247" t="s">
        <v>228</v>
      </c>
      <c r="F369" s="247" t="s">
        <v>716</v>
      </c>
      <c r="G369" s="233" t="str">
        <f t="shared" si="154"/>
        <v>1</v>
      </c>
      <c r="H369" s="233" t="str">
        <f t="shared" si="155"/>
        <v>0</v>
      </c>
      <c r="I369" s="233" t="str">
        <f t="shared" si="156"/>
        <v>0</v>
      </c>
      <c r="J369" s="233" t="str">
        <f t="shared" si="157"/>
        <v>0</v>
      </c>
      <c r="K369" s="233" t="str">
        <f t="shared" si="158"/>
        <v>1000</v>
      </c>
      <c r="L369" s="247" t="str">
        <f t="shared" si="159"/>
        <v>01806310Turnaround Network</v>
      </c>
      <c r="M369" s="225">
        <v>101569</v>
      </c>
      <c r="N369" s="225"/>
      <c r="O369" s="225"/>
      <c r="P369" s="225"/>
      <c r="Q369" s="225">
        <f>SUM(M369:P369)</f>
        <v>101569</v>
      </c>
      <c r="R369" s="225"/>
      <c r="S369" s="225">
        <v>0</v>
      </c>
      <c r="T369" s="225"/>
      <c r="U369" s="225"/>
      <c r="V369" s="225"/>
      <c r="W369" s="225">
        <v>-32640</v>
      </c>
      <c r="X369" s="225">
        <v>-13357</v>
      </c>
      <c r="Y369" s="225">
        <v>-3695</v>
      </c>
      <c r="Z369" s="225">
        <v>-3516</v>
      </c>
      <c r="AA369" s="225"/>
      <c r="AB369" s="225">
        <v>-1682</v>
      </c>
      <c r="AC369" s="225"/>
      <c r="AD369" s="225"/>
      <c r="AE369" s="225">
        <v>-4846</v>
      </c>
      <c r="AF369" s="225">
        <f t="shared" si="161"/>
        <v>41833</v>
      </c>
      <c r="AG369" s="225"/>
      <c r="AH369" s="225">
        <v>30000</v>
      </c>
      <c r="AI369" s="225"/>
      <c r="AJ369" s="225"/>
      <c r="AK369" s="225"/>
      <c r="AL369" s="225"/>
      <c r="AM369" s="225">
        <v>-24332.52</v>
      </c>
      <c r="AN369" s="225">
        <v>-13950.68</v>
      </c>
      <c r="AO369" s="225">
        <v>0</v>
      </c>
      <c r="AP369" s="225"/>
      <c r="AQ369" s="225"/>
      <c r="AR369" s="225"/>
      <c r="AS369" s="225"/>
      <c r="AT369" s="248">
        <v>0</v>
      </c>
      <c r="AU369" s="248">
        <v>0</v>
      </c>
      <c r="AV369" s="248">
        <v>0</v>
      </c>
      <c r="AW369" s="227">
        <f t="shared" si="162"/>
        <v>33549.799999999996</v>
      </c>
      <c r="AX369" s="249">
        <v>0</v>
      </c>
      <c r="AY369" s="225">
        <v>0</v>
      </c>
      <c r="AZ369" s="227"/>
      <c r="BA369" s="250">
        <v>0</v>
      </c>
      <c r="BB369" s="225">
        <v>0</v>
      </c>
      <c r="BC369" s="225">
        <v>-14600.01</v>
      </c>
      <c r="BD369" s="225">
        <v>0</v>
      </c>
      <c r="BE369" s="225"/>
      <c r="BF369" s="225"/>
      <c r="BG369" s="225">
        <v>0</v>
      </c>
      <c r="BH369" s="225">
        <v>0</v>
      </c>
      <c r="BI369" s="225">
        <v>0</v>
      </c>
      <c r="BJ369" s="248"/>
      <c r="BK369" s="248"/>
      <c r="BL369" s="248"/>
      <c r="BM369" s="248">
        <f t="shared" si="153"/>
        <v>18949.789999999994</v>
      </c>
      <c r="BN369" s="249"/>
      <c r="BO369" s="225"/>
      <c r="BP369" s="248"/>
      <c r="BQ369" s="249"/>
      <c r="BR369" s="225"/>
      <c r="BS369" s="225"/>
      <c r="BT369" s="225"/>
      <c r="BU369" s="225"/>
      <c r="BV369" s="225"/>
      <c r="BW369" s="225"/>
      <c r="BX369" s="225"/>
      <c r="BY369" s="225"/>
      <c r="BZ369" s="225"/>
      <c r="CA369" s="225"/>
      <c r="CB369" s="225"/>
      <c r="CC369" s="227">
        <f t="shared" si="152"/>
        <v>18949.789999999994</v>
      </c>
      <c r="CD369" s="244"/>
      <c r="CE369" s="244"/>
      <c r="CF369" s="244"/>
    </row>
    <row r="370" spans="1:84" x14ac:dyDescent="0.2">
      <c r="A370" s="245" t="s">
        <v>15</v>
      </c>
      <c r="B370" s="247" t="s">
        <v>236</v>
      </c>
      <c r="C370" s="246" t="s">
        <v>296</v>
      </c>
      <c r="D370" s="246" t="s">
        <v>253</v>
      </c>
      <c r="E370" s="247" t="s">
        <v>228</v>
      </c>
      <c r="F370" s="247" t="s">
        <v>716</v>
      </c>
      <c r="G370" s="233" t="str">
        <f t="shared" si="154"/>
        <v>0</v>
      </c>
      <c r="H370" s="233" t="str">
        <f t="shared" si="155"/>
        <v>0</v>
      </c>
      <c r="I370" s="233" t="str">
        <f t="shared" si="156"/>
        <v>0</v>
      </c>
      <c r="J370" s="233" t="str">
        <f t="shared" si="157"/>
        <v>0</v>
      </c>
      <c r="K370" s="233" t="str">
        <f t="shared" si="158"/>
        <v>0000</v>
      </c>
      <c r="L370" s="247" t="str">
        <f t="shared" si="159"/>
        <v>01808078Turnaround Network</v>
      </c>
      <c r="M370" s="225"/>
      <c r="N370" s="225"/>
      <c r="O370" s="225"/>
      <c r="P370" s="225"/>
      <c r="Q370" s="225">
        <v>85</v>
      </c>
      <c r="R370" s="225"/>
      <c r="S370" s="225">
        <v>0</v>
      </c>
      <c r="T370" s="225"/>
      <c r="U370" s="225"/>
      <c r="V370" s="225"/>
      <c r="W370" s="225"/>
      <c r="X370" s="225"/>
      <c r="Y370" s="225"/>
      <c r="Z370" s="225"/>
      <c r="AA370" s="225"/>
      <c r="AB370" s="225"/>
      <c r="AC370" s="225"/>
      <c r="AD370" s="225"/>
      <c r="AE370" s="225"/>
      <c r="AF370" s="225">
        <f t="shared" si="161"/>
        <v>85</v>
      </c>
      <c r="AG370" s="225"/>
      <c r="AH370" s="225">
        <v>0</v>
      </c>
      <c r="AI370" s="225"/>
      <c r="AJ370" s="225"/>
      <c r="AK370" s="225"/>
      <c r="AL370" s="225"/>
      <c r="AM370" s="225"/>
      <c r="AN370" s="225">
        <v>-85</v>
      </c>
      <c r="AO370" s="225">
        <v>0</v>
      </c>
      <c r="AP370" s="225"/>
      <c r="AQ370" s="225"/>
      <c r="AR370" s="225"/>
      <c r="AS370" s="225"/>
      <c r="AT370" s="248">
        <v>0</v>
      </c>
      <c r="AU370" s="248">
        <v>0</v>
      </c>
      <c r="AV370" s="248">
        <v>0</v>
      </c>
      <c r="AW370" s="227">
        <f t="shared" si="162"/>
        <v>0</v>
      </c>
      <c r="AX370" s="249">
        <v>0</v>
      </c>
      <c r="AY370" s="225">
        <v>0</v>
      </c>
      <c r="AZ370" s="227"/>
      <c r="BA370" s="250">
        <v>0</v>
      </c>
      <c r="BB370" s="225">
        <v>0</v>
      </c>
      <c r="BC370" s="225">
        <v>0</v>
      </c>
      <c r="BD370" s="225">
        <v>0</v>
      </c>
      <c r="BE370" s="225"/>
      <c r="BF370" s="225"/>
      <c r="BG370" s="225">
        <v>0</v>
      </c>
      <c r="BH370" s="225">
        <v>0</v>
      </c>
      <c r="BI370" s="225">
        <v>0</v>
      </c>
      <c r="BJ370" s="248"/>
      <c r="BK370" s="248"/>
      <c r="BL370" s="248"/>
      <c r="BM370" s="248">
        <f t="shared" si="153"/>
        <v>0</v>
      </c>
      <c r="BN370" s="249"/>
      <c r="BO370" s="225"/>
      <c r="BP370" s="248"/>
      <c r="BQ370" s="249"/>
      <c r="BR370" s="225"/>
      <c r="BS370" s="225"/>
      <c r="BT370" s="225"/>
      <c r="BU370" s="225"/>
      <c r="BV370" s="225"/>
      <c r="BW370" s="225"/>
      <c r="BX370" s="225"/>
      <c r="BY370" s="225"/>
      <c r="BZ370" s="225"/>
      <c r="CA370" s="225"/>
      <c r="CB370" s="225"/>
      <c r="CC370" s="227">
        <f t="shared" si="152"/>
        <v>0</v>
      </c>
      <c r="CD370" s="244"/>
      <c r="CE370" s="244"/>
      <c r="CF370" s="244"/>
    </row>
    <row r="371" spans="1:84" x14ac:dyDescent="0.2">
      <c r="A371" s="245" t="s">
        <v>15</v>
      </c>
      <c r="B371" s="247" t="s">
        <v>236</v>
      </c>
      <c r="C371" s="246" t="s">
        <v>296</v>
      </c>
      <c r="D371" s="246" t="s">
        <v>253</v>
      </c>
      <c r="E371" s="247" t="s">
        <v>228</v>
      </c>
      <c r="F371" s="247" t="s">
        <v>716</v>
      </c>
      <c r="G371" s="233" t="str">
        <f t="shared" si="154"/>
        <v>1</v>
      </c>
      <c r="H371" s="233" t="str">
        <f t="shared" si="155"/>
        <v>0</v>
      </c>
      <c r="I371" s="233" t="str">
        <f t="shared" si="156"/>
        <v>0</v>
      </c>
      <c r="J371" s="233" t="str">
        <f t="shared" si="157"/>
        <v>0</v>
      </c>
      <c r="K371" s="233" t="str">
        <f t="shared" si="158"/>
        <v>1000</v>
      </c>
      <c r="L371" s="247" t="str">
        <f t="shared" si="159"/>
        <v>01808078Turnaround Network</v>
      </c>
      <c r="M371" s="225">
        <v>97760</v>
      </c>
      <c r="N371" s="225"/>
      <c r="O371" s="225"/>
      <c r="P371" s="225"/>
      <c r="Q371" s="225">
        <f>SUM(M371:P371)</f>
        <v>97760</v>
      </c>
      <c r="R371" s="225"/>
      <c r="S371" s="225">
        <v>0</v>
      </c>
      <c r="T371" s="225"/>
      <c r="U371" s="225"/>
      <c r="V371" s="225"/>
      <c r="W371" s="225">
        <v>-31603</v>
      </c>
      <c r="X371" s="225">
        <v>-14768</v>
      </c>
      <c r="Y371" s="225">
        <v>-231</v>
      </c>
      <c r="Z371" s="225">
        <v>-1866</v>
      </c>
      <c r="AA371" s="225">
        <v>-1149</v>
      </c>
      <c r="AB371" s="225"/>
      <c r="AC371" s="225">
        <v>-16180</v>
      </c>
      <c r="AD371" s="225"/>
      <c r="AE371" s="225">
        <v>-951</v>
      </c>
      <c r="AF371" s="225">
        <f t="shared" si="161"/>
        <v>31012</v>
      </c>
      <c r="AG371" s="225"/>
      <c r="AH371" s="225">
        <v>30000</v>
      </c>
      <c r="AI371" s="225"/>
      <c r="AJ371" s="225"/>
      <c r="AK371" s="225"/>
      <c r="AL371" s="225"/>
      <c r="AM371" s="225"/>
      <c r="AN371" s="225">
        <v>-6933.0599999999995</v>
      </c>
      <c r="AO371" s="225">
        <v>0</v>
      </c>
      <c r="AP371" s="225">
        <v>-18164.72</v>
      </c>
      <c r="AQ371" s="225"/>
      <c r="AR371" s="225"/>
      <c r="AS371" s="225"/>
      <c r="AT371" s="248">
        <v>0</v>
      </c>
      <c r="AU371" s="248">
        <v>0</v>
      </c>
      <c r="AV371" s="248">
        <v>0</v>
      </c>
      <c r="AW371" s="227">
        <f t="shared" si="162"/>
        <v>35914.22</v>
      </c>
      <c r="AX371" s="249">
        <v>0</v>
      </c>
      <c r="AY371" s="225">
        <v>0</v>
      </c>
      <c r="AZ371" s="227"/>
      <c r="BA371" s="250">
        <v>0</v>
      </c>
      <c r="BB371" s="225">
        <v>0</v>
      </c>
      <c r="BC371" s="225">
        <v>-32317.65</v>
      </c>
      <c r="BD371" s="225">
        <v>0</v>
      </c>
      <c r="BE371" s="225"/>
      <c r="BF371" s="225"/>
      <c r="BG371" s="225">
        <v>0</v>
      </c>
      <c r="BH371" s="225">
        <v>0</v>
      </c>
      <c r="BI371" s="225">
        <v>0</v>
      </c>
      <c r="BJ371" s="248"/>
      <c r="BK371" s="248"/>
      <c r="BL371" s="248"/>
      <c r="BM371" s="248">
        <f t="shared" si="153"/>
        <v>3596.5699999999997</v>
      </c>
      <c r="BN371" s="249"/>
      <c r="BO371" s="225"/>
      <c r="BP371" s="248"/>
      <c r="BQ371" s="249"/>
      <c r="BR371" s="225"/>
      <c r="BS371" s="225"/>
      <c r="BT371" s="225"/>
      <c r="BU371" s="225"/>
      <c r="BV371" s="225"/>
      <c r="BW371" s="225"/>
      <c r="BX371" s="225"/>
      <c r="BY371" s="225"/>
      <c r="BZ371" s="225"/>
      <c r="CA371" s="225"/>
      <c r="CB371" s="225"/>
      <c r="CC371" s="227">
        <f t="shared" si="152"/>
        <v>3596.5699999999997</v>
      </c>
      <c r="CD371" s="244"/>
      <c r="CE371" s="244"/>
      <c r="CF371" s="244"/>
    </row>
    <row r="372" spans="1:84" x14ac:dyDescent="0.2">
      <c r="A372" s="245" t="s">
        <v>15</v>
      </c>
      <c r="B372" s="247" t="s">
        <v>297</v>
      </c>
      <c r="C372" s="246" t="s">
        <v>296</v>
      </c>
      <c r="D372" s="246" t="s">
        <v>298</v>
      </c>
      <c r="E372" s="247" t="s">
        <v>228</v>
      </c>
      <c r="F372" s="247" t="s">
        <v>716</v>
      </c>
      <c r="G372" s="233" t="str">
        <f t="shared" si="154"/>
        <v>0</v>
      </c>
      <c r="H372" s="233" t="str">
        <f t="shared" si="155"/>
        <v>0</v>
      </c>
      <c r="I372" s="233" t="str">
        <f t="shared" si="156"/>
        <v>1</v>
      </c>
      <c r="J372" s="233" t="str">
        <f t="shared" si="157"/>
        <v>0</v>
      </c>
      <c r="K372" s="233" t="str">
        <f t="shared" si="158"/>
        <v>0010</v>
      </c>
      <c r="L372" s="247" t="str">
        <f t="shared" si="159"/>
        <v>01809140Turnaround Network</v>
      </c>
      <c r="M372" s="225"/>
      <c r="N372" s="225"/>
      <c r="O372" s="225"/>
      <c r="P372" s="225"/>
      <c r="Q372" s="225">
        <v>5520</v>
      </c>
      <c r="R372" s="225"/>
      <c r="S372" s="225">
        <v>0</v>
      </c>
      <c r="T372" s="225"/>
      <c r="U372" s="225"/>
      <c r="V372" s="225"/>
      <c r="W372" s="225"/>
      <c r="X372" s="225"/>
      <c r="Y372" s="225"/>
      <c r="Z372" s="225"/>
      <c r="AA372" s="225"/>
      <c r="AB372" s="225"/>
      <c r="AC372" s="225"/>
      <c r="AD372" s="225"/>
      <c r="AE372" s="225"/>
      <c r="AF372" s="225">
        <f t="shared" si="161"/>
        <v>5520</v>
      </c>
      <c r="AG372" s="225"/>
      <c r="AH372" s="225">
        <v>0</v>
      </c>
      <c r="AI372" s="225">
        <v>32967</v>
      </c>
      <c r="AJ372" s="225"/>
      <c r="AK372" s="225"/>
      <c r="AL372" s="225"/>
      <c r="AM372" s="225"/>
      <c r="AN372" s="225">
        <v>0</v>
      </c>
      <c r="AO372" s="225">
        <v>0</v>
      </c>
      <c r="AP372" s="225"/>
      <c r="AQ372" s="225"/>
      <c r="AR372" s="225"/>
      <c r="AS372" s="225"/>
      <c r="AT372" s="248">
        <v>0</v>
      </c>
      <c r="AU372" s="248">
        <v>0</v>
      </c>
      <c r="AV372" s="248">
        <v>0</v>
      </c>
      <c r="AW372" s="227">
        <f t="shared" si="162"/>
        <v>38487</v>
      </c>
      <c r="AX372" s="249">
        <v>0</v>
      </c>
      <c r="AY372" s="225">
        <v>0</v>
      </c>
      <c r="AZ372" s="227"/>
      <c r="BA372" s="250">
        <v>0</v>
      </c>
      <c r="BB372" s="225">
        <v>0</v>
      </c>
      <c r="BC372" s="225">
        <v>0</v>
      </c>
      <c r="BD372" s="225">
        <v>0</v>
      </c>
      <c r="BE372" s="225"/>
      <c r="BF372" s="225"/>
      <c r="BG372" s="225">
        <v>0</v>
      </c>
      <c r="BH372" s="225">
        <v>0</v>
      </c>
      <c r="BI372" s="225">
        <v>0</v>
      </c>
      <c r="BJ372" s="248"/>
      <c r="BK372" s="248"/>
      <c r="BL372" s="248">
        <v>-23491.599999999999</v>
      </c>
      <c r="BM372" s="248">
        <f t="shared" si="153"/>
        <v>14995.400000000001</v>
      </c>
      <c r="BN372" s="249"/>
      <c r="BO372" s="225"/>
      <c r="BP372" s="248"/>
      <c r="BQ372" s="249"/>
      <c r="BR372" s="225"/>
      <c r="BS372" s="225"/>
      <c r="BT372" s="225"/>
      <c r="BU372" s="225"/>
      <c r="BV372" s="225"/>
      <c r="BW372" s="225"/>
      <c r="BX372" s="225"/>
      <c r="BY372" s="225"/>
      <c r="BZ372" s="225"/>
      <c r="CA372" s="225"/>
      <c r="CB372" s="225"/>
      <c r="CC372" s="227">
        <f t="shared" si="152"/>
        <v>14995.400000000001</v>
      </c>
      <c r="CD372" s="244"/>
      <c r="CE372" s="244"/>
      <c r="CF372" s="244"/>
    </row>
    <row r="373" spans="1:84" x14ac:dyDescent="0.2">
      <c r="A373" s="245" t="s">
        <v>15</v>
      </c>
      <c r="B373" s="246" t="s">
        <v>34</v>
      </c>
      <c r="C373" s="246" t="s">
        <v>296</v>
      </c>
      <c r="D373" s="246" t="s">
        <v>111</v>
      </c>
      <c r="E373" s="247" t="s">
        <v>228</v>
      </c>
      <c r="F373" s="247" t="s">
        <v>716</v>
      </c>
      <c r="G373" s="233" t="str">
        <f t="shared" si="154"/>
        <v>0</v>
      </c>
      <c r="H373" s="233" t="str">
        <f t="shared" si="155"/>
        <v>0</v>
      </c>
      <c r="I373" s="233" t="str">
        <f t="shared" si="156"/>
        <v>0</v>
      </c>
      <c r="J373" s="233" t="str">
        <f t="shared" si="157"/>
        <v>0</v>
      </c>
      <c r="K373" s="233" t="str">
        <f t="shared" si="158"/>
        <v>0000</v>
      </c>
      <c r="L373" s="247" t="str">
        <f t="shared" si="159"/>
        <v>0180N/ATurnaround Network</v>
      </c>
      <c r="M373" s="225"/>
      <c r="N373" s="225"/>
      <c r="O373" s="225"/>
      <c r="P373" s="225"/>
      <c r="Q373" s="225">
        <v>20175</v>
      </c>
      <c r="R373" s="225"/>
      <c r="S373" s="225">
        <v>0</v>
      </c>
      <c r="T373" s="225"/>
      <c r="U373" s="225"/>
      <c r="V373" s="225"/>
      <c r="W373" s="225"/>
      <c r="X373" s="225"/>
      <c r="Y373" s="225"/>
      <c r="Z373" s="225"/>
      <c r="AA373" s="225"/>
      <c r="AB373" s="225"/>
      <c r="AC373" s="225"/>
      <c r="AD373" s="225"/>
      <c r="AE373" s="225"/>
      <c r="AF373" s="225">
        <f t="shared" si="161"/>
        <v>20175</v>
      </c>
      <c r="AG373" s="225"/>
      <c r="AH373" s="225">
        <v>0</v>
      </c>
      <c r="AI373" s="225"/>
      <c r="AJ373" s="225"/>
      <c r="AK373" s="225"/>
      <c r="AL373" s="225"/>
      <c r="AM373" s="225"/>
      <c r="AN373" s="225">
        <v>0</v>
      </c>
      <c r="AO373" s="225">
        <v>0</v>
      </c>
      <c r="AP373" s="225"/>
      <c r="AQ373" s="225"/>
      <c r="AR373" s="225"/>
      <c r="AS373" s="225"/>
      <c r="AT373" s="248">
        <v>0</v>
      </c>
      <c r="AU373" s="248">
        <v>0</v>
      </c>
      <c r="AV373" s="248">
        <v>0</v>
      </c>
      <c r="AW373" s="227">
        <f t="shared" si="162"/>
        <v>20175</v>
      </c>
      <c r="AX373" s="249">
        <v>0</v>
      </c>
      <c r="AY373" s="225">
        <v>0</v>
      </c>
      <c r="AZ373" s="227"/>
      <c r="BA373" s="250">
        <v>0</v>
      </c>
      <c r="BB373" s="225">
        <v>0</v>
      </c>
      <c r="BC373" s="225">
        <v>0</v>
      </c>
      <c r="BD373" s="225">
        <v>0</v>
      </c>
      <c r="BE373" s="225"/>
      <c r="BF373" s="225"/>
      <c r="BG373" s="225">
        <v>0</v>
      </c>
      <c r="BH373" s="225">
        <v>0</v>
      </c>
      <c r="BI373" s="225">
        <v>0</v>
      </c>
      <c r="BJ373" s="248"/>
      <c r="BK373" s="248"/>
      <c r="BL373" s="248"/>
      <c r="BM373" s="248">
        <f t="shared" si="153"/>
        <v>20175</v>
      </c>
      <c r="BN373" s="249"/>
      <c r="BO373" s="225"/>
      <c r="BP373" s="248"/>
      <c r="BQ373" s="249"/>
      <c r="BR373" s="225"/>
      <c r="BS373" s="225"/>
      <c r="BT373" s="225"/>
      <c r="BU373" s="225"/>
      <c r="BV373" s="225"/>
      <c r="BW373" s="225"/>
      <c r="BX373" s="225"/>
      <c r="BY373" s="225"/>
      <c r="BZ373" s="225"/>
      <c r="CA373" s="225"/>
      <c r="CB373" s="225"/>
      <c r="CC373" s="227">
        <f t="shared" si="152"/>
        <v>20175</v>
      </c>
      <c r="CD373" s="244"/>
      <c r="CE373" s="244"/>
      <c r="CF373" s="244"/>
    </row>
    <row r="374" spans="1:84" x14ac:dyDescent="0.2">
      <c r="A374" s="245" t="s">
        <v>15</v>
      </c>
      <c r="B374" s="246" t="s">
        <v>34</v>
      </c>
      <c r="C374" s="246" t="s">
        <v>296</v>
      </c>
      <c r="D374" s="246" t="s">
        <v>111</v>
      </c>
      <c r="E374" s="247" t="s">
        <v>228</v>
      </c>
      <c r="F374" s="247" t="s">
        <v>716</v>
      </c>
      <c r="G374" s="233" t="str">
        <f t="shared" si="154"/>
        <v>1</v>
      </c>
      <c r="H374" s="233" t="str">
        <f t="shared" si="155"/>
        <v>0</v>
      </c>
      <c r="I374" s="233" t="str">
        <f t="shared" si="156"/>
        <v>0</v>
      </c>
      <c r="J374" s="233" t="str">
        <f t="shared" si="157"/>
        <v>0</v>
      </c>
      <c r="K374" s="233" t="str">
        <f t="shared" si="158"/>
        <v>1000</v>
      </c>
      <c r="L374" s="247" t="str">
        <f t="shared" si="159"/>
        <v>0180N/ATurnaround Network</v>
      </c>
      <c r="M374" s="225">
        <v>40439</v>
      </c>
      <c r="N374" s="225"/>
      <c r="O374" s="225"/>
      <c r="P374" s="225"/>
      <c r="Q374" s="225">
        <f>SUM(M374:P374)</f>
        <v>40439</v>
      </c>
      <c r="R374" s="225"/>
      <c r="S374" s="225">
        <v>0</v>
      </c>
      <c r="T374" s="225"/>
      <c r="U374" s="225"/>
      <c r="V374" s="225"/>
      <c r="W374" s="225"/>
      <c r="X374" s="225"/>
      <c r="Y374" s="225"/>
      <c r="Z374" s="225"/>
      <c r="AA374" s="225">
        <v>-992</v>
      </c>
      <c r="AB374" s="225">
        <v>-3903</v>
      </c>
      <c r="AC374" s="225">
        <v>-4461</v>
      </c>
      <c r="AD374" s="225">
        <v>-2480</v>
      </c>
      <c r="AE374" s="225">
        <v>-705</v>
      </c>
      <c r="AF374" s="225">
        <f t="shared" si="161"/>
        <v>27898</v>
      </c>
      <c r="AG374" s="225">
        <v>30000</v>
      </c>
      <c r="AH374" s="225">
        <v>0</v>
      </c>
      <c r="AI374" s="225"/>
      <c r="AJ374" s="225"/>
      <c r="AK374" s="225"/>
      <c r="AL374" s="225"/>
      <c r="AM374" s="225">
        <v>-704.04</v>
      </c>
      <c r="AN374" s="225">
        <v>0</v>
      </c>
      <c r="AO374" s="225">
        <v>0</v>
      </c>
      <c r="AP374" s="225"/>
      <c r="AQ374" s="225"/>
      <c r="AR374" s="225"/>
      <c r="AS374" s="225"/>
      <c r="AT374" s="248">
        <v>0</v>
      </c>
      <c r="AU374" s="248">
        <v>0</v>
      </c>
      <c r="AV374" s="248">
        <v>0</v>
      </c>
      <c r="AW374" s="227">
        <f t="shared" si="162"/>
        <v>57193.96</v>
      </c>
      <c r="AX374" s="249">
        <v>0</v>
      </c>
      <c r="AY374" s="225">
        <v>0</v>
      </c>
      <c r="AZ374" s="227"/>
      <c r="BA374" s="250">
        <v>0</v>
      </c>
      <c r="BB374" s="225">
        <v>0</v>
      </c>
      <c r="BC374" s="225">
        <v>0</v>
      </c>
      <c r="BD374" s="225">
        <v>0</v>
      </c>
      <c r="BE374" s="225"/>
      <c r="BF374" s="225"/>
      <c r="BG374" s="225">
        <v>0</v>
      </c>
      <c r="BH374" s="225">
        <v>0</v>
      </c>
      <c r="BI374" s="225">
        <v>0</v>
      </c>
      <c r="BJ374" s="248"/>
      <c r="BK374" s="248"/>
      <c r="BL374" s="248"/>
      <c r="BM374" s="248">
        <f t="shared" si="153"/>
        <v>57193.96</v>
      </c>
      <c r="BN374" s="249"/>
      <c r="BO374" s="225"/>
      <c r="BP374" s="248"/>
      <c r="BQ374" s="249"/>
      <c r="BR374" s="225"/>
      <c r="BS374" s="225"/>
      <c r="BT374" s="225"/>
      <c r="BU374" s="225"/>
      <c r="BV374" s="225"/>
      <c r="BW374" s="225"/>
      <c r="BX374" s="225"/>
      <c r="BY374" s="225"/>
      <c r="BZ374" s="225"/>
      <c r="CA374" s="225"/>
      <c r="CB374" s="225"/>
      <c r="CC374" s="227">
        <f t="shared" si="152"/>
        <v>57193.96</v>
      </c>
      <c r="CD374" s="244"/>
      <c r="CE374" s="244"/>
      <c r="CF374" s="244"/>
    </row>
    <row r="375" spans="1:84" x14ac:dyDescent="0.2">
      <c r="A375" s="245" t="s">
        <v>23</v>
      </c>
      <c r="B375" s="247" t="s">
        <v>69</v>
      </c>
      <c r="C375" s="246" t="s">
        <v>507</v>
      </c>
      <c r="D375" s="246" t="s">
        <v>581</v>
      </c>
      <c r="E375" s="247" t="s">
        <v>228</v>
      </c>
      <c r="F375" s="247"/>
      <c r="G375" s="233"/>
      <c r="H375" s="233"/>
      <c r="I375" s="233"/>
      <c r="J375" s="233"/>
      <c r="K375" s="233"/>
      <c r="L375" s="247"/>
      <c r="M375" s="225"/>
      <c r="N375" s="225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25"/>
      <c r="Z375" s="225"/>
      <c r="AA375" s="225"/>
      <c r="AB375" s="225"/>
      <c r="AC375" s="225"/>
      <c r="AD375" s="225"/>
      <c r="AE375" s="225"/>
      <c r="AF375" s="225"/>
      <c r="AG375" s="225"/>
      <c r="AH375" s="225"/>
      <c r="AI375" s="225"/>
      <c r="AJ375" s="225"/>
      <c r="AK375" s="225"/>
      <c r="AL375" s="225"/>
      <c r="AM375" s="225"/>
      <c r="AN375" s="225"/>
      <c r="AO375" s="225"/>
      <c r="AP375" s="225"/>
      <c r="AQ375" s="225"/>
      <c r="AR375" s="225"/>
      <c r="AS375" s="225"/>
      <c r="AT375" s="248"/>
      <c r="AU375" s="248"/>
      <c r="AV375" s="248"/>
      <c r="AW375" s="227"/>
      <c r="AX375" s="249"/>
      <c r="AY375" s="225"/>
      <c r="AZ375" s="227">
        <v>30000</v>
      </c>
      <c r="BA375" s="250"/>
      <c r="BB375" s="225"/>
      <c r="BC375" s="225"/>
      <c r="BD375" s="225"/>
      <c r="BE375" s="225"/>
      <c r="BF375" s="225"/>
      <c r="BG375" s="225"/>
      <c r="BH375" s="225"/>
      <c r="BI375" s="225"/>
      <c r="BJ375" s="248"/>
      <c r="BK375" s="248"/>
      <c r="BL375" s="248"/>
      <c r="BM375" s="248">
        <f t="shared" si="153"/>
        <v>30000</v>
      </c>
      <c r="BN375" s="249"/>
      <c r="BO375" s="225"/>
      <c r="BP375" s="248"/>
      <c r="BQ375" s="249"/>
      <c r="BR375" s="225"/>
      <c r="BS375" s="225"/>
      <c r="BT375" s="225"/>
      <c r="BU375" s="225"/>
      <c r="BV375" s="225"/>
      <c r="BW375" s="225"/>
      <c r="BX375" s="225"/>
      <c r="BY375" s="225"/>
      <c r="BZ375" s="225"/>
      <c r="CA375" s="225"/>
      <c r="CB375" s="225"/>
      <c r="CC375" s="227">
        <f t="shared" si="152"/>
        <v>30000</v>
      </c>
      <c r="CD375" s="244"/>
      <c r="CE375" s="244"/>
      <c r="CF375" s="244"/>
    </row>
    <row r="376" spans="1:84" x14ac:dyDescent="0.2">
      <c r="A376" s="245" t="s">
        <v>276</v>
      </c>
      <c r="B376" s="247" t="s">
        <v>299</v>
      </c>
      <c r="C376" s="246" t="s">
        <v>279</v>
      </c>
      <c r="D376" s="246" t="s">
        <v>300</v>
      </c>
      <c r="E376" s="247" t="s">
        <v>228</v>
      </c>
      <c r="F376" s="247" t="s">
        <v>716</v>
      </c>
      <c r="G376" s="233" t="str">
        <f t="shared" ref="G376:G399" si="163">IF(M376&gt;0, "1", "0")</f>
        <v>0</v>
      </c>
      <c r="H376" s="233" t="str">
        <f t="shared" ref="H376:H399" si="164">IF(S376&gt;0, "1", "0")</f>
        <v>0</v>
      </c>
      <c r="I376" s="233" t="str">
        <f t="shared" ref="I376:I399" si="165">IF(AI376&gt;0, "1", "0")</f>
        <v>0</v>
      </c>
      <c r="J376" s="233" t="str">
        <f t="shared" ref="J376:J399" si="166">IF(AZ376&gt;0, "1", "0")</f>
        <v>0</v>
      </c>
      <c r="K376" s="233" t="str">
        <f t="shared" ref="K376:K399" si="167">CONCATENATE(G376,H376,I376,J376)</f>
        <v>0000</v>
      </c>
      <c r="L376" s="247" t="str">
        <f t="shared" ref="L376:L399" si="168">A376&amp;B376&amp;E376</f>
        <v>09906952Turnaround Network</v>
      </c>
      <c r="M376" s="225"/>
      <c r="N376" s="225"/>
      <c r="O376" s="225"/>
      <c r="P376" s="225"/>
      <c r="Q376" s="225">
        <v>10138</v>
      </c>
      <c r="R376" s="225"/>
      <c r="S376" s="225">
        <v>0</v>
      </c>
      <c r="T376" s="225"/>
      <c r="U376" s="225"/>
      <c r="V376" s="225"/>
      <c r="W376" s="225"/>
      <c r="X376" s="225"/>
      <c r="Y376" s="225"/>
      <c r="Z376" s="225"/>
      <c r="AA376" s="225"/>
      <c r="AB376" s="225"/>
      <c r="AC376" s="225"/>
      <c r="AD376" s="225">
        <v>-8324</v>
      </c>
      <c r="AE376" s="225"/>
      <c r="AF376" s="225">
        <f t="shared" ref="AF376:AF399" si="169">SUM(Q376:AE376)</f>
        <v>1814</v>
      </c>
      <c r="AG376" s="225"/>
      <c r="AH376" s="225">
        <v>0</v>
      </c>
      <c r="AI376" s="225"/>
      <c r="AJ376" s="225"/>
      <c r="AK376" s="225"/>
      <c r="AL376" s="225"/>
      <c r="AM376" s="225"/>
      <c r="AN376" s="225">
        <v>0</v>
      </c>
      <c r="AO376" s="225">
        <v>0</v>
      </c>
      <c r="AP376" s="225"/>
      <c r="AQ376" s="225"/>
      <c r="AR376" s="225"/>
      <c r="AS376" s="225"/>
      <c r="AT376" s="248">
        <v>0</v>
      </c>
      <c r="AU376" s="248">
        <v>0</v>
      </c>
      <c r="AV376" s="248">
        <v>0</v>
      </c>
      <c r="AW376" s="227">
        <f t="shared" ref="AW376:AW399" si="170">SUM(AF376:AV376)</f>
        <v>1814</v>
      </c>
      <c r="AX376" s="249">
        <v>0</v>
      </c>
      <c r="AY376" s="225">
        <v>0</v>
      </c>
      <c r="AZ376" s="227"/>
      <c r="BA376" s="250">
        <v>0</v>
      </c>
      <c r="BB376" s="225">
        <v>0</v>
      </c>
      <c r="BC376" s="225">
        <v>0</v>
      </c>
      <c r="BD376" s="225">
        <v>0</v>
      </c>
      <c r="BE376" s="225"/>
      <c r="BF376" s="225"/>
      <c r="BG376" s="225">
        <v>0</v>
      </c>
      <c r="BH376" s="225">
        <v>0</v>
      </c>
      <c r="BI376" s="225">
        <v>0</v>
      </c>
      <c r="BJ376" s="248"/>
      <c r="BK376" s="248"/>
      <c r="BL376" s="248"/>
      <c r="BM376" s="248">
        <f t="shared" si="153"/>
        <v>1814</v>
      </c>
      <c r="BN376" s="249"/>
      <c r="BO376" s="225"/>
      <c r="BP376" s="248"/>
      <c r="BQ376" s="249"/>
      <c r="BR376" s="225"/>
      <c r="BS376" s="225"/>
      <c r="BT376" s="225"/>
      <c r="BU376" s="225"/>
      <c r="BV376" s="225"/>
      <c r="BW376" s="225"/>
      <c r="BX376" s="225"/>
      <c r="BY376" s="225"/>
      <c r="BZ376" s="225"/>
      <c r="CA376" s="225"/>
      <c r="CB376" s="225"/>
      <c r="CC376" s="227">
        <f t="shared" si="152"/>
        <v>1814</v>
      </c>
      <c r="CD376" s="244"/>
      <c r="CE376" s="244"/>
      <c r="CF376" s="244"/>
    </row>
    <row r="377" spans="1:84" x14ac:dyDescent="0.2">
      <c r="A377" s="245" t="s">
        <v>276</v>
      </c>
      <c r="B377" s="247" t="s">
        <v>299</v>
      </c>
      <c r="C377" s="246" t="s">
        <v>279</v>
      </c>
      <c r="D377" s="246" t="s">
        <v>281</v>
      </c>
      <c r="E377" s="247" t="s">
        <v>228</v>
      </c>
      <c r="F377" s="247" t="s">
        <v>716</v>
      </c>
      <c r="G377" s="233" t="str">
        <f t="shared" si="163"/>
        <v>1</v>
      </c>
      <c r="H377" s="233" t="str">
        <f t="shared" si="164"/>
        <v>0</v>
      </c>
      <c r="I377" s="233" t="str">
        <f t="shared" si="165"/>
        <v>0</v>
      </c>
      <c r="J377" s="233" t="str">
        <f t="shared" si="166"/>
        <v>0</v>
      </c>
      <c r="K377" s="233" t="str">
        <f t="shared" si="167"/>
        <v>1000</v>
      </c>
      <c r="L377" s="247" t="str">
        <f t="shared" si="168"/>
        <v>09906952Turnaround Network</v>
      </c>
      <c r="M377" s="225">
        <v>50406</v>
      </c>
      <c r="N377" s="225"/>
      <c r="O377" s="225"/>
      <c r="P377" s="225"/>
      <c r="Q377" s="225">
        <f>SUM(M377:P377)</f>
        <v>50406</v>
      </c>
      <c r="R377" s="225"/>
      <c r="S377" s="225">
        <v>0</v>
      </c>
      <c r="T377" s="225"/>
      <c r="U377" s="225"/>
      <c r="V377" s="225"/>
      <c r="W377" s="225"/>
      <c r="X377" s="225">
        <v>-4629</v>
      </c>
      <c r="Y377" s="225"/>
      <c r="Z377" s="225"/>
      <c r="AA377" s="225"/>
      <c r="AB377" s="225">
        <v>-5046</v>
      </c>
      <c r="AC377" s="225"/>
      <c r="AD377" s="225"/>
      <c r="AE377" s="225"/>
      <c r="AF377" s="225">
        <f t="shared" si="169"/>
        <v>40731</v>
      </c>
      <c r="AG377" s="225"/>
      <c r="AH377" s="225">
        <v>0</v>
      </c>
      <c r="AI377" s="225"/>
      <c r="AJ377" s="225"/>
      <c r="AK377" s="225"/>
      <c r="AL377" s="225"/>
      <c r="AM377" s="225">
        <v>-32407</v>
      </c>
      <c r="AN377" s="225">
        <v>0</v>
      </c>
      <c r="AO377" s="225">
        <v>0</v>
      </c>
      <c r="AP377" s="225"/>
      <c r="AQ377" s="225"/>
      <c r="AR377" s="225"/>
      <c r="AS377" s="225"/>
      <c r="AT377" s="248">
        <v>0</v>
      </c>
      <c r="AU377" s="248">
        <v>0</v>
      </c>
      <c r="AV377" s="248">
        <v>0</v>
      </c>
      <c r="AW377" s="227">
        <f t="shared" si="170"/>
        <v>8324</v>
      </c>
      <c r="AX377" s="249">
        <v>0</v>
      </c>
      <c r="AY377" s="225">
        <v>0</v>
      </c>
      <c r="AZ377" s="227"/>
      <c r="BA377" s="250">
        <v>0</v>
      </c>
      <c r="BB377" s="225">
        <v>0</v>
      </c>
      <c r="BC377" s="225">
        <v>0</v>
      </c>
      <c r="BD377" s="225">
        <v>0</v>
      </c>
      <c r="BE377" s="225"/>
      <c r="BF377" s="225"/>
      <c r="BG377" s="225">
        <v>0</v>
      </c>
      <c r="BH377" s="225">
        <v>0</v>
      </c>
      <c r="BI377" s="225">
        <v>0</v>
      </c>
      <c r="BJ377" s="248"/>
      <c r="BK377" s="248"/>
      <c r="BL377" s="248"/>
      <c r="BM377" s="248">
        <f t="shared" si="153"/>
        <v>8324</v>
      </c>
      <c r="BN377" s="249"/>
      <c r="BO377" s="225"/>
      <c r="BP377" s="248"/>
      <c r="BQ377" s="249"/>
      <c r="BR377" s="225"/>
      <c r="BS377" s="225"/>
      <c r="BT377" s="225"/>
      <c r="BU377" s="225"/>
      <c r="BV377" s="225"/>
      <c r="BW377" s="225"/>
      <c r="BX377" s="225"/>
      <c r="BY377" s="225"/>
      <c r="BZ377" s="225"/>
      <c r="CA377" s="225"/>
      <c r="CB377" s="225"/>
      <c r="CC377" s="227">
        <f t="shared" si="152"/>
        <v>8324</v>
      </c>
      <c r="CD377" s="244"/>
      <c r="CE377" s="244"/>
      <c r="CF377" s="244"/>
    </row>
    <row r="378" spans="1:84" x14ac:dyDescent="0.2">
      <c r="A378" s="245" t="s">
        <v>276</v>
      </c>
      <c r="B378" s="247" t="s">
        <v>34</v>
      </c>
      <c r="C378" s="246" t="s">
        <v>279</v>
      </c>
      <c r="D378" s="246" t="s">
        <v>111</v>
      </c>
      <c r="E378" s="247" t="s">
        <v>228</v>
      </c>
      <c r="F378" s="247" t="s">
        <v>716</v>
      </c>
      <c r="G378" s="233" t="str">
        <f t="shared" si="163"/>
        <v>0</v>
      </c>
      <c r="H378" s="233" t="str">
        <f t="shared" si="164"/>
        <v>0</v>
      </c>
      <c r="I378" s="233" t="str">
        <f t="shared" si="165"/>
        <v>0</v>
      </c>
      <c r="J378" s="233" t="str">
        <f t="shared" si="166"/>
        <v>0</v>
      </c>
      <c r="K378" s="233" t="str">
        <f t="shared" si="167"/>
        <v>0000</v>
      </c>
      <c r="L378" s="247" t="str">
        <f t="shared" si="168"/>
        <v>0990N/ATurnaround Network</v>
      </c>
      <c r="M378" s="225"/>
      <c r="N378" s="225"/>
      <c r="O378" s="225"/>
      <c r="P378" s="225"/>
      <c r="Q378" s="225">
        <v>1597</v>
      </c>
      <c r="R378" s="225"/>
      <c r="S378" s="225">
        <v>0</v>
      </c>
      <c r="T378" s="225"/>
      <c r="U378" s="225"/>
      <c r="V378" s="225"/>
      <c r="W378" s="225"/>
      <c r="X378" s="225"/>
      <c r="Y378" s="225"/>
      <c r="Z378" s="225"/>
      <c r="AA378" s="225"/>
      <c r="AB378" s="225"/>
      <c r="AC378" s="225"/>
      <c r="AD378" s="225"/>
      <c r="AE378" s="225"/>
      <c r="AF378" s="225">
        <f t="shared" si="169"/>
        <v>1597</v>
      </c>
      <c r="AG378" s="225"/>
      <c r="AH378" s="225">
        <v>0</v>
      </c>
      <c r="AI378" s="225"/>
      <c r="AJ378" s="225"/>
      <c r="AK378" s="225"/>
      <c r="AL378" s="225"/>
      <c r="AM378" s="225"/>
      <c r="AN378" s="225">
        <v>0</v>
      </c>
      <c r="AO378" s="225">
        <v>0</v>
      </c>
      <c r="AP378" s="225"/>
      <c r="AQ378" s="225"/>
      <c r="AR378" s="225"/>
      <c r="AS378" s="225"/>
      <c r="AT378" s="248">
        <v>0</v>
      </c>
      <c r="AU378" s="248">
        <v>0</v>
      </c>
      <c r="AV378" s="248">
        <v>0</v>
      </c>
      <c r="AW378" s="227">
        <f t="shared" si="170"/>
        <v>1597</v>
      </c>
      <c r="AX378" s="249">
        <v>0</v>
      </c>
      <c r="AY378" s="225">
        <v>0</v>
      </c>
      <c r="AZ378" s="227"/>
      <c r="BA378" s="250">
        <v>0</v>
      </c>
      <c r="BB378" s="225">
        <v>0</v>
      </c>
      <c r="BC378" s="225">
        <v>0</v>
      </c>
      <c r="BD378" s="225">
        <v>0</v>
      </c>
      <c r="BE378" s="225"/>
      <c r="BF378" s="225"/>
      <c r="BG378" s="225">
        <v>0</v>
      </c>
      <c r="BH378" s="225">
        <v>0</v>
      </c>
      <c r="BI378" s="225">
        <v>0</v>
      </c>
      <c r="BJ378" s="248"/>
      <c r="BK378" s="248"/>
      <c r="BL378" s="248"/>
      <c r="BM378" s="248">
        <f t="shared" si="153"/>
        <v>1597</v>
      </c>
      <c r="BN378" s="249"/>
      <c r="BO378" s="225"/>
      <c r="BP378" s="248"/>
      <c r="BQ378" s="249"/>
      <c r="BR378" s="225"/>
      <c r="BS378" s="225"/>
      <c r="BT378" s="225"/>
      <c r="BU378" s="225"/>
      <c r="BV378" s="225"/>
      <c r="BW378" s="225"/>
      <c r="BX378" s="225"/>
      <c r="BY378" s="225"/>
      <c r="BZ378" s="225"/>
      <c r="CA378" s="225"/>
      <c r="CB378" s="225"/>
      <c r="CC378" s="227">
        <f t="shared" si="152"/>
        <v>1597</v>
      </c>
      <c r="CD378" s="244"/>
      <c r="CE378" s="244"/>
      <c r="CF378" s="244"/>
    </row>
    <row r="379" spans="1:84" x14ac:dyDescent="0.2">
      <c r="A379" s="245" t="s">
        <v>276</v>
      </c>
      <c r="B379" s="247" t="s">
        <v>34</v>
      </c>
      <c r="C379" s="246" t="s">
        <v>279</v>
      </c>
      <c r="D379" s="246" t="s">
        <v>111</v>
      </c>
      <c r="E379" s="247" t="s">
        <v>228</v>
      </c>
      <c r="F379" s="247" t="s">
        <v>716</v>
      </c>
      <c r="G379" s="233" t="str">
        <f t="shared" si="163"/>
        <v>1</v>
      </c>
      <c r="H379" s="233" t="str">
        <f t="shared" si="164"/>
        <v>0</v>
      </c>
      <c r="I379" s="233" t="str">
        <f t="shared" si="165"/>
        <v>0</v>
      </c>
      <c r="J379" s="233" t="str">
        <f t="shared" si="166"/>
        <v>0</v>
      </c>
      <c r="K379" s="233" t="str">
        <f t="shared" si="167"/>
        <v>1000</v>
      </c>
      <c r="L379" s="247" t="str">
        <f t="shared" si="168"/>
        <v>0990N/ATurnaround Network</v>
      </c>
      <c r="M379" s="225">
        <v>10000</v>
      </c>
      <c r="N379" s="225"/>
      <c r="O379" s="225"/>
      <c r="P379" s="225"/>
      <c r="Q379" s="225">
        <f>SUM(M379:P379)</f>
        <v>10000</v>
      </c>
      <c r="R379" s="225"/>
      <c r="S379" s="225">
        <v>0</v>
      </c>
      <c r="T379" s="225"/>
      <c r="U379" s="225"/>
      <c r="V379" s="225"/>
      <c r="W379" s="225"/>
      <c r="X379" s="225"/>
      <c r="Y379" s="225"/>
      <c r="Z379" s="225"/>
      <c r="AA379" s="225"/>
      <c r="AB379" s="225"/>
      <c r="AC379" s="225"/>
      <c r="AD379" s="225"/>
      <c r="AE379" s="225"/>
      <c r="AF379" s="225">
        <f t="shared" si="169"/>
        <v>10000</v>
      </c>
      <c r="AG379" s="225"/>
      <c r="AH379" s="225">
        <v>0</v>
      </c>
      <c r="AI379" s="225"/>
      <c r="AJ379" s="225"/>
      <c r="AK379" s="225"/>
      <c r="AL379" s="225"/>
      <c r="AM379" s="225"/>
      <c r="AN379" s="225">
        <v>0</v>
      </c>
      <c r="AO379" s="225">
        <v>0</v>
      </c>
      <c r="AP379" s="225"/>
      <c r="AQ379" s="225"/>
      <c r="AR379" s="225"/>
      <c r="AS379" s="225"/>
      <c r="AT379" s="248">
        <v>0</v>
      </c>
      <c r="AU379" s="248">
        <v>0</v>
      </c>
      <c r="AV379" s="248">
        <v>0</v>
      </c>
      <c r="AW379" s="227">
        <f t="shared" si="170"/>
        <v>10000</v>
      </c>
      <c r="AX379" s="249">
        <v>0</v>
      </c>
      <c r="AY379" s="225">
        <v>0</v>
      </c>
      <c r="AZ379" s="227"/>
      <c r="BA379" s="250">
        <v>0</v>
      </c>
      <c r="BB379" s="225">
        <v>0</v>
      </c>
      <c r="BC379" s="225">
        <v>0</v>
      </c>
      <c r="BD379" s="225">
        <v>0</v>
      </c>
      <c r="BE379" s="225"/>
      <c r="BF379" s="225"/>
      <c r="BG379" s="225">
        <v>0</v>
      </c>
      <c r="BH379" s="225">
        <v>0</v>
      </c>
      <c r="BI379" s="225">
        <v>0</v>
      </c>
      <c r="BJ379" s="248"/>
      <c r="BK379" s="248"/>
      <c r="BL379" s="248"/>
      <c r="BM379" s="248">
        <f t="shared" si="153"/>
        <v>10000</v>
      </c>
      <c r="BN379" s="249"/>
      <c r="BO379" s="225"/>
      <c r="BP379" s="248"/>
      <c r="BQ379" s="249"/>
      <c r="BR379" s="225"/>
      <c r="BS379" s="225"/>
      <c r="BT379" s="225"/>
      <c r="BU379" s="225"/>
      <c r="BV379" s="225"/>
      <c r="BW379" s="225"/>
      <c r="BX379" s="225"/>
      <c r="BY379" s="225"/>
      <c r="BZ379" s="225"/>
      <c r="CA379" s="225"/>
      <c r="CB379" s="225"/>
      <c r="CC379" s="227">
        <f t="shared" si="152"/>
        <v>10000</v>
      </c>
      <c r="CD379" s="244"/>
      <c r="CE379" s="244"/>
      <c r="CF379" s="244"/>
    </row>
    <row r="380" spans="1:84" x14ac:dyDescent="0.2">
      <c r="A380" s="245" t="s">
        <v>230</v>
      </c>
      <c r="B380" s="247" t="s">
        <v>293</v>
      </c>
      <c r="C380" s="246" t="s">
        <v>232</v>
      </c>
      <c r="D380" s="246" t="s">
        <v>294</v>
      </c>
      <c r="E380" s="247" t="s">
        <v>228</v>
      </c>
      <c r="F380" s="247" t="s">
        <v>716</v>
      </c>
      <c r="G380" s="233" t="str">
        <f t="shared" si="163"/>
        <v>0</v>
      </c>
      <c r="H380" s="233" t="str">
        <f t="shared" si="164"/>
        <v>0</v>
      </c>
      <c r="I380" s="233" t="str">
        <f t="shared" si="165"/>
        <v>0</v>
      </c>
      <c r="J380" s="233" t="str">
        <f t="shared" si="166"/>
        <v>0</v>
      </c>
      <c r="K380" s="233" t="str">
        <f t="shared" si="167"/>
        <v>0000</v>
      </c>
      <c r="L380" s="247" t="str">
        <f t="shared" si="168"/>
        <v>10103920Turnaround Network</v>
      </c>
      <c r="M380" s="225"/>
      <c r="N380" s="225"/>
      <c r="O380" s="225"/>
      <c r="P380" s="225"/>
      <c r="Q380" s="225">
        <v>455</v>
      </c>
      <c r="R380" s="225"/>
      <c r="S380" s="225">
        <v>0</v>
      </c>
      <c r="T380" s="225"/>
      <c r="U380" s="225"/>
      <c r="V380" s="225"/>
      <c r="W380" s="225"/>
      <c r="X380" s="225"/>
      <c r="Y380" s="225"/>
      <c r="Z380" s="225"/>
      <c r="AA380" s="225"/>
      <c r="AB380" s="225"/>
      <c r="AC380" s="225"/>
      <c r="AD380" s="225"/>
      <c r="AE380" s="225"/>
      <c r="AF380" s="225">
        <f t="shared" si="169"/>
        <v>455</v>
      </c>
      <c r="AG380" s="225"/>
      <c r="AH380" s="225">
        <v>0</v>
      </c>
      <c r="AI380" s="225"/>
      <c r="AJ380" s="225"/>
      <c r="AK380" s="225"/>
      <c r="AL380" s="225"/>
      <c r="AM380" s="225"/>
      <c r="AN380" s="225">
        <v>0</v>
      </c>
      <c r="AO380" s="225">
        <v>0</v>
      </c>
      <c r="AP380" s="225"/>
      <c r="AQ380" s="225"/>
      <c r="AR380" s="225"/>
      <c r="AS380" s="225"/>
      <c r="AT380" s="248">
        <v>0</v>
      </c>
      <c r="AU380" s="248">
        <v>0</v>
      </c>
      <c r="AV380" s="248">
        <v>0</v>
      </c>
      <c r="AW380" s="227">
        <f t="shared" si="170"/>
        <v>455</v>
      </c>
      <c r="AX380" s="249">
        <v>0</v>
      </c>
      <c r="AY380" s="225">
        <v>0</v>
      </c>
      <c r="AZ380" s="227"/>
      <c r="BA380" s="250">
        <v>0</v>
      </c>
      <c r="BB380" s="225">
        <v>0</v>
      </c>
      <c r="BC380" s="225">
        <v>0</v>
      </c>
      <c r="BD380" s="225">
        <v>0</v>
      </c>
      <c r="BE380" s="225"/>
      <c r="BF380" s="225"/>
      <c r="BG380" s="225">
        <v>0</v>
      </c>
      <c r="BH380" s="225">
        <v>0</v>
      </c>
      <c r="BI380" s="225">
        <v>0</v>
      </c>
      <c r="BJ380" s="248"/>
      <c r="BK380" s="248"/>
      <c r="BL380" s="248">
        <v>0</v>
      </c>
      <c r="BM380" s="248">
        <f t="shared" si="153"/>
        <v>455</v>
      </c>
      <c r="BN380" s="249"/>
      <c r="BO380" s="225"/>
      <c r="BP380" s="248"/>
      <c r="BQ380" s="249"/>
      <c r="BR380" s="225"/>
      <c r="BS380" s="225"/>
      <c r="BT380" s="225"/>
      <c r="BU380" s="225"/>
      <c r="BV380" s="225"/>
      <c r="BW380" s="225"/>
      <c r="BX380" s="225"/>
      <c r="BY380" s="225"/>
      <c r="BZ380" s="225"/>
      <c r="CA380" s="225"/>
      <c r="CB380" s="225"/>
      <c r="CC380" s="227">
        <f t="shared" si="152"/>
        <v>455</v>
      </c>
      <c r="CD380" s="244"/>
      <c r="CE380" s="244"/>
      <c r="CF380" s="244"/>
    </row>
    <row r="381" spans="1:84" x14ac:dyDescent="0.2">
      <c r="A381" s="245" t="s">
        <v>230</v>
      </c>
      <c r="B381" s="247" t="s">
        <v>293</v>
      </c>
      <c r="C381" s="246" t="s">
        <v>232</v>
      </c>
      <c r="D381" s="246" t="s">
        <v>294</v>
      </c>
      <c r="E381" s="247" t="s">
        <v>228</v>
      </c>
      <c r="F381" s="247" t="s">
        <v>716</v>
      </c>
      <c r="G381" s="233" t="str">
        <f t="shared" si="163"/>
        <v>1</v>
      </c>
      <c r="H381" s="233" t="str">
        <f t="shared" si="164"/>
        <v>0</v>
      </c>
      <c r="I381" s="233" t="str">
        <f t="shared" si="165"/>
        <v>0</v>
      </c>
      <c r="J381" s="233" t="str">
        <f t="shared" si="166"/>
        <v>0</v>
      </c>
      <c r="K381" s="233" t="str">
        <f t="shared" si="167"/>
        <v>1000</v>
      </c>
      <c r="L381" s="247" t="str">
        <f t="shared" si="168"/>
        <v>10103920Turnaround Network</v>
      </c>
      <c r="M381" s="225">
        <v>50000</v>
      </c>
      <c r="N381" s="225"/>
      <c r="O381" s="225"/>
      <c r="P381" s="225"/>
      <c r="Q381" s="225">
        <f>SUM(M381:P381)</f>
        <v>50000</v>
      </c>
      <c r="R381" s="225"/>
      <c r="S381" s="225">
        <v>0</v>
      </c>
      <c r="T381" s="225"/>
      <c r="U381" s="225">
        <v>-5675</v>
      </c>
      <c r="V381" s="225"/>
      <c r="W381" s="225">
        <v>-199</v>
      </c>
      <c r="X381" s="225"/>
      <c r="Y381" s="225"/>
      <c r="Z381" s="225"/>
      <c r="AA381" s="225">
        <v>-10976</v>
      </c>
      <c r="AB381" s="225">
        <v>-30593</v>
      </c>
      <c r="AC381" s="225">
        <v>-1411</v>
      </c>
      <c r="AD381" s="225"/>
      <c r="AE381" s="225"/>
      <c r="AF381" s="225">
        <f t="shared" si="169"/>
        <v>1146</v>
      </c>
      <c r="AG381" s="225"/>
      <c r="AH381" s="225">
        <v>0</v>
      </c>
      <c r="AI381" s="225"/>
      <c r="AJ381" s="225"/>
      <c r="AK381" s="225"/>
      <c r="AL381" s="225">
        <v>-727</v>
      </c>
      <c r="AM381" s="225"/>
      <c r="AN381" s="225">
        <v>0</v>
      </c>
      <c r="AO381" s="225">
        <v>0</v>
      </c>
      <c r="AP381" s="225"/>
      <c r="AQ381" s="225"/>
      <c r="AR381" s="225"/>
      <c r="AS381" s="225"/>
      <c r="AT381" s="248">
        <v>0</v>
      </c>
      <c r="AU381" s="248">
        <v>0</v>
      </c>
      <c r="AV381" s="248">
        <v>0</v>
      </c>
      <c r="AW381" s="227">
        <f t="shared" si="170"/>
        <v>419</v>
      </c>
      <c r="AX381" s="249">
        <v>0</v>
      </c>
      <c r="AY381" s="225">
        <v>0</v>
      </c>
      <c r="AZ381" s="227"/>
      <c r="BA381" s="250">
        <v>0</v>
      </c>
      <c r="BB381" s="225">
        <v>0</v>
      </c>
      <c r="BC381" s="225">
        <v>0</v>
      </c>
      <c r="BD381" s="225">
        <v>0</v>
      </c>
      <c r="BE381" s="225"/>
      <c r="BF381" s="225"/>
      <c r="BG381" s="225">
        <v>0</v>
      </c>
      <c r="BH381" s="225">
        <v>0</v>
      </c>
      <c r="BI381" s="225">
        <v>0</v>
      </c>
      <c r="BJ381" s="248"/>
      <c r="BK381" s="248"/>
      <c r="BL381" s="248"/>
      <c r="BM381" s="248">
        <f t="shared" si="153"/>
        <v>419</v>
      </c>
      <c r="BN381" s="249"/>
      <c r="BO381" s="225"/>
      <c r="BP381" s="248"/>
      <c r="BQ381" s="249"/>
      <c r="BR381" s="225"/>
      <c r="BS381" s="225"/>
      <c r="BT381" s="225"/>
      <c r="BU381" s="225"/>
      <c r="BV381" s="225"/>
      <c r="BW381" s="225"/>
      <c r="BX381" s="225"/>
      <c r="BY381" s="225"/>
      <c r="BZ381" s="225"/>
      <c r="CA381" s="225"/>
      <c r="CB381" s="225"/>
      <c r="CC381" s="227">
        <f t="shared" si="152"/>
        <v>419</v>
      </c>
      <c r="CD381" s="244"/>
      <c r="CE381" s="244"/>
      <c r="CF381" s="244"/>
    </row>
    <row r="382" spans="1:84" x14ac:dyDescent="0.2">
      <c r="A382" s="245" t="s">
        <v>230</v>
      </c>
      <c r="B382" s="247" t="s">
        <v>237</v>
      </c>
      <c r="C382" s="246" t="s">
        <v>232</v>
      </c>
      <c r="D382" s="246" t="s">
        <v>255</v>
      </c>
      <c r="E382" s="247" t="s">
        <v>228</v>
      </c>
      <c r="F382" s="247" t="s">
        <v>716</v>
      </c>
      <c r="G382" s="233" t="str">
        <f t="shared" si="163"/>
        <v>0</v>
      </c>
      <c r="H382" s="233" t="str">
        <f t="shared" si="164"/>
        <v>0</v>
      </c>
      <c r="I382" s="233" t="str">
        <f t="shared" si="165"/>
        <v>0</v>
      </c>
      <c r="J382" s="233" t="str">
        <f t="shared" si="166"/>
        <v>0</v>
      </c>
      <c r="K382" s="233" t="str">
        <f t="shared" si="167"/>
        <v>0000</v>
      </c>
      <c r="L382" s="247" t="str">
        <f t="shared" si="168"/>
        <v>10105988Turnaround Network</v>
      </c>
      <c r="M382" s="225"/>
      <c r="N382" s="225"/>
      <c r="O382" s="225"/>
      <c r="P382" s="225"/>
      <c r="Q382" s="225">
        <v>1777</v>
      </c>
      <c r="R382" s="225"/>
      <c r="S382" s="225">
        <v>0</v>
      </c>
      <c r="T382" s="225"/>
      <c r="U382" s="225"/>
      <c r="V382" s="225"/>
      <c r="W382" s="225"/>
      <c r="X382" s="225"/>
      <c r="Y382" s="225"/>
      <c r="Z382" s="225"/>
      <c r="AA382" s="225"/>
      <c r="AB382" s="225"/>
      <c r="AC382" s="225"/>
      <c r="AD382" s="225"/>
      <c r="AE382" s="225"/>
      <c r="AF382" s="225">
        <f t="shared" si="169"/>
        <v>1777</v>
      </c>
      <c r="AG382" s="225"/>
      <c r="AH382" s="225">
        <v>0</v>
      </c>
      <c r="AI382" s="225"/>
      <c r="AJ382" s="225"/>
      <c r="AK382" s="225"/>
      <c r="AL382" s="225"/>
      <c r="AM382" s="225"/>
      <c r="AN382" s="225">
        <v>0</v>
      </c>
      <c r="AO382" s="225">
        <v>0</v>
      </c>
      <c r="AP382" s="225"/>
      <c r="AQ382" s="225">
        <v>-1777</v>
      </c>
      <c r="AR382" s="225"/>
      <c r="AS382" s="225"/>
      <c r="AT382" s="248">
        <v>0</v>
      </c>
      <c r="AU382" s="248">
        <v>0</v>
      </c>
      <c r="AV382" s="248">
        <v>0</v>
      </c>
      <c r="AW382" s="227">
        <f t="shared" si="170"/>
        <v>0</v>
      </c>
      <c r="AX382" s="249">
        <v>0</v>
      </c>
      <c r="AY382" s="225">
        <v>0</v>
      </c>
      <c r="AZ382" s="227"/>
      <c r="BA382" s="250">
        <v>0</v>
      </c>
      <c r="BB382" s="225">
        <v>0</v>
      </c>
      <c r="BC382" s="225">
        <v>0</v>
      </c>
      <c r="BD382" s="225">
        <v>0</v>
      </c>
      <c r="BE382" s="225"/>
      <c r="BF382" s="225"/>
      <c r="BG382" s="225">
        <v>0</v>
      </c>
      <c r="BH382" s="225">
        <v>0</v>
      </c>
      <c r="BI382" s="225">
        <v>0</v>
      </c>
      <c r="BJ382" s="248"/>
      <c r="BK382" s="248"/>
      <c r="BL382" s="248"/>
      <c r="BM382" s="248">
        <f t="shared" ref="BM382:BM400" si="171">SUM(AW382:BL382)</f>
        <v>0</v>
      </c>
      <c r="BN382" s="249"/>
      <c r="BO382" s="225"/>
      <c r="BP382" s="248"/>
      <c r="BQ382" s="249"/>
      <c r="BR382" s="225"/>
      <c r="BS382" s="225"/>
      <c r="BT382" s="225"/>
      <c r="BU382" s="225"/>
      <c r="BV382" s="225"/>
      <c r="BW382" s="225"/>
      <c r="BX382" s="225"/>
      <c r="BY382" s="225"/>
      <c r="BZ382" s="225"/>
      <c r="CA382" s="225"/>
      <c r="CB382" s="225"/>
      <c r="CC382" s="227">
        <f t="shared" si="152"/>
        <v>0</v>
      </c>
      <c r="CD382" s="244"/>
      <c r="CE382" s="244"/>
      <c r="CF382" s="244"/>
    </row>
    <row r="383" spans="1:84" x14ac:dyDescent="0.2">
      <c r="A383" s="245" t="s">
        <v>230</v>
      </c>
      <c r="B383" s="247" t="s">
        <v>237</v>
      </c>
      <c r="C383" s="246" t="s">
        <v>232</v>
      </c>
      <c r="D383" s="246" t="s">
        <v>255</v>
      </c>
      <c r="E383" s="247" t="s">
        <v>228</v>
      </c>
      <c r="F383" s="247" t="s">
        <v>716</v>
      </c>
      <c r="G383" s="233" t="str">
        <f t="shared" si="163"/>
        <v>1</v>
      </c>
      <c r="H383" s="233" t="str">
        <f t="shared" si="164"/>
        <v>0</v>
      </c>
      <c r="I383" s="233" t="str">
        <f t="shared" si="165"/>
        <v>0</v>
      </c>
      <c r="J383" s="233" t="str">
        <f t="shared" si="166"/>
        <v>0</v>
      </c>
      <c r="K383" s="233" t="str">
        <f t="shared" si="167"/>
        <v>1000</v>
      </c>
      <c r="L383" s="247" t="str">
        <f t="shared" si="168"/>
        <v>10105988Turnaround Network</v>
      </c>
      <c r="M383" s="225">
        <v>100000</v>
      </c>
      <c r="N383" s="225"/>
      <c r="O383" s="225"/>
      <c r="P383" s="225"/>
      <c r="Q383" s="225">
        <f>SUM(M383:P383)</f>
        <v>100000</v>
      </c>
      <c r="R383" s="225"/>
      <c r="S383" s="225">
        <v>0</v>
      </c>
      <c r="T383" s="225"/>
      <c r="U383" s="225"/>
      <c r="V383" s="225"/>
      <c r="W383" s="225">
        <v>-638</v>
      </c>
      <c r="X383" s="225">
        <v>-2800</v>
      </c>
      <c r="Y383" s="225">
        <v>-1010</v>
      </c>
      <c r="Z383" s="225">
        <v>-1107</v>
      </c>
      <c r="AA383" s="225">
        <v>-12023</v>
      </c>
      <c r="AB383" s="225">
        <v>-5053</v>
      </c>
      <c r="AC383" s="225">
        <v>-15177</v>
      </c>
      <c r="AD383" s="225"/>
      <c r="AE383" s="225">
        <v>-38869</v>
      </c>
      <c r="AF383" s="225">
        <f t="shared" si="169"/>
        <v>23323</v>
      </c>
      <c r="AG383" s="225"/>
      <c r="AH383" s="225">
        <v>32016</v>
      </c>
      <c r="AI383" s="225"/>
      <c r="AJ383" s="225"/>
      <c r="AK383" s="225"/>
      <c r="AL383" s="225">
        <v>-22506</v>
      </c>
      <c r="AM383" s="225"/>
      <c r="AN383" s="225">
        <v>0</v>
      </c>
      <c r="AO383" s="225">
        <v>0</v>
      </c>
      <c r="AP383" s="225"/>
      <c r="AQ383" s="225">
        <v>-12714.5</v>
      </c>
      <c r="AR383" s="225"/>
      <c r="AS383" s="225">
        <v>-7245.75</v>
      </c>
      <c r="AT383" s="248">
        <v>0</v>
      </c>
      <c r="AU383" s="248">
        <v>-8706.49</v>
      </c>
      <c r="AV383" s="248">
        <v>0</v>
      </c>
      <c r="AW383" s="227">
        <f t="shared" si="170"/>
        <v>4166.26</v>
      </c>
      <c r="AX383" s="249">
        <v>0</v>
      </c>
      <c r="AY383" s="225">
        <v>0</v>
      </c>
      <c r="AZ383" s="227"/>
      <c r="BA383" s="250">
        <v>0</v>
      </c>
      <c r="BB383" s="225">
        <v>-486.92</v>
      </c>
      <c r="BC383" s="225">
        <v>0</v>
      </c>
      <c r="BD383" s="225">
        <v>0</v>
      </c>
      <c r="BE383" s="225"/>
      <c r="BF383" s="225"/>
      <c r="BG383" s="225">
        <v>0</v>
      </c>
      <c r="BH383" s="225">
        <v>0</v>
      </c>
      <c r="BI383" s="225">
        <v>0</v>
      </c>
      <c r="BJ383" s="248">
        <v>-222.39</v>
      </c>
      <c r="BK383" s="248">
        <v>-96.16</v>
      </c>
      <c r="BL383" s="248"/>
      <c r="BM383" s="248">
        <f t="shared" si="171"/>
        <v>3360.7900000000004</v>
      </c>
      <c r="BN383" s="249"/>
      <c r="BO383" s="225"/>
      <c r="BP383" s="248"/>
      <c r="BQ383" s="249"/>
      <c r="BR383" s="225">
        <v>-5.77</v>
      </c>
      <c r="BS383" s="225"/>
      <c r="BT383" s="225"/>
      <c r="BU383" s="225"/>
      <c r="BV383" s="225"/>
      <c r="BW383" s="225"/>
      <c r="BX383" s="225"/>
      <c r="BY383" s="225"/>
      <c r="BZ383" s="225"/>
      <c r="CA383" s="225"/>
      <c r="CB383" s="225"/>
      <c r="CC383" s="227">
        <f t="shared" si="152"/>
        <v>3355.0200000000004</v>
      </c>
      <c r="CD383" s="244"/>
      <c r="CE383" s="244"/>
      <c r="CF383" s="244"/>
    </row>
    <row r="384" spans="1:84" x14ac:dyDescent="0.2">
      <c r="A384" s="245" t="s">
        <v>230</v>
      </c>
      <c r="B384" s="247" t="s">
        <v>301</v>
      </c>
      <c r="C384" s="246" t="s">
        <v>232</v>
      </c>
      <c r="D384" s="246" t="s">
        <v>302</v>
      </c>
      <c r="E384" s="247" t="s">
        <v>228</v>
      </c>
      <c r="F384" s="247" t="s">
        <v>716</v>
      </c>
      <c r="G384" s="233" t="str">
        <f t="shared" si="163"/>
        <v>0</v>
      </c>
      <c r="H384" s="233" t="str">
        <f t="shared" si="164"/>
        <v>0</v>
      </c>
      <c r="I384" s="233" t="str">
        <f t="shared" si="165"/>
        <v>0</v>
      </c>
      <c r="J384" s="233" t="str">
        <f t="shared" si="166"/>
        <v>0</v>
      </c>
      <c r="K384" s="233" t="str">
        <f t="shared" si="167"/>
        <v>0000</v>
      </c>
      <c r="L384" s="247" t="str">
        <f t="shared" si="168"/>
        <v>10108457Turnaround Network</v>
      </c>
      <c r="M384" s="225"/>
      <c r="N384" s="225"/>
      <c r="O384" s="225"/>
      <c r="P384" s="225"/>
      <c r="Q384" s="225">
        <v>2906</v>
      </c>
      <c r="R384" s="225"/>
      <c r="S384" s="225">
        <v>0</v>
      </c>
      <c r="T384" s="225"/>
      <c r="U384" s="225"/>
      <c r="V384" s="225"/>
      <c r="W384" s="225"/>
      <c r="X384" s="225"/>
      <c r="Y384" s="225"/>
      <c r="Z384" s="225"/>
      <c r="AA384" s="225"/>
      <c r="AB384" s="225"/>
      <c r="AC384" s="225"/>
      <c r="AD384" s="225"/>
      <c r="AE384" s="225"/>
      <c r="AF384" s="225">
        <f t="shared" si="169"/>
        <v>2906</v>
      </c>
      <c r="AG384" s="225"/>
      <c r="AH384" s="225">
        <v>0</v>
      </c>
      <c r="AI384" s="225"/>
      <c r="AJ384" s="225"/>
      <c r="AK384" s="225"/>
      <c r="AL384" s="225"/>
      <c r="AM384" s="225"/>
      <c r="AN384" s="225">
        <v>0</v>
      </c>
      <c r="AO384" s="225">
        <v>0</v>
      </c>
      <c r="AP384" s="225"/>
      <c r="AQ384" s="225"/>
      <c r="AR384" s="225"/>
      <c r="AS384" s="225"/>
      <c r="AT384" s="248">
        <v>0</v>
      </c>
      <c r="AU384" s="248">
        <v>0</v>
      </c>
      <c r="AV384" s="248">
        <v>0</v>
      </c>
      <c r="AW384" s="227">
        <f t="shared" si="170"/>
        <v>2906</v>
      </c>
      <c r="AX384" s="249">
        <v>0</v>
      </c>
      <c r="AY384" s="225">
        <v>0</v>
      </c>
      <c r="AZ384" s="227"/>
      <c r="BA384" s="250">
        <v>0</v>
      </c>
      <c r="BB384" s="225">
        <v>0</v>
      </c>
      <c r="BC384" s="225">
        <v>0</v>
      </c>
      <c r="BD384" s="225">
        <v>0</v>
      </c>
      <c r="BE384" s="225"/>
      <c r="BF384" s="225"/>
      <c r="BG384" s="225">
        <v>0</v>
      </c>
      <c r="BH384" s="225">
        <v>0</v>
      </c>
      <c r="BI384" s="225">
        <v>0</v>
      </c>
      <c r="BJ384" s="248"/>
      <c r="BK384" s="248"/>
      <c r="BL384" s="248"/>
      <c r="BM384" s="248">
        <f t="shared" si="171"/>
        <v>2906</v>
      </c>
      <c r="BN384" s="249"/>
      <c r="BO384" s="225"/>
      <c r="BP384" s="248"/>
      <c r="BQ384" s="249"/>
      <c r="BR384" s="225"/>
      <c r="BS384" s="225"/>
      <c r="BT384" s="225"/>
      <c r="BU384" s="225">
        <v>-1950</v>
      </c>
      <c r="BV384" s="225"/>
      <c r="BW384" s="225">
        <v>-195.37</v>
      </c>
      <c r="BX384" s="225"/>
      <c r="BY384" s="225"/>
      <c r="BZ384" s="225"/>
      <c r="CA384" s="225"/>
      <c r="CB384" s="225"/>
      <c r="CC384" s="227">
        <f t="shared" si="152"/>
        <v>760.63</v>
      </c>
      <c r="CD384" s="244"/>
      <c r="CE384" s="244"/>
      <c r="CF384" s="244"/>
    </row>
    <row r="385" spans="1:84" x14ac:dyDescent="0.2">
      <c r="A385" s="245" t="s">
        <v>230</v>
      </c>
      <c r="B385" s="247" t="s">
        <v>301</v>
      </c>
      <c r="C385" s="246" t="s">
        <v>232</v>
      </c>
      <c r="D385" s="246" t="s">
        <v>282</v>
      </c>
      <c r="E385" s="247" t="s">
        <v>228</v>
      </c>
      <c r="F385" s="247" t="s">
        <v>716</v>
      </c>
      <c r="G385" s="233" t="str">
        <f t="shared" si="163"/>
        <v>1</v>
      </c>
      <c r="H385" s="233" t="str">
        <f t="shared" si="164"/>
        <v>0</v>
      </c>
      <c r="I385" s="233" t="str">
        <f t="shared" si="165"/>
        <v>0</v>
      </c>
      <c r="J385" s="233" t="str">
        <f t="shared" si="166"/>
        <v>0</v>
      </c>
      <c r="K385" s="233" t="str">
        <f t="shared" si="167"/>
        <v>1000</v>
      </c>
      <c r="L385" s="247" t="str">
        <f t="shared" si="168"/>
        <v>10108457Turnaround Network</v>
      </c>
      <c r="M385" s="225">
        <v>50000</v>
      </c>
      <c r="N385" s="225"/>
      <c r="O385" s="225"/>
      <c r="P385" s="225"/>
      <c r="Q385" s="225">
        <f>SUM(M385:P385)</f>
        <v>50000</v>
      </c>
      <c r="R385" s="225"/>
      <c r="S385" s="225">
        <v>0</v>
      </c>
      <c r="T385" s="225"/>
      <c r="U385" s="225"/>
      <c r="V385" s="225"/>
      <c r="W385" s="225"/>
      <c r="X385" s="225"/>
      <c r="Y385" s="225"/>
      <c r="Z385" s="225"/>
      <c r="AA385" s="225">
        <v>-11250</v>
      </c>
      <c r="AB385" s="225"/>
      <c r="AC385" s="225">
        <v>-12040</v>
      </c>
      <c r="AD385" s="225"/>
      <c r="AE385" s="225">
        <v>-11250</v>
      </c>
      <c r="AF385" s="225">
        <f t="shared" si="169"/>
        <v>15460</v>
      </c>
      <c r="AG385" s="225"/>
      <c r="AH385" s="225">
        <v>0</v>
      </c>
      <c r="AI385" s="225"/>
      <c r="AJ385" s="225"/>
      <c r="AK385" s="225"/>
      <c r="AL385" s="225">
        <v>-15398</v>
      </c>
      <c r="AM385" s="225"/>
      <c r="AN385" s="225">
        <v>0</v>
      </c>
      <c r="AO385" s="225">
        <v>0</v>
      </c>
      <c r="AP385" s="225"/>
      <c r="AQ385" s="225"/>
      <c r="AR385" s="225"/>
      <c r="AS385" s="225"/>
      <c r="AT385" s="248">
        <v>0</v>
      </c>
      <c r="AU385" s="248">
        <v>0</v>
      </c>
      <c r="AV385" s="248">
        <v>0</v>
      </c>
      <c r="AW385" s="227">
        <f t="shared" si="170"/>
        <v>62</v>
      </c>
      <c r="AX385" s="249">
        <v>0</v>
      </c>
      <c r="AY385" s="225">
        <v>0</v>
      </c>
      <c r="AZ385" s="227"/>
      <c r="BA385" s="250">
        <v>0</v>
      </c>
      <c r="BB385" s="225">
        <v>0</v>
      </c>
      <c r="BC385" s="225">
        <v>0</v>
      </c>
      <c r="BD385" s="225">
        <v>0</v>
      </c>
      <c r="BE385" s="225"/>
      <c r="BF385" s="225"/>
      <c r="BG385" s="225">
        <v>0</v>
      </c>
      <c r="BH385" s="225">
        <v>0</v>
      </c>
      <c r="BI385" s="225">
        <v>0</v>
      </c>
      <c r="BJ385" s="248"/>
      <c r="BK385" s="248"/>
      <c r="BL385" s="248"/>
      <c r="BM385" s="248">
        <f t="shared" si="171"/>
        <v>62</v>
      </c>
      <c r="BN385" s="249"/>
      <c r="BO385" s="225"/>
      <c r="BP385" s="248"/>
      <c r="BQ385" s="249"/>
      <c r="BR385" s="225"/>
      <c r="BS385" s="225"/>
      <c r="BT385" s="225"/>
      <c r="BU385" s="225"/>
      <c r="BV385" s="225"/>
      <c r="BW385" s="225"/>
      <c r="BX385" s="225"/>
      <c r="BY385" s="225"/>
      <c r="BZ385" s="225"/>
      <c r="CA385" s="225"/>
      <c r="CB385" s="225"/>
      <c r="CC385" s="227">
        <f t="shared" si="152"/>
        <v>62</v>
      </c>
      <c r="CD385" s="244"/>
      <c r="CE385" s="244"/>
      <c r="CF385" s="244"/>
    </row>
    <row r="386" spans="1:84" x14ac:dyDescent="0.2">
      <c r="A386" s="245" t="s">
        <v>230</v>
      </c>
      <c r="B386" s="247" t="s">
        <v>303</v>
      </c>
      <c r="C386" s="246" t="s">
        <v>232</v>
      </c>
      <c r="D386" s="246" t="s">
        <v>304</v>
      </c>
      <c r="E386" s="247" t="s">
        <v>228</v>
      </c>
      <c r="F386" s="247" t="s">
        <v>716</v>
      </c>
      <c r="G386" s="233" t="str">
        <f t="shared" si="163"/>
        <v>0</v>
      </c>
      <c r="H386" s="233" t="str">
        <f t="shared" si="164"/>
        <v>0</v>
      </c>
      <c r="I386" s="233" t="str">
        <f t="shared" si="165"/>
        <v>0</v>
      </c>
      <c r="J386" s="233" t="str">
        <f t="shared" si="166"/>
        <v>0</v>
      </c>
      <c r="K386" s="233" t="str">
        <f t="shared" si="167"/>
        <v>0000</v>
      </c>
      <c r="L386" s="247" t="str">
        <f t="shared" si="168"/>
        <v>10109404Turnaround Network</v>
      </c>
      <c r="M386" s="225"/>
      <c r="N386" s="225"/>
      <c r="O386" s="225"/>
      <c r="P386" s="225"/>
      <c r="Q386" s="225">
        <v>1</v>
      </c>
      <c r="R386" s="225"/>
      <c r="S386" s="225">
        <v>0</v>
      </c>
      <c r="T386" s="225"/>
      <c r="U386" s="225"/>
      <c r="V386" s="225"/>
      <c r="W386" s="225"/>
      <c r="X386" s="225"/>
      <c r="Y386" s="225"/>
      <c r="Z386" s="225"/>
      <c r="AA386" s="225"/>
      <c r="AB386" s="225"/>
      <c r="AC386" s="225"/>
      <c r="AD386" s="225"/>
      <c r="AE386" s="225"/>
      <c r="AF386" s="225">
        <f t="shared" si="169"/>
        <v>1</v>
      </c>
      <c r="AG386" s="225"/>
      <c r="AH386" s="225">
        <v>0</v>
      </c>
      <c r="AI386" s="225"/>
      <c r="AJ386" s="225"/>
      <c r="AK386" s="225"/>
      <c r="AL386" s="225"/>
      <c r="AM386" s="225"/>
      <c r="AN386" s="225">
        <v>0</v>
      </c>
      <c r="AO386" s="225">
        <v>0</v>
      </c>
      <c r="AP386" s="225"/>
      <c r="AQ386" s="225"/>
      <c r="AR386" s="225"/>
      <c r="AS386" s="225"/>
      <c r="AT386" s="248">
        <v>0</v>
      </c>
      <c r="AU386" s="248">
        <v>0</v>
      </c>
      <c r="AV386" s="248">
        <v>0</v>
      </c>
      <c r="AW386" s="227">
        <f t="shared" si="170"/>
        <v>1</v>
      </c>
      <c r="AX386" s="249">
        <v>0</v>
      </c>
      <c r="AY386" s="225">
        <v>0</v>
      </c>
      <c r="AZ386" s="227"/>
      <c r="BA386" s="250">
        <v>0</v>
      </c>
      <c r="BB386" s="225">
        <v>0</v>
      </c>
      <c r="BC386" s="225">
        <v>0</v>
      </c>
      <c r="BD386" s="225">
        <v>0</v>
      </c>
      <c r="BE386" s="225"/>
      <c r="BF386" s="225"/>
      <c r="BG386" s="225">
        <v>0</v>
      </c>
      <c r="BH386" s="225">
        <v>0</v>
      </c>
      <c r="BI386" s="225">
        <v>0</v>
      </c>
      <c r="BJ386" s="248"/>
      <c r="BK386" s="248"/>
      <c r="BL386" s="248"/>
      <c r="BM386" s="248">
        <f t="shared" si="171"/>
        <v>1</v>
      </c>
      <c r="BN386" s="249"/>
      <c r="BO386" s="225"/>
      <c r="BP386" s="248"/>
      <c r="BQ386" s="249"/>
      <c r="BR386" s="225"/>
      <c r="BS386" s="225"/>
      <c r="BT386" s="225"/>
      <c r="BU386" s="225"/>
      <c r="BV386" s="225"/>
      <c r="BW386" s="225"/>
      <c r="BX386" s="225"/>
      <c r="BY386" s="225"/>
      <c r="BZ386" s="225"/>
      <c r="CA386" s="225"/>
      <c r="CB386" s="225"/>
      <c r="CC386" s="227">
        <f t="shared" si="152"/>
        <v>1</v>
      </c>
      <c r="CD386" s="244"/>
      <c r="CE386" s="244"/>
      <c r="CF386" s="244"/>
    </row>
    <row r="387" spans="1:84" x14ac:dyDescent="0.2">
      <c r="A387" s="245" t="s">
        <v>230</v>
      </c>
      <c r="B387" s="247" t="s">
        <v>238</v>
      </c>
      <c r="C387" s="246" t="s">
        <v>232</v>
      </c>
      <c r="D387" s="246" t="s">
        <v>256</v>
      </c>
      <c r="E387" s="247" t="s">
        <v>228</v>
      </c>
      <c r="F387" s="247" t="s">
        <v>716</v>
      </c>
      <c r="G387" s="233" t="str">
        <f t="shared" si="163"/>
        <v>1</v>
      </c>
      <c r="H387" s="233" t="str">
        <f t="shared" si="164"/>
        <v>0</v>
      </c>
      <c r="I387" s="233" t="str">
        <f t="shared" si="165"/>
        <v>0</v>
      </c>
      <c r="J387" s="233" t="str">
        <f t="shared" si="166"/>
        <v>0</v>
      </c>
      <c r="K387" s="233" t="str">
        <f t="shared" si="167"/>
        <v>1000</v>
      </c>
      <c r="L387" s="247" t="str">
        <f t="shared" si="168"/>
        <v>10109445Turnaround Network</v>
      </c>
      <c r="M387" s="225">
        <v>50000</v>
      </c>
      <c r="N387" s="225"/>
      <c r="O387" s="225"/>
      <c r="P387" s="225"/>
      <c r="Q387" s="225">
        <f>SUM(M387:P387)</f>
        <v>50000</v>
      </c>
      <c r="R387" s="225"/>
      <c r="S387" s="225">
        <v>0</v>
      </c>
      <c r="T387" s="225"/>
      <c r="U387" s="225"/>
      <c r="V387" s="225"/>
      <c r="W387" s="225">
        <v>-6262</v>
      </c>
      <c r="X387" s="225">
        <v>-1509</v>
      </c>
      <c r="Y387" s="225">
        <v>-522</v>
      </c>
      <c r="Z387" s="225">
        <v>-143</v>
      </c>
      <c r="AA387" s="225">
        <v>-11325</v>
      </c>
      <c r="AB387" s="225">
        <v>-1113</v>
      </c>
      <c r="AC387" s="225">
        <v>-10146</v>
      </c>
      <c r="AD387" s="225">
        <v>-8250</v>
      </c>
      <c r="AE387" s="225">
        <v>-233</v>
      </c>
      <c r="AF387" s="225">
        <f t="shared" si="169"/>
        <v>10497</v>
      </c>
      <c r="AG387" s="225"/>
      <c r="AH387" s="225">
        <v>0</v>
      </c>
      <c r="AI387" s="225"/>
      <c r="AJ387" s="225"/>
      <c r="AK387" s="225"/>
      <c r="AL387" s="225">
        <v>-10442</v>
      </c>
      <c r="AM387" s="225"/>
      <c r="AN387" s="225">
        <v>0</v>
      </c>
      <c r="AO387" s="225">
        <v>0</v>
      </c>
      <c r="AP387" s="225"/>
      <c r="AQ387" s="225"/>
      <c r="AR387" s="225"/>
      <c r="AS387" s="225"/>
      <c r="AT387" s="248">
        <v>0</v>
      </c>
      <c r="AU387" s="248">
        <v>0</v>
      </c>
      <c r="AV387" s="248">
        <v>0</v>
      </c>
      <c r="AW387" s="227">
        <f t="shared" si="170"/>
        <v>55</v>
      </c>
      <c r="AX387" s="249">
        <v>0</v>
      </c>
      <c r="AY387" s="225">
        <v>0</v>
      </c>
      <c r="AZ387" s="227"/>
      <c r="BA387" s="250">
        <v>0</v>
      </c>
      <c r="BB387" s="225">
        <v>0</v>
      </c>
      <c r="BC387" s="225">
        <v>0</v>
      </c>
      <c r="BD387" s="225">
        <v>0</v>
      </c>
      <c r="BE387" s="225"/>
      <c r="BF387" s="225"/>
      <c r="BG387" s="225">
        <v>0</v>
      </c>
      <c r="BH387" s="225">
        <v>0</v>
      </c>
      <c r="BI387" s="225">
        <v>0</v>
      </c>
      <c r="BJ387" s="248"/>
      <c r="BK387" s="248"/>
      <c r="BL387" s="248"/>
      <c r="BM387" s="248">
        <f t="shared" si="171"/>
        <v>55</v>
      </c>
      <c r="BN387" s="249"/>
      <c r="BO387" s="225"/>
      <c r="BP387" s="248"/>
      <c r="BQ387" s="249"/>
      <c r="BR387" s="225"/>
      <c r="BS387" s="225"/>
      <c r="BT387" s="225"/>
      <c r="BU387" s="225"/>
      <c r="BV387" s="225"/>
      <c r="BW387" s="225"/>
      <c r="BX387" s="225"/>
      <c r="BY387" s="225"/>
      <c r="BZ387" s="225"/>
      <c r="CA387" s="225"/>
      <c r="CB387" s="225"/>
      <c r="CC387" s="227">
        <f t="shared" si="152"/>
        <v>55</v>
      </c>
      <c r="CD387" s="244"/>
      <c r="CE387" s="244"/>
      <c r="CF387" s="244"/>
    </row>
    <row r="388" spans="1:84" x14ac:dyDescent="0.2">
      <c r="A388" s="245" t="s">
        <v>230</v>
      </c>
      <c r="B388" s="247" t="s">
        <v>305</v>
      </c>
      <c r="C388" s="246" t="s">
        <v>232</v>
      </c>
      <c r="D388" s="246" t="s">
        <v>283</v>
      </c>
      <c r="E388" s="247" t="s">
        <v>228</v>
      </c>
      <c r="F388" s="247" t="s">
        <v>716</v>
      </c>
      <c r="G388" s="233" t="str">
        <f t="shared" si="163"/>
        <v>1</v>
      </c>
      <c r="H388" s="233" t="str">
        <f t="shared" si="164"/>
        <v>0</v>
      </c>
      <c r="I388" s="233" t="str">
        <f t="shared" si="165"/>
        <v>0</v>
      </c>
      <c r="J388" s="233" t="str">
        <f t="shared" si="166"/>
        <v>0</v>
      </c>
      <c r="K388" s="233" t="str">
        <f t="shared" si="167"/>
        <v>1000</v>
      </c>
      <c r="L388" s="247" t="str">
        <f t="shared" si="168"/>
        <v>10109618Turnaround Network</v>
      </c>
      <c r="M388" s="225">
        <v>70103</v>
      </c>
      <c r="N388" s="225"/>
      <c r="O388" s="225"/>
      <c r="P388" s="225"/>
      <c r="Q388" s="225">
        <f>SUM(M388:P388)</f>
        <v>70103</v>
      </c>
      <c r="R388" s="225"/>
      <c r="S388" s="225">
        <v>0</v>
      </c>
      <c r="T388" s="225"/>
      <c r="U388" s="225">
        <v>-6730</v>
      </c>
      <c r="V388" s="225"/>
      <c r="W388" s="225">
        <v>-9391</v>
      </c>
      <c r="X388" s="225">
        <v>-3782</v>
      </c>
      <c r="Y388" s="225"/>
      <c r="Z388" s="225">
        <v>-132</v>
      </c>
      <c r="AA388" s="225">
        <v>-8250</v>
      </c>
      <c r="AB388" s="225">
        <v>-1725</v>
      </c>
      <c r="AC388" s="225">
        <v>-10104</v>
      </c>
      <c r="AD388" s="225"/>
      <c r="AE388" s="225">
        <v>-18601</v>
      </c>
      <c r="AF388" s="225">
        <f t="shared" si="169"/>
        <v>11388</v>
      </c>
      <c r="AG388" s="225"/>
      <c r="AH388" s="225">
        <v>61913</v>
      </c>
      <c r="AI388" s="225"/>
      <c r="AJ388" s="225"/>
      <c r="AK388" s="225"/>
      <c r="AL388" s="225">
        <v>-9550</v>
      </c>
      <c r="AM388" s="225"/>
      <c r="AN388" s="225">
        <v>0</v>
      </c>
      <c r="AO388" s="225">
        <v>0</v>
      </c>
      <c r="AP388" s="225"/>
      <c r="AQ388" s="225">
        <v>-22028.52</v>
      </c>
      <c r="AR388" s="225">
        <v>-2033.88</v>
      </c>
      <c r="AS388" s="225">
        <v>-7245.75</v>
      </c>
      <c r="AT388" s="248">
        <v>-14654.35</v>
      </c>
      <c r="AU388" s="248">
        <v>0</v>
      </c>
      <c r="AV388" s="248">
        <v>-4695.75</v>
      </c>
      <c r="AW388" s="227">
        <f t="shared" si="170"/>
        <v>13092.75</v>
      </c>
      <c r="AX388" s="249">
        <v>0</v>
      </c>
      <c r="AY388" s="225">
        <v>0</v>
      </c>
      <c r="AZ388" s="227"/>
      <c r="BA388" s="250">
        <v>0</v>
      </c>
      <c r="BB388" s="225">
        <v>-345.8</v>
      </c>
      <c r="BC388" s="225">
        <v>0</v>
      </c>
      <c r="BD388" s="225">
        <v>0</v>
      </c>
      <c r="BE388" s="225"/>
      <c r="BF388" s="225"/>
      <c r="BG388" s="225">
        <v>-6215.23</v>
      </c>
      <c r="BH388" s="225">
        <v>-6492.44</v>
      </c>
      <c r="BI388" s="225">
        <v>0</v>
      </c>
      <c r="BJ388" s="248"/>
      <c r="BK388" s="248">
        <v>6215.23</v>
      </c>
      <c r="BL388" s="248">
        <v>-39.28</v>
      </c>
      <c r="BM388" s="248">
        <f t="shared" si="171"/>
        <v>6215.2300000000014</v>
      </c>
      <c r="BN388" s="249"/>
      <c r="BO388" s="225"/>
      <c r="BP388" s="248"/>
      <c r="BQ388" s="249">
        <v>-5824.1399999999994</v>
      </c>
      <c r="BR388" s="225">
        <v>-351.8</v>
      </c>
      <c r="BS388" s="225"/>
      <c r="BT388" s="225"/>
      <c r="BU388" s="225"/>
      <c r="BV388" s="225"/>
      <c r="BW388" s="225"/>
      <c r="BX388" s="225"/>
      <c r="BY388" s="225"/>
      <c r="BZ388" s="225"/>
      <c r="CA388" s="225"/>
      <c r="CB388" s="225"/>
      <c r="CC388" s="227">
        <f t="shared" si="152"/>
        <v>39.290000000001953</v>
      </c>
      <c r="CD388" s="244"/>
      <c r="CE388" s="244"/>
      <c r="CF388" s="244"/>
    </row>
    <row r="389" spans="1:84" x14ac:dyDescent="0.2">
      <c r="A389" s="245" t="s">
        <v>230</v>
      </c>
      <c r="B389" s="247" t="s">
        <v>34</v>
      </c>
      <c r="C389" s="246" t="s">
        <v>232</v>
      </c>
      <c r="D389" s="246" t="s">
        <v>111</v>
      </c>
      <c r="E389" s="247" t="s">
        <v>228</v>
      </c>
      <c r="F389" s="247" t="s">
        <v>716</v>
      </c>
      <c r="G389" s="233" t="str">
        <f t="shared" si="163"/>
        <v>0</v>
      </c>
      <c r="H389" s="233" t="str">
        <f t="shared" si="164"/>
        <v>0</v>
      </c>
      <c r="I389" s="233" t="str">
        <f t="shared" si="165"/>
        <v>0</v>
      </c>
      <c r="J389" s="233" t="str">
        <f t="shared" si="166"/>
        <v>0</v>
      </c>
      <c r="K389" s="233" t="str">
        <f t="shared" si="167"/>
        <v>0000</v>
      </c>
      <c r="L389" s="247" t="str">
        <f t="shared" si="168"/>
        <v>1010N/ATurnaround Network</v>
      </c>
      <c r="M389" s="225"/>
      <c r="N389" s="225"/>
      <c r="O389" s="225"/>
      <c r="P389" s="225"/>
      <c r="Q389" s="225">
        <v>205</v>
      </c>
      <c r="R389" s="225"/>
      <c r="S389" s="225">
        <v>0</v>
      </c>
      <c r="T389" s="225"/>
      <c r="U389" s="225"/>
      <c r="V389" s="225"/>
      <c r="W389" s="225"/>
      <c r="X389" s="225"/>
      <c r="Y389" s="225"/>
      <c r="Z389" s="225"/>
      <c r="AA389" s="225"/>
      <c r="AB389" s="225"/>
      <c r="AC389" s="225"/>
      <c r="AD389" s="225"/>
      <c r="AE389" s="225"/>
      <c r="AF389" s="225">
        <f t="shared" si="169"/>
        <v>205</v>
      </c>
      <c r="AG389" s="225"/>
      <c r="AH389" s="225">
        <v>0</v>
      </c>
      <c r="AI389" s="225"/>
      <c r="AJ389" s="225"/>
      <c r="AK389" s="225"/>
      <c r="AL389" s="225"/>
      <c r="AM389" s="225"/>
      <c r="AN389" s="225">
        <v>0</v>
      </c>
      <c r="AO389" s="225">
        <v>0</v>
      </c>
      <c r="AP389" s="225"/>
      <c r="AQ389" s="225"/>
      <c r="AR389" s="225"/>
      <c r="AS389" s="225">
        <v>-205</v>
      </c>
      <c r="AT389" s="248">
        <v>0</v>
      </c>
      <c r="AU389" s="248">
        <v>0</v>
      </c>
      <c r="AV389" s="248">
        <v>0</v>
      </c>
      <c r="AW389" s="227">
        <f t="shared" si="170"/>
        <v>0</v>
      </c>
      <c r="AX389" s="249">
        <v>0</v>
      </c>
      <c r="AY389" s="225">
        <v>0</v>
      </c>
      <c r="AZ389" s="227"/>
      <c r="BA389" s="250">
        <v>0</v>
      </c>
      <c r="BB389" s="225">
        <v>0</v>
      </c>
      <c r="BC389" s="225">
        <v>0</v>
      </c>
      <c r="BD389" s="225">
        <v>0</v>
      </c>
      <c r="BE389" s="225"/>
      <c r="BF389" s="225"/>
      <c r="BG389" s="225">
        <v>0</v>
      </c>
      <c r="BH389" s="225">
        <v>0</v>
      </c>
      <c r="BI389" s="225">
        <v>0</v>
      </c>
      <c r="BJ389" s="248"/>
      <c r="BK389" s="248"/>
      <c r="BL389" s="248"/>
      <c r="BM389" s="248">
        <f t="shared" si="171"/>
        <v>0</v>
      </c>
      <c r="BN389" s="249"/>
      <c r="BO389" s="225"/>
      <c r="BP389" s="248"/>
      <c r="BQ389" s="249"/>
      <c r="BR389" s="225"/>
      <c r="BS389" s="225"/>
      <c r="BT389" s="225"/>
      <c r="BU389" s="225"/>
      <c r="BV389" s="225"/>
      <c r="BW389" s="225"/>
      <c r="BX389" s="225"/>
      <c r="BY389" s="225"/>
      <c r="BZ389" s="225"/>
      <c r="CA389" s="225"/>
      <c r="CB389" s="225"/>
      <c r="CC389" s="227">
        <f t="shared" si="152"/>
        <v>0</v>
      </c>
      <c r="CD389" s="244"/>
      <c r="CE389" s="244"/>
      <c r="CF389" s="244"/>
    </row>
    <row r="390" spans="1:84" x14ac:dyDescent="0.2">
      <c r="A390" s="245" t="s">
        <v>230</v>
      </c>
      <c r="B390" s="247" t="s">
        <v>34</v>
      </c>
      <c r="C390" s="246" t="s">
        <v>232</v>
      </c>
      <c r="D390" s="246" t="s">
        <v>111</v>
      </c>
      <c r="E390" s="247" t="s">
        <v>228</v>
      </c>
      <c r="F390" s="247" t="s">
        <v>716</v>
      </c>
      <c r="G390" s="233" t="str">
        <f t="shared" si="163"/>
        <v>1</v>
      </c>
      <c r="H390" s="233" t="str">
        <f t="shared" si="164"/>
        <v>0</v>
      </c>
      <c r="I390" s="233" t="str">
        <f t="shared" si="165"/>
        <v>0</v>
      </c>
      <c r="J390" s="233" t="str">
        <f t="shared" si="166"/>
        <v>0</v>
      </c>
      <c r="K390" s="233" t="str">
        <f t="shared" si="167"/>
        <v>1000</v>
      </c>
      <c r="L390" s="247" t="str">
        <f t="shared" si="168"/>
        <v>1010N/ATurnaround Network</v>
      </c>
      <c r="M390" s="225">
        <v>50000</v>
      </c>
      <c r="N390" s="225"/>
      <c r="O390" s="225"/>
      <c r="P390" s="225"/>
      <c r="Q390" s="225">
        <f>SUM(M390:P390)</f>
        <v>50000</v>
      </c>
      <c r="R390" s="225"/>
      <c r="S390" s="225">
        <v>0</v>
      </c>
      <c r="T390" s="225"/>
      <c r="U390" s="225"/>
      <c r="V390" s="225"/>
      <c r="W390" s="225">
        <v>-770</v>
      </c>
      <c r="X390" s="225">
        <v>-3087</v>
      </c>
      <c r="Y390" s="225"/>
      <c r="Z390" s="225">
        <v>-964</v>
      </c>
      <c r="AA390" s="225">
        <v>-8250</v>
      </c>
      <c r="AB390" s="225">
        <v>-2418</v>
      </c>
      <c r="AC390" s="225">
        <v>-8915</v>
      </c>
      <c r="AD390" s="225">
        <v>-8250</v>
      </c>
      <c r="AE390" s="225">
        <v>-940</v>
      </c>
      <c r="AF390" s="225">
        <f t="shared" si="169"/>
        <v>16406</v>
      </c>
      <c r="AG390" s="225"/>
      <c r="AH390" s="225">
        <v>21344</v>
      </c>
      <c r="AI390" s="225"/>
      <c r="AJ390" s="225"/>
      <c r="AK390" s="225"/>
      <c r="AL390" s="225">
        <v>-9963</v>
      </c>
      <c r="AM390" s="225"/>
      <c r="AN390" s="225">
        <v>0</v>
      </c>
      <c r="AO390" s="225">
        <v>0</v>
      </c>
      <c r="AP390" s="225"/>
      <c r="AQ390" s="225">
        <v>-13277</v>
      </c>
      <c r="AR390" s="225">
        <v>-350</v>
      </c>
      <c r="AS390" s="225">
        <v>-4216.03</v>
      </c>
      <c r="AT390" s="248">
        <v>-1195.78</v>
      </c>
      <c r="AU390" s="248">
        <v>-2754.25</v>
      </c>
      <c r="AV390" s="248">
        <v>-3758.5</v>
      </c>
      <c r="AW390" s="227">
        <f t="shared" si="170"/>
        <v>2235.4400000000005</v>
      </c>
      <c r="AX390" s="249">
        <v>0</v>
      </c>
      <c r="AY390" s="225">
        <v>0</v>
      </c>
      <c r="AZ390" s="227"/>
      <c r="BA390" s="250">
        <v>0</v>
      </c>
      <c r="BB390" s="225">
        <v>0</v>
      </c>
      <c r="BC390" s="225">
        <v>0</v>
      </c>
      <c r="BD390" s="225">
        <v>0</v>
      </c>
      <c r="BE390" s="225"/>
      <c r="BF390" s="225"/>
      <c r="BG390" s="225">
        <v>-2370.92</v>
      </c>
      <c r="BH390" s="225">
        <v>0</v>
      </c>
      <c r="BI390" s="225">
        <v>0</v>
      </c>
      <c r="BJ390" s="248"/>
      <c r="BK390" s="248"/>
      <c r="BL390" s="248"/>
      <c r="BM390" s="248">
        <f t="shared" si="171"/>
        <v>-135.47999999999956</v>
      </c>
      <c r="BN390" s="249"/>
      <c r="BO390" s="225"/>
      <c r="BP390" s="248"/>
      <c r="BQ390" s="249"/>
      <c r="BR390" s="225">
        <v>-134.21</v>
      </c>
      <c r="BS390" s="225"/>
      <c r="BT390" s="225">
        <v>556.6</v>
      </c>
      <c r="BU390" s="225"/>
      <c r="BV390" s="225"/>
      <c r="BW390" s="225">
        <f>565-565</f>
        <v>0</v>
      </c>
      <c r="BX390" s="225"/>
      <c r="BY390" s="225"/>
      <c r="BZ390" s="225"/>
      <c r="CA390" s="225"/>
      <c r="CB390" s="225"/>
      <c r="CC390" s="227">
        <f t="shared" si="152"/>
        <v>286.91000000000042</v>
      </c>
      <c r="CD390" s="244"/>
      <c r="CE390" s="244"/>
      <c r="CF390" s="244"/>
    </row>
    <row r="391" spans="1:84" x14ac:dyDescent="0.2">
      <c r="A391" s="245" t="s">
        <v>16</v>
      </c>
      <c r="B391" s="247" t="s">
        <v>316</v>
      </c>
      <c r="C391" s="246" t="s">
        <v>96</v>
      </c>
      <c r="D391" s="246" t="s">
        <v>284</v>
      </c>
      <c r="E391" s="247" t="s">
        <v>228</v>
      </c>
      <c r="F391" s="247" t="s">
        <v>716</v>
      </c>
      <c r="G391" s="233" t="str">
        <f t="shared" si="163"/>
        <v>1</v>
      </c>
      <c r="H391" s="233" t="str">
        <f t="shared" si="164"/>
        <v>0</v>
      </c>
      <c r="I391" s="233" t="str">
        <f t="shared" si="165"/>
        <v>0</v>
      </c>
      <c r="J391" s="233" t="str">
        <f t="shared" si="166"/>
        <v>0</v>
      </c>
      <c r="K391" s="233" t="str">
        <f t="shared" si="167"/>
        <v>1000</v>
      </c>
      <c r="L391" s="247" t="str">
        <f t="shared" si="168"/>
        <v>11808038Turnaround Network</v>
      </c>
      <c r="M391" s="225">
        <v>70444</v>
      </c>
      <c r="N391" s="225"/>
      <c r="O391" s="225"/>
      <c r="P391" s="225"/>
      <c r="Q391" s="225">
        <f>SUM(M391:P391)</f>
        <v>70444</v>
      </c>
      <c r="R391" s="225"/>
      <c r="S391" s="225">
        <v>0</v>
      </c>
      <c r="T391" s="225"/>
      <c r="U391" s="225"/>
      <c r="V391" s="225"/>
      <c r="W391" s="225"/>
      <c r="X391" s="225">
        <v>-28755</v>
      </c>
      <c r="Y391" s="225"/>
      <c r="Z391" s="225"/>
      <c r="AA391" s="225"/>
      <c r="AB391" s="225"/>
      <c r="AC391" s="225"/>
      <c r="AD391" s="225"/>
      <c r="AE391" s="225">
        <v>-29673</v>
      </c>
      <c r="AF391" s="225">
        <f t="shared" si="169"/>
        <v>12016</v>
      </c>
      <c r="AG391" s="225"/>
      <c r="AH391" s="225">
        <v>60000</v>
      </c>
      <c r="AI391" s="225"/>
      <c r="AJ391" s="225"/>
      <c r="AK391" s="225"/>
      <c r="AL391" s="225"/>
      <c r="AM391" s="225"/>
      <c r="AN391" s="225">
        <v>0</v>
      </c>
      <c r="AO391" s="225">
        <v>0</v>
      </c>
      <c r="AP391" s="225"/>
      <c r="AQ391" s="225"/>
      <c r="AR391" s="225"/>
      <c r="AS391" s="225"/>
      <c r="AT391" s="248">
        <v>0</v>
      </c>
      <c r="AU391" s="248">
        <v>0</v>
      </c>
      <c r="AV391" s="248">
        <v>0</v>
      </c>
      <c r="AW391" s="227">
        <f t="shared" si="170"/>
        <v>72016</v>
      </c>
      <c r="AX391" s="249">
        <v>21266</v>
      </c>
      <c r="AY391" s="225">
        <v>0</v>
      </c>
      <c r="AZ391" s="227"/>
      <c r="BA391" s="250">
        <v>0</v>
      </c>
      <c r="BB391" s="225">
        <v>0</v>
      </c>
      <c r="BC391" s="225">
        <v>0</v>
      </c>
      <c r="BD391" s="225">
        <v>-26274</v>
      </c>
      <c r="BE391" s="225"/>
      <c r="BF391" s="225"/>
      <c r="BG391" s="225">
        <v>0</v>
      </c>
      <c r="BH391" s="225">
        <v>0</v>
      </c>
      <c r="BI391" s="225">
        <v>0</v>
      </c>
      <c r="BJ391" s="248"/>
      <c r="BK391" s="248">
        <v>-11709.3</v>
      </c>
      <c r="BL391" s="248"/>
      <c r="BM391" s="248">
        <f t="shared" si="171"/>
        <v>55298.7</v>
      </c>
      <c r="BN391" s="249"/>
      <c r="BO391" s="225"/>
      <c r="BP391" s="248"/>
      <c r="BQ391" s="249"/>
      <c r="BR391" s="225">
        <v>-52696.9</v>
      </c>
      <c r="BS391" s="225"/>
      <c r="BT391" s="225">
        <f>-2050.94+10089</f>
        <v>8038.0599999999995</v>
      </c>
      <c r="BU391" s="225"/>
      <c r="BV391" s="225"/>
      <c r="BW391" s="225"/>
      <c r="BX391" s="225"/>
      <c r="BY391" s="225"/>
      <c r="BZ391" s="225"/>
      <c r="CA391" s="225"/>
      <c r="CB391" s="225"/>
      <c r="CC391" s="227">
        <f t="shared" si="152"/>
        <v>10639.859999999995</v>
      </c>
      <c r="CD391" s="244"/>
      <c r="CE391" s="244"/>
      <c r="CF391" s="244"/>
    </row>
    <row r="392" spans="1:84" x14ac:dyDescent="0.2">
      <c r="A392" s="245" t="s">
        <v>25</v>
      </c>
      <c r="B392" s="247" t="s">
        <v>278</v>
      </c>
      <c r="C392" s="246" t="s">
        <v>103</v>
      </c>
      <c r="D392" s="246" t="s">
        <v>285</v>
      </c>
      <c r="E392" s="247" t="s">
        <v>228</v>
      </c>
      <c r="F392" s="247" t="s">
        <v>716</v>
      </c>
      <c r="G392" s="233" t="str">
        <f t="shared" si="163"/>
        <v>1</v>
      </c>
      <c r="H392" s="233" t="str">
        <f t="shared" si="164"/>
        <v>0</v>
      </c>
      <c r="I392" s="233" t="str">
        <f t="shared" si="165"/>
        <v>0</v>
      </c>
      <c r="J392" s="233" t="str">
        <f t="shared" si="166"/>
        <v>0</v>
      </c>
      <c r="K392" s="233" t="str">
        <f t="shared" si="167"/>
        <v>1000</v>
      </c>
      <c r="L392" s="247" t="str">
        <f t="shared" si="168"/>
        <v>14200109Turnaround Network</v>
      </c>
      <c r="M392" s="225">
        <v>79215</v>
      </c>
      <c r="N392" s="225"/>
      <c r="O392" s="225"/>
      <c r="P392" s="225"/>
      <c r="Q392" s="225">
        <f>SUM(M392:P392)</f>
        <v>79215</v>
      </c>
      <c r="R392" s="225"/>
      <c r="S392" s="225">
        <v>0</v>
      </c>
      <c r="T392" s="225"/>
      <c r="U392" s="225"/>
      <c r="V392" s="225"/>
      <c r="W392" s="225">
        <v>-35288</v>
      </c>
      <c r="X392" s="225">
        <v>-3342</v>
      </c>
      <c r="Y392" s="225">
        <v>-7667</v>
      </c>
      <c r="Z392" s="225">
        <v>-3490</v>
      </c>
      <c r="AA392" s="225">
        <v>-5079</v>
      </c>
      <c r="AB392" s="225">
        <v>-3582</v>
      </c>
      <c r="AC392" s="225">
        <v>-3941</v>
      </c>
      <c r="AD392" s="225">
        <v>-3411</v>
      </c>
      <c r="AE392" s="225">
        <v>-3410</v>
      </c>
      <c r="AF392" s="225">
        <f t="shared" si="169"/>
        <v>10005</v>
      </c>
      <c r="AG392" s="225"/>
      <c r="AH392" s="225">
        <v>75000</v>
      </c>
      <c r="AI392" s="225"/>
      <c r="AJ392" s="225">
        <v>-3409</v>
      </c>
      <c r="AK392" s="225"/>
      <c r="AL392" s="225"/>
      <c r="AM392" s="225">
        <v>-6596</v>
      </c>
      <c r="AN392" s="225">
        <v>0</v>
      </c>
      <c r="AO392" s="225">
        <v>0</v>
      </c>
      <c r="AP392" s="225">
        <v>-32319.96</v>
      </c>
      <c r="AQ392" s="225"/>
      <c r="AR392" s="225"/>
      <c r="AS392" s="225">
        <v>-1750.58</v>
      </c>
      <c r="AT392" s="248">
        <v>-2950.85</v>
      </c>
      <c r="AU392" s="248">
        <v>0</v>
      </c>
      <c r="AV392" s="248">
        <v>0</v>
      </c>
      <c r="AW392" s="227">
        <f t="shared" si="170"/>
        <v>37978.61</v>
      </c>
      <c r="AX392" s="249">
        <v>31491</v>
      </c>
      <c r="AY392" s="225">
        <v>0</v>
      </c>
      <c r="AZ392" s="227"/>
      <c r="BA392" s="250">
        <v>-13943.41</v>
      </c>
      <c r="BB392" s="225">
        <v>0</v>
      </c>
      <c r="BC392" s="225">
        <v>0</v>
      </c>
      <c r="BD392" s="225">
        <v>0</v>
      </c>
      <c r="BE392" s="225"/>
      <c r="BF392" s="225"/>
      <c r="BG392" s="225">
        <v>0</v>
      </c>
      <c r="BH392" s="225">
        <v>-15745.5</v>
      </c>
      <c r="BI392" s="225">
        <v>-442.21</v>
      </c>
      <c r="BJ392" s="248"/>
      <c r="BK392" s="248"/>
      <c r="BL392" s="248"/>
      <c r="BM392" s="248">
        <f t="shared" si="171"/>
        <v>39338.49</v>
      </c>
      <c r="BN392" s="249"/>
      <c r="BO392" s="225"/>
      <c r="BP392" s="248"/>
      <c r="BQ392" s="249"/>
      <c r="BR392" s="225"/>
      <c r="BS392" s="225"/>
      <c r="BT392" s="225"/>
      <c r="BU392" s="147">
        <v>-37849.17</v>
      </c>
      <c r="BV392" s="225"/>
      <c r="BW392" s="225"/>
      <c r="BX392" s="225"/>
      <c r="BY392" s="225"/>
      <c r="BZ392" s="225"/>
      <c r="CA392" s="225"/>
      <c r="CB392" s="225"/>
      <c r="CC392" s="227">
        <f t="shared" si="152"/>
        <v>1489.3199999999997</v>
      </c>
      <c r="CD392" s="244"/>
      <c r="CE392" s="244"/>
      <c r="CF392" s="244"/>
    </row>
    <row r="393" spans="1:84" x14ac:dyDescent="0.2">
      <c r="A393" s="245" t="s">
        <v>25</v>
      </c>
      <c r="B393" s="247" t="s">
        <v>239</v>
      </c>
      <c r="C393" s="246" t="s">
        <v>103</v>
      </c>
      <c r="D393" s="246" t="s">
        <v>257</v>
      </c>
      <c r="E393" s="247" t="s">
        <v>228</v>
      </c>
      <c r="F393" s="247" t="s">
        <v>716</v>
      </c>
      <c r="G393" s="233" t="str">
        <f t="shared" si="163"/>
        <v>1</v>
      </c>
      <c r="H393" s="233" t="str">
        <f t="shared" si="164"/>
        <v>0</v>
      </c>
      <c r="I393" s="233" t="str">
        <f t="shared" si="165"/>
        <v>0</v>
      </c>
      <c r="J393" s="233" t="str">
        <f t="shared" si="166"/>
        <v>0</v>
      </c>
      <c r="K393" s="233" t="str">
        <f t="shared" si="167"/>
        <v>1000</v>
      </c>
      <c r="L393" s="247" t="str">
        <f t="shared" si="168"/>
        <v>14204422Turnaround Network</v>
      </c>
      <c r="M393" s="225">
        <v>50350</v>
      </c>
      <c r="N393" s="225"/>
      <c r="O393" s="225"/>
      <c r="P393" s="225"/>
      <c r="Q393" s="225">
        <f>SUM(M393:P393)</f>
        <v>50350</v>
      </c>
      <c r="R393" s="225"/>
      <c r="S393" s="225">
        <v>0</v>
      </c>
      <c r="T393" s="225"/>
      <c r="U393" s="225"/>
      <c r="V393" s="225"/>
      <c r="W393" s="225">
        <v>-3797</v>
      </c>
      <c r="X393" s="225">
        <v>-3797</v>
      </c>
      <c r="Y393" s="225">
        <v>-3766</v>
      </c>
      <c r="Z393" s="225">
        <v>-3757</v>
      </c>
      <c r="AA393" s="225">
        <v>-3769</v>
      </c>
      <c r="AB393" s="225">
        <v>-3765</v>
      </c>
      <c r="AC393" s="225">
        <v>-3760</v>
      </c>
      <c r="AD393" s="225">
        <v>-3768</v>
      </c>
      <c r="AE393" s="225">
        <v>-3760</v>
      </c>
      <c r="AF393" s="225">
        <f t="shared" si="169"/>
        <v>16411</v>
      </c>
      <c r="AG393" s="225"/>
      <c r="AH393" s="225">
        <v>0</v>
      </c>
      <c r="AI393" s="225"/>
      <c r="AJ393" s="225"/>
      <c r="AK393" s="225"/>
      <c r="AL393" s="225"/>
      <c r="AM393" s="225">
        <v>-4239.6000000000004</v>
      </c>
      <c r="AN393" s="225">
        <v>-12171.4</v>
      </c>
      <c r="AO393" s="225">
        <v>0</v>
      </c>
      <c r="AP393" s="225"/>
      <c r="AQ393" s="225"/>
      <c r="AR393" s="225"/>
      <c r="AS393" s="225"/>
      <c r="AT393" s="248">
        <v>0</v>
      </c>
      <c r="AU393" s="248">
        <v>0</v>
      </c>
      <c r="AV393" s="248">
        <v>0</v>
      </c>
      <c r="AW393" s="227">
        <f t="shared" si="170"/>
        <v>0</v>
      </c>
      <c r="AX393" s="249">
        <v>0</v>
      </c>
      <c r="AY393" s="225">
        <v>0</v>
      </c>
      <c r="AZ393" s="227"/>
      <c r="BA393" s="250">
        <v>0</v>
      </c>
      <c r="BB393" s="225">
        <v>0</v>
      </c>
      <c r="BC393" s="225">
        <v>0</v>
      </c>
      <c r="BD393" s="225">
        <v>0</v>
      </c>
      <c r="BE393" s="225"/>
      <c r="BF393" s="225"/>
      <c r="BG393" s="225">
        <v>0</v>
      </c>
      <c r="BH393" s="225">
        <v>0</v>
      </c>
      <c r="BI393" s="225">
        <v>0</v>
      </c>
      <c r="BJ393" s="248"/>
      <c r="BK393" s="248"/>
      <c r="BL393" s="248"/>
      <c r="BM393" s="248">
        <f t="shared" si="171"/>
        <v>0</v>
      </c>
      <c r="BN393" s="249"/>
      <c r="BO393" s="225"/>
      <c r="BP393" s="248"/>
      <c r="BQ393" s="249"/>
      <c r="BR393" s="225"/>
      <c r="BS393" s="225"/>
      <c r="BT393" s="225"/>
      <c r="BU393" s="225"/>
      <c r="BV393" s="225"/>
      <c r="BW393" s="225"/>
      <c r="BX393" s="225"/>
      <c r="BY393" s="225"/>
      <c r="BZ393" s="225"/>
      <c r="CA393" s="225"/>
      <c r="CB393" s="225"/>
      <c r="CC393" s="227">
        <f t="shared" si="152"/>
        <v>0</v>
      </c>
      <c r="CD393" s="244"/>
      <c r="CE393" s="244"/>
      <c r="CF393" s="244"/>
    </row>
    <row r="394" spans="1:84" x14ac:dyDescent="0.2">
      <c r="A394" s="245" t="s">
        <v>25</v>
      </c>
      <c r="B394" s="247" t="s">
        <v>306</v>
      </c>
      <c r="C394" s="246" t="s">
        <v>103</v>
      </c>
      <c r="D394" s="246" t="s">
        <v>286</v>
      </c>
      <c r="E394" s="247" t="s">
        <v>228</v>
      </c>
      <c r="F394" s="247" t="s">
        <v>716</v>
      </c>
      <c r="G394" s="233" t="str">
        <f t="shared" si="163"/>
        <v>1</v>
      </c>
      <c r="H394" s="233" t="str">
        <f t="shared" si="164"/>
        <v>0</v>
      </c>
      <c r="I394" s="233" t="str">
        <f t="shared" si="165"/>
        <v>0</v>
      </c>
      <c r="J394" s="233" t="str">
        <f t="shared" si="166"/>
        <v>0</v>
      </c>
      <c r="K394" s="233" t="str">
        <f t="shared" si="167"/>
        <v>1000</v>
      </c>
      <c r="L394" s="247" t="str">
        <f t="shared" si="168"/>
        <v>14205354Turnaround Network</v>
      </c>
      <c r="M394" s="225">
        <v>101511</v>
      </c>
      <c r="N394" s="225"/>
      <c r="O394" s="225"/>
      <c r="P394" s="225"/>
      <c r="Q394" s="225">
        <f>SUM(M394:P394)</f>
        <v>101511</v>
      </c>
      <c r="R394" s="225"/>
      <c r="S394" s="225">
        <v>0</v>
      </c>
      <c r="T394" s="225"/>
      <c r="U394" s="225"/>
      <c r="V394" s="225"/>
      <c r="W394" s="225">
        <v>-2955</v>
      </c>
      <c r="X394" s="225">
        <v>-8141</v>
      </c>
      <c r="Y394" s="225">
        <v>-13550</v>
      </c>
      <c r="Z394" s="225">
        <v>-6620</v>
      </c>
      <c r="AA394" s="225">
        <v>-1671</v>
      </c>
      <c r="AB394" s="225">
        <v>-5145</v>
      </c>
      <c r="AC394" s="225">
        <v>-2158</v>
      </c>
      <c r="AD394" s="225">
        <v>-1404</v>
      </c>
      <c r="AE394" s="225">
        <v>-7084</v>
      </c>
      <c r="AF394" s="225">
        <f t="shared" si="169"/>
        <v>52783</v>
      </c>
      <c r="AG394" s="225">
        <v>30000</v>
      </c>
      <c r="AH394" s="225">
        <v>0</v>
      </c>
      <c r="AI394" s="225"/>
      <c r="AJ394" s="225">
        <v>-5783</v>
      </c>
      <c r="AK394" s="225"/>
      <c r="AL394" s="225"/>
      <c r="AM394" s="225">
        <v>-23763.9</v>
      </c>
      <c r="AN394" s="225">
        <v>-23236.1</v>
      </c>
      <c r="AO394" s="225">
        <v>0</v>
      </c>
      <c r="AP394" s="225">
        <v>-1974.15</v>
      </c>
      <c r="AQ394" s="225">
        <v>-9801.6</v>
      </c>
      <c r="AR394" s="225">
        <v>-1358.47</v>
      </c>
      <c r="AS394" s="225">
        <v>-4475.59</v>
      </c>
      <c r="AT394" s="248">
        <v>-2366.3000000000002</v>
      </c>
      <c r="AU394" s="248">
        <v>-5369.14</v>
      </c>
      <c r="AV394" s="248">
        <v>-4643.46</v>
      </c>
      <c r="AW394" s="227">
        <f t="shared" si="170"/>
        <v>11.289999999999054</v>
      </c>
      <c r="AX394" s="249">
        <v>0</v>
      </c>
      <c r="AY394" s="225">
        <v>0</v>
      </c>
      <c r="AZ394" s="227"/>
      <c r="BA394" s="250">
        <v>0</v>
      </c>
      <c r="BB394" s="225">
        <v>0</v>
      </c>
      <c r="BC394" s="225">
        <v>-11.29</v>
      </c>
      <c r="BD394" s="225">
        <v>0</v>
      </c>
      <c r="BE394" s="225"/>
      <c r="BF394" s="225"/>
      <c r="BG394" s="225">
        <v>0</v>
      </c>
      <c r="BH394" s="225">
        <v>0</v>
      </c>
      <c r="BI394" s="225">
        <v>0</v>
      </c>
      <c r="BJ394" s="248"/>
      <c r="BK394" s="248"/>
      <c r="BL394" s="248"/>
      <c r="BM394" s="248">
        <f t="shared" si="171"/>
        <v>-9.4502183856093325E-13</v>
      </c>
      <c r="BN394" s="249"/>
      <c r="BO394" s="225"/>
      <c r="BP394" s="248"/>
      <c r="BQ394" s="249"/>
      <c r="BR394" s="225"/>
      <c r="BS394" s="225"/>
      <c r="BT394" s="225"/>
      <c r="BU394" s="225"/>
      <c r="BV394" s="225"/>
      <c r="BW394" s="225"/>
      <c r="BX394" s="225"/>
      <c r="BY394" s="225"/>
      <c r="BZ394" s="225"/>
      <c r="CA394" s="225"/>
      <c r="CB394" s="225"/>
      <c r="CC394" s="227">
        <f t="shared" si="152"/>
        <v>-9.4502183856093325E-13</v>
      </c>
      <c r="CD394" s="244"/>
      <c r="CE394" s="244"/>
      <c r="CF394" s="244"/>
    </row>
    <row r="395" spans="1:84" x14ac:dyDescent="0.2">
      <c r="A395" s="245" t="s">
        <v>25</v>
      </c>
      <c r="B395" s="247" t="s">
        <v>240</v>
      </c>
      <c r="C395" s="246" t="s">
        <v>103</v>
      </c>
      <c r="D395" s="246" t="s">
        <v>258</v>
      </c>
      <c r="E395" s="247" t="s">
        <v>228</v>
      </c>
      <c r="F395" s="247" t="s">
        <v>716</v>
      </c>
      <c r="G395" s="233" t="str">
        <f t="shared" si="163"/>
        <v>0</v>
      </c>
      <c r="H395" s="233" t="str">
        <f t="shared" si="164"/>
        <v>0</v>
      </c>
      <c r="I395" s="233" t="str">
        <f t="shared" si="165"/>
        <v>0</v>
      </c>
      <c r="J395" s="233" t="str">
        <f t="shared" si="166"/>
        <v>0</v>
      </c>
      <c r="K395" s="233" t="str">
        <f t="shared" si="167"/>
        <v>0000</v>
      </c>
      <c r="L395" s="247" t="str">
        <f t="shared" si="168"/>
        <v>14205972Turnaround Network</v>
      </c>
      <c r="M395" s="225"/>
      <c r="N395" s="225"/>
      <c r="O395" s="225"/>
      <c r="P395" s="225"/>
      <c r="Q395" s="225">
        <v>7854</v>
      </c>
      <c r="R395" s="225"/>
      <c r="S395" s="225">
        <v>0</v>
      </c>
      <c r="T395" s="225"/>
      <c r="U395" s="225"/>
      <c r="V395" s="225"/>
      <c r="W395" s="225"/>
      <c r="X395" s="225"/>
      <c r="Y395" s="225"/>
      <c r="Z395" s="225"/>
      <c r="AA395" s="225"/>
      <c r="AB395" s="225"/>
      <c r="AC395" s="225"/>
      <c r="AD395" s="225"/>
      <c r="AE395" s="225"/>
      <c r="AF395" s="225">
        <f t="shared" si="169"/>
        <v>7854</v>
      </c>
      <c r="AG395" s="225"/>
      <c r="AH395" s="225">
        <v>0</v>
      </c>
      <c r="AI395" s="225"/>
      <c r="AJ395" s="225"/>
      <c r="AK395" s="225"/>
      <c r="AL395" s="225"/>
      <c r="AM395" s="225"/>
      <c r="AN395" s="225">
        <v>-7854</v>
      </c>
      <c r="AO395" s="225">
        <v>0</v>
      </c>
      <c r="AP395" s="225"/>
      <c r="AQ395" s="225"/>
      <c r="AR395" s="225"/>
      <c r="AS395" s="225"/>
      <c r="AT395" s="248">
        <v>0</v>
      </c>
      <c r="AU395" s="248">
        <v>0</v>
      </c>
      <c r="AV395" s="248">
        <v>0</v>
      </c>
      <c r="AW395" s="227">
        <f t="shared" si="170"/>
        <v>0</v>
      </c>
      <c r="AX395" s="249">
        <v>0</v>
      </c>
      <c r="AY395" s="225">
        <v>0</v>
      </c>
      <c r="AZ395" s="227"/>
      <c r="BA395" s="250">
        <v>0</v>
      </c>
      <c r="BB395" s="225">
        <v>0</v>
      </c>
      <c r="BC395" s="225">
        <v>0</v>
      </c>
      <c r="BD395" s="225">
        <v>0</v>
      </c>
      <c r="BE395" s="225"/>
      <c r="BF395" s="225"/>
      <c r="BG395" s="225">
        <v>0</v>
      </c>
      <c r="BH395" s="225">
        <v>0</v>
      </c>
      <c r="BI395" s="225">
        <v>0</v>
      </c>
      <c r="BJ395" s="248"/>
      <c r="BK395" s="248"/>
      <c r="BL395" s="248"/>
      <c r="BM395" s="248">
        <f t="shared" si="171"/>
        <v>0</v>
      </c>
      <c r="BN395" s="249"/>
      <c r="BO395" s="225"/>
      <c r="BP395" s="248"/>
      <c r="BQ395" s="249"/>
      <c r="BR395" s="225"/>
      <c r="BS395" s="225"/>
      <c r="BT395" s="225"/>
      <c r="BU395" s="225"/>
      <c r="BV395" s="225"/>
      <c r="BW395" s="225"/>
      <c r="BX395" s="225"/>
      <c r="BY395" s="225"/>
      <c r="BZ395" s="225"/>
      <c r="CA395" s="225"/>
      <c r="CB395" s="225"/>
      <c r="CC395" s="227">
        <f t="shared" si="152"/>
        <v>0</v>
      </c>
      <c r="CD395" s="244"/>
      <c r="CE395" s="244"/>
      <c r="CF395" s="244"/>
    </row>
    <row r="396" spans="1:84" x14ac:dyDescent="0.2">
      <c r="A396" s="245" t="s">
        <v>25</v>
      </c>
      <c r="B396" s="247" t="s">
        <v>240</v>
      </c>
      <c r="C396" s="246" t="s">
        <v>103</v>
      </c>
      <c r="D396" s="246" t="s">
        <v>258</v>
      </c>
      <c r="E396" s="247" t="s">
        <v>228</v>
      </c>
      <c r="F396" s="247" t="s">
        <v>716</v>
      </c>
      <c r="G396" s="233" t="str">
        <f t="shared" si="163"/>
        <v>1</v>
      </c>
      <c r="H396" s="233" t="str">
        <f t="shared" si="164"/>
        <v>0</v>
      </c>
      <c r="I396" s="233" t="str">
        <f t="shared" si="165"/>
        <v>0</v>
      </c>
      <c r="J396" s="233" t="str">
        <f t="shared" si="166"/>
        <v>0</v>
      </c>
      <c r="K396" s="233" t="str">
        <f t="shared" si="167"/>
        <v>1000</v>
      </c>
      <c r="L396" s="247" t="str">
        <f t="shared" si="168"/>
        <v>14205972Turnaround Network</v>
      </c>
      <c r="M396" s="225">
        <v>101501</v>
      </c>
      <c r="N396" s="225"/>
      <c r="O396" s="225"/>
      <c r="P396" s="225"/>
      <c r="Q396" s="225">
        <f>SUM(M396:P396)</f>
        <v>101501</v>
      </c>
      <c r="R396" s="225"/>
      <c r="S396" s="225">
        <v>0</v>
      </c>
      <c r="T396" s="225"/>
      <c r="U396" s="225"/>
      <c r="V396" s="225"/>
      <c r="W396" s="225">
        <v>-14637</v>
      </c>
      <c r="X396" s="225"/>
      <c r="Y396" s="225">
        <v>-16000</v>
      </c>
      <c r="Z396" s="225">
        <v>-899</v>
      </c>
      <c r="AA396" s="225"/>
      <c r="AB396" s="225"/>
      <c r="AC396" s="225"/>
      <c r="AD396" s="225">
        <v>-295</v>
      </c>
      <c r="AE396" s="225">
        <v>-887</v>
      </c>
      <c r="AF396" s="225">
        <f t="shared" si="169"/>
        <v>68783</v>
      </c>
      <c r="AG396" s="225">
        <v>30000</v>
      </c>
      <c r="AH396" s="225">
        <v>0</v>
      </c>
      <c r="AI396" s="225"/>
      <c r="AJ396" s="225"/>
      <c r="AK396" s="225"/>
      <c r="AL396" s="225"/>
      <c r="AM396" s="225">
        <v>-2392.62</v>
      </c>
      <c r="AN396" s="225">
        <v>-46183.5</v>
      </c>
      <c r="AO396" s="225">
        <v>0</v>
      </c>
      <c r="AP396" s="225">
        <v>-573.88</v>
      </c>
      <c r="AQ396" s="225">
        <v>-8990.4599999999991</v>
      </c>
      <c r="AR396" s="225">
        <v>-531.04999999999995</v>
      </c>
      <c r="AS396" s="225"/>
      <c r="AT396" s="248">
        <v>0</v>
      </c>
      <c r="AU396" s="248">
        <v>0</v>
      </c>
      <c r="AV396" s="248">
        <v>0</v>
      </c>
      <c r="AW396" s="227">
        <f t="shared" si="170"/>
        <v>40111.490000000005</v>
      </c>
      <c r="AX396" s="249">
        <v>0</v>
      </c>
      <c r="AY396" s="225">
        <v>0</v>
      </c>
      <c r="AZ396" s="227"/>
      <c r="BA396" s="250">
        <v>-10111.49</v>
      </c>
      <c r="BB396" s="225">
        <v>-9793.1200000000008</v>
      </c>
      <c r="BC396" s="225">
        <v>-9793.1200000000008</v>
      </c>
      <c r="BD396" s="225">
        <v>0</v>
      </c>
      <c r="BE396" s="225"/>
      <c r="BF396" s="225"/>
      <c r="BG396" s="225">
        <v>0</v>
      </c>
      <c r="BH396" s="225">
        <v>0</v>
      </c>
      <c r="BI396" s="225">
        <v>0</v>
      </c>
      <c r="BJ396" s="248"/>
      <c r="BK396" s="248"/>
      <c r="BL396" s="248"/>
      <c r="BM396" s="248">
        <f t="shared" si="171"/>
        <v>10413.760000000004</v>
      </c>
      <c r="BN396" s="249"/>
      <c r="BO396" s="225"/>
      <c r="BP396" s="248"/>
      <c r="BQ396" s="249"/>
      <c r="BR396" s="225"/>
      <c r="BS396" s="225"/>
      <c r="BT396" s="225"/>
      <c r="BU396" s="225"/>
      <c r="BV396" s="225"/>
      <c r="BW396" s="225"/>
      <c r="BX396" s="225"/>
      <c r="BY396" s="225"/>
      <c r="BZ396" s="225"/>
      <c r="CA396" s="225"/>
      <c r="CB396" s="225"/>
      <c r="CC396" s="227">
        <f t="shared" si="152"/>
        <v>10413.760000000004</v>
      </c>
      <c r="CD396" s="244"/>
      <c r="CE396" s="244"/>
      <c r="CF396" s="244"/>
    </row>
    <row r="397" spans="1:84" x14ac:dyDescent="0.2">
      <c r="A397" s="245" t="s">
        <v>25</v>
      </c>
      <c r="B397" s="247" t="s">
        <v>498</v>
      </c>
      <c r="C397" s="246" t="s">
        <v>103</v>
      </c>
      <c r="D397" s="246" t="s">
        <v>499</v>
      </c>
      <c r="E397" s="247" t="s">
        <v>228</v>
      </c>
      <c r="F397" s="247" t="s">
        <v>716</v>
      </c>
      <c r="G397" s="233" t="str">
        <f t="shared" si="163"/>
        <v>0</v>
      </c>
      <c r="H397" s="233" t="str">
        <f t="shared" si="164"/>
        <v>0</v>
      </c>
      <c r="I397" s="233" t="str">
        <f t="shared" si="165"/>
        <v>0</v>
      </c>
      <c r="J397" s="233" t="str">
        <f t="shared" si="166"/>
        <v>0</v>
      </c>
      <c r="K397" s="233" t="str">
        <f t="shared" si="167"/>
        <v>0000</v>
      </c>
      <c r="L397" s="247" t="str">
        <f t="shared" si="168"/>
        <v>14206090Turnaround Network</v>
      </c>
      <c r="M397" s="225"/>
      <c r="N397" s="225"/>
      <c r="O397" s="225"/>
      <c r="P397" s="225"/>
      <c r="Q397" s="225">
        <f>SUM(M397:P397)</f>
        <v>0</v>
      </c>
      <c r="R397" s="225"/>
      <c r="S397" s="225">
        <v>0</v>
      </c>
      <c r="T397" s="225"/>
      <c r="U397" s="225"/>
      <c r="V397" s="225"/>
      <c r="W397" s="225"/>
      <c r="X397" s="225"/>
      <c r="Y397" s="225"/>
      <c r="Z397" s="225"/>
      <c r="AA397" s="225"/>
      <c r="AB397" s="225"/>
      <c r="AC397" s="225"/>
      <c r="AD397" s="225"/>
      <c r="AE397" s="225"/>
      <c r="AF397" s="225">
        <f t="shared" si="169"/>
        <v>0</v>
      </c>
      <c r="AG397" s="225"/>
      <c r="AH397" s="225">
        <v>30000</v>
      </c>
      <c r="AI397" s="225"/>
      <c r="AJ397" s="225"/>
      <c r="AK397" s="225"/>
      <c r="AL397" s="225"/>
      <c r="AM397" s="225"/>
      <c r="AN397" s="225">
        <v>0</v>
      </c>
      <c r="AO397" s="225">
        <v>0</v>
      </c>
      <c r="AP397" s="225"/>
      <c r="AQ397" s="225"/>
      <c r="AR397" s="225"/>
      <c r="AS397" s="225"/>
      <c r="AT397" s="248">
        <v>0</v>
      </c>
      <c r="AU397" s="248">
        <v>0</v>
      </c>
      <c r="AV397" s="248">
        <v>0</v>
      </c>
      <c r="AW397" s="227">
        <f t="shared" si="170"/>
        <v>30000</v>
      </c>
      <c r="AX397" s="249">
        <v>0</v>
      </c>
      <c r="AY397" s="225">
        <v>0</v>
      </c>
      <c r="AZ397" s="227"/>
      <c r="BA397" s="250">
        <v>0</v>
      </c>
      <c r="BB397" s="225">
        <v>0</v>
      </c>
      <c r="BC397" s="225">
        <v>0</v>
      </c>
      <c r="BD397" s="225">
        <v>0</v>
      </c>
      <c r="BE397" s="225"/>
      <c r="BF397" s="225"/>
      <c r="BG397" s="225">
        <v>0</v>
      </c>
      <c r="BH397" s="225">
        <v>0</v>
      </c>
      <c r="BI397" s="225">
        <v>0</v>
      </c>
      <c r="BJ397" s="248"/>
      <c r="BK397" s="248"/>
      <c r="BL397" s="248"/>
      <c r="BM397" s="248">
        <f t="shared" si="171"/>
        <v>30000</v>
      </c>
      <c r="BN397" s="249"/>
      <c r="BO397" s="225"/>
      <c r="BP397" s="248"/>
      <c r="BQ397" s="249"/>
      <c r="BR397" s="225"/>
      <c r="BS397" s="225"/>
      <c r="BT397" s="225"/>
      <c r="BU397" s="225"/>
      <c r="BV397" s="225"/>
      <c r="BW397" s="225">
        <v>-30000</v>
      </c>
      <c r="BX397" s="225"/>
      <c r="BY397" s="225"/>
      <c r="BZ397" s="225"/>
      <c r="CA397" s="225"/>
      <c r="CB397" s="225"/>
      <c r="CC397" s="227">
        <f t="shared" si="152"/>
        <v>0</v>
      </c>
      <c r="CD397" s="244"/>
      <c r="CE397" s="244"/>
      <c r="CF397" s="244"/>
    </row>
    <row r="398" spans="1:84" x14ac:dyDescent="0.2">
      <c r="A398" s="245" t="s">
        <v>385</v>
      </c>
      <c r="B398" s="246" t="s">
        <v>34</v>
      </c>
      <c r="C398" s="246" t="s">
        <v>526</v>
      </c>
      <c r="D398" s="246" t="s">
        <v>111</v>
      </c>
      <c r="E398" s="246" t="s">
        <v>524</v>
      </c>
      <c r="F398" s="246" t="s">
        <v>713</v>
      </c>
      <c r="G398" s="233" t="str">
        <f t="shared" si="163"/>
        <v>0</v>
      </c>
      <c r="H398" s="233" t="str">
        <f t="shared" si="164"/>
        <v>1</v>
      </c>
      <c r="I398" s="233" t="str">
        <f t="shared" si="165"/>
        <v>0</v>
      </c>
      <c r="J398" s="233" t="str">
        <f t="shared" si="166"/>
        <v>0</v>
      </c>
      <c r="K398" s="233" t="str">
        <f t="shared" si="167"/>
        <v>0100</v>
      </c>
      <c r="L398" s="246" t="str">
        <f t="shared" si="168"/>
        <v>3140N/AEASI MTSS</v>
      </c>
      <c r="M398" s="225"/>
      <c r="N398" s="225"/>
      <c r="O398" s="225"/>
      <c r="P398" s="225"/>
      <c r="Q398" s="225">
        <f>SUM(M398:P398)</f>
        <v>0</v>
      </c>
      <c r="R398" s="225"/>
      <c r="S398" s="225">
        <v>5480</v>
      </c>
      <c r="T398" s="225"/>
      <c r="U398" s="225"/>
      <c r="V398" s="225"/>
      <c r="W398" s="225"/>
      <c r="X398" s="225"/>
      <c r="Y398" s="225"/>
      <c r="Z398" s="225"/>
      <c r="AA398" s="225"/>
      <c r="AB398" s="225"/>
      <c r="AC398" s="225"/>
      <c r="AD398" s="225"/>
      <c r="AE398" s="225"/>
      <c r="AF398" s="225">
        <f t="shared" si="169"/>
        <v>5480</v>
      </c>
      <c r="AG398" s="225"/>
      <c r="AH398" s="225">
        <v>70930</v>
      </c>
      <c r="AI398" s="225"/>
      <c r="AJ398" s="225"/>
      <c r="AK398" s="225"/>
      <c r="AL398" s="225"/>
      <c r="AM398" s="225"/>
      <c r="AN398" s="225">
        <v>-145.08000000000001</v>
      </c>
      <c r="AO398" s="225">
        <v>0</v>
      </c>
      <c r="AP398" s="225"/>
      <c r="AQ398" s="225"/>
      <c r="AR398" s="225"/>
      <c r="AS398" s="225">
        <v>-28371.360000000001</v>
      </c>
      <c r="AT398" s="248">
        <v>-923.67</v>
      </c>
      <c r="AU398" s="248">
        <v>0</v>
      </c>
      <c r="AV398" s="248">
        <v>-22552.04</v>
      </c>
      <c r="AW398" s="227">
        <f t="shared" si="170"/>
        <v>24417.85</v>
      </c>
      <c r="AX398" s="249">
        <v>59590</v>
      </c>
      <c r="AY398" s="225">
        <v>0</v>
      </c>
      <c r="AZ398" s="227"/>
      <c r="BA398" s="250">
        <v>0</v>
      </c>
      <c r="BB398" s="225">
        <v>0</v>
      </c>
      <c r="BC398" s="225">
        <v>-17127.28</v>
      </c>
      <c r="BD398" s="225">
        <v>-2158.94</v>
      </c>
      <c r="BE398" s="225"/>
      <c r="BF398" s="225"/>
      <c r="BG398" s="225">
        <v>0</v>
      </c>
      <c r="BH398" s="225">
        <v>0</v>
      </c>
      <c r="BI398" s="225">
        <v>0</v>
      </c>
      <c r="BJ398" s="248"/>
      <c r="BK398" s="248">
        <v>-58221.24</v>
      </c>
      <c r="BL398" s="248">
        <v>-5590.76</v>
      </c>
      <c r="BM398" s="248">
        <f t="shared" si="171"/>
        <v>909.63000000000648</v>
      </c>
      <c r="BN398" s="249"/>
      <c r="BO398" s="225"/>
      <c r="BP398" s="248">
        <v>65000</v>
      </c>
      <c r="BQ398" s="249">
        <v>-909.63</v>
      </c>
      <c r="BR398" s="225"/>
      <c r="BS398" s="225"/>
      <c r="BT398" s="225"/>
      <c r="BU398" s="252">
        <v>-16157.83</v>
      </c>
      <c r="BV398" s="225">
        <v>-5381.77</v>
      </c>
      <c r="BW398" s="225"/>
      <c r="BX398" s="244">
        <f>-5381.77-5381.77</f>
        <v>-10763.54</v>
      </c>
      <c r="BY398" s="225"/>
      <c r="BZ398" s="225"/>
      <c r="CA398" s="225"/>
      <c r="CB398" s="225"/>
      <c r="CC398" s="227">
        <f t="shared" si="152"/>
        <v>32696.860000000008</v>
      </c>
      <c r="CD398" s="244"/>
      <c r="CE398" s="244"/>
      <c r="CF398" s="244"/>
    </row>
    <row r="399" spans="1:84" x14ac:dyDescent="0.2">
      <c r="A399" s="245" t="s">
        <v>25</v>
      </c>
      <c r="B399" s="247" t="s">
        <v>241</v>
      </c>
      <c r="C399" s="246" t="s">
        <v>103</v>
      </c>
      <c r="D399" s="246" t="s">
        <v>259</v>
      </c>
      <c r="E399" s="247" t="s">
        <v>228</v>
      </c>
      <c r="F399" s="247" t="s">
        <v>716</v>
      </c>
      <c r="G399" s="233" t="str">
        <f t="shared" si="163"/>
        <v>1</v>
      </c>
      <c r="H399" s="233" t="str">
        <f t="shared" si="164"/>
        <v>0</v>
      </c>
      <c r="I399" s="233" t="str">
        <f t="shared" si="165"/>
        <v>0</v>
      </c>
      <c r="J399" s="233" t="str">
        <f t="shared" si="166"/>
        <v>0</v>
      </c>
      <c r="K399" s="233" t="str">
        <f t="shared" si="167"/>
        <v>1000</v>
      </c>
      <c r="L399" s="247" t="str">
        <f t="shared" si="168"/>
        <v>14209154Turnaround Network</v>
      </c>
      <c r="M399" s="225">
        <v>52810</v>
      </c>
      <c r="N399" s="225"/>
      <c r="O399" s="225"/>
      <c r="P399" s="225"/>
      <c r="Q399" s="225">
        <f>SUM(M399:P399)</f>
        <v>52810</v>
      </c>
      <c r="R399" s="225"/>
      <c r="S399" s="225">
        <v>0</v>
      </c>
      <c r="T399" s="225"/>
      <c r="U399" s="225"/>
      <c r="V399" s="225"/>
      <c r="W399" s="225">
        <v>-11155</v>
      </c>
      <c r="X399" s="225">
        <v>-1011</v>
      </c>
      <c r="Y399" s="225">
        <v>-2221</v>
      </c>
      <c r="Z399" s="225">
        <v>-146</v>
      </c>
      <c r="AA399" s="225"/>
      <c r="AB399" s="225">
        <v>-231</v>
      </c>
      <c r="AC399" s="225">
        <v>-524</v>
      </c>
      <c r="AD399" s="225">
        <v>-3913</v>
      </c>
      <c r="AE399" s="225"/>
      <c r="AF399" s="225">
        <f t="shared" si="169"/>
        <v>33609</v>
      </c>
      <c r="AG399" s="225"/>
      <c r="AH399" s="225">
        <v>0</v>
      </c>
      <c r="AI399" s="225"/>
      <c r="AJ399" s="225">
        <v>-5170</v>
      </c>
      <c r="AK399" s="225"/>
      <c r="AL399" s="225">
        <v>-15976</v>
      </c>
      <c r="AM399" s="225">
        <v>-12463</v>
      </c>
      <c r="AN399" s="225">
        <v>0</v>
      </c>
      <c r="AO399" s="225">
        <v>0</v>
      </c>
      <c r="AP399" s="225"/>
      <c r="AQ399" s="225"/>
      <c r="AR399" s="225"/>
      <c r="AS399" s="225"/>
      <c r="AT399" s="248">
        <v>0</v>
      </c>
      <c r="AU399" s="248">
        <v>0</v>
      </c>
      <c r="AV399" s="248">
        <v>0</v>
      </c>
      <c r="AW399" s="227">
        <f t="shared" si="170"/>
        <v>0</v>
      </c>
      <c r="AX399" s="249">
        <v>0</v>
      </c>
      <c r="AY399" s="225">
        <v>0</v>
      </c>
      <c r="AZ399" s="227"/>
      <c r="BA399" s="250">
        <v>0</v>
      </c>
      <c r="BB399" s="225">
        <v>0</v>
      </c>
      <c r="BC399" s="225">
        <v>0</v>
      </c>
      <c r="BD399" s="225">
        <v>0</v>
      </c>
      <c r="BE399" s="225"/>
      <c r="BF399" s="225"/>
      <c r="BG399" s="225">
        <v>0</v>
      </c>
      <c r="BH399" s="225">
        <v>0</v>
      </c>
      <c r="BI399" s="225">
        <v>0</v>
      </c>
      <c r="BJ399" s="248"/>
      <c r="BK399" s="248"/>
      <c r="BL399" s="248"/>
      <c r="BM399" s="248">
        <f t="shared" si="171"/>
        <v>0</v>
      </c>
      <c r="BN399" s="249"/>
      <c r="BO399" s="225"/>
      <c r="BP399" s="248"/>
      <c r="BQ399" s="249"/>
      <c r="BR399" s="225"/>
      <c r="BS399" s="225"/>
      <c r="BT399" s="225"/>
      <c r="BU399" s="225"/>
      <c r="BV399" s="225"/>
      <c r="BW399" s="225"/>
      <c r="BX399" s="225"/>
      <c r="BY399" s="225"/>
      <c r="BZ399" s="225"/>
      <c r="CA399" s="225"/>
      <c r="CB399" s="225"/>
      <c r="CC399" s="227">
        <f t="shared" si="152"/>
        <v>0</v>
      </c>
      <c r="CD399" s="244"/>
      <c r="CE399" s="244"/>
      <c r="CF399" s="244"/>
    </row>
    <row r="400" spans="1:84" x14ac:dyDescent="0.2">
      <c r="A400" s="245" t="s">
        <v>12</v>
      </c>
      <c r="B400" s="247" t="s">
        <v>651</v>
      </c>
      <c r="C400" s="246" t="s">
        <v>93</v>
      </c>
      <c r="D400" s="246" t="s">
        <v>662</v>
      </c>
      <c r="E400" s="247" t="s">
        <v>456</v>
      </c>
      <c r="F400" s="247"/>
      <c r="G400" s="233"/>
      <c r="H400" s="233"/>
      <c r="I400" s="233"/>
      <c r="J400" s="233"/>
      <c r="K400" s="233"/>
      <c r="L400" s="247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  <c r="AA400" s="225"/>
      <c r="AB400" s="225"/>
      <c r="AC400" s="225"/>
      <c r="AD400" s="225"/>
      <c r="AE400" s="225"/>
      <c r="AF400" s="225"/>
      <c r="AG400" s="225"/>
      <c r="AH400" s="225"/>
      <c r="AI400" s="225"/>
      <c r="AJ400" s="225"/>
      <c r="AK400" s="225"/>
      <c r="AL400" s="225"/>
      <c r="AM400" s="225"/>
      <c r="AN400" s="225"/>
      <c r="AO400" s="225"/>
      <c r="AP400" s="225"/>
      <c r="AQ400" s="225"/>
      <c r="AR400" s="225"/>
      <c r="AS400" s="225"/>
      <c r="AT400" s="248"/>
      <c r="AU400" s="248"/>
      <c r="AV400" s="248"/>
      <c r="AW400" s="227"/>
      <c r="AX400" s="249"/>
      <c r="AY400" s="225"/>
      <c r="AZ400" s="227">
        <v>22875</v>
      </c>
      <c r="BA400" s="250"/>
      <c r="BB400" s="225"/>
      <c r="BC400" s="225"/>
      <c r="BD400" s="225"/>
      <c r="BE400" s="225"/>
      <c r="BF400" s="225"/>
      <c r="BG400" s="225"/>
      <c r="BH400" s="225"/>
      <c r="BI400" s="225"/>
      <c r="BJ400" s="248"/>
      <c r="BK400" s="248"/>
      <c r="BL400" s="248">
        <v>0</v>
      </c>
      <c r="BM400" s="248">
        <f t="shared" si="171"/>
        <v>22875</v>
      </c>
      <c r="BN400" s="249"/>
      <c r="BO400" s="225"/>
      <c r="BP400" s="262">
        <v>50750</v>
      </c>
      <c r="BQ400" s="249"/>
      <c r="BR400" s="225"/>
      <c r="BS400" s="225"/>
      <c r="BT400" s="225"/>
      <c r="BU400" s="244"/>
      <c r="BV400" s="244">
        <v>-6467.16</v>
      </c>
      <c r="BW400" s="225">
        <v>-15190.9</v>
      </c>
      <c r="BX400" s="225">
        <v>-8076.48</v>
      </c>
      <c r="BY400" s="225"/>
      <c r="BZ400" s="225"/>
      <c r="CA400" s="225"/>
      <c r="CB400" s="225"/>
      <c r="CC400" s="227">
        <f t="shared" si="152"/>
        <v>43890.459999999992</v>
      </c>
      <c r="CD400" s="244"/>
      <c r="CE400" s="244"/>
      <c r="CF400" s="244"/>
    </row>
    <row r="401" spans="1:85" x14ac:dyDescent="0.2">
      <c r="A401" s="245" t="s">
        <v>222</v>
      </c>
      <c r="B401" s="246" t="s">
        <v>442</v>
      </c>
      <c r="C401" s="246" t="s">
        <v>223</v>
      </c>
      <c r="D401" s="246" t="s">
        <v>501</v>
      </c>
      <c r="E401" s="247" t="s">
        <v>228</v>
      </c>
      <c r="F401" s="247" t="s">
        <v>716</v>
      </c>
      <c r="G401" s="233" t="str">
        <f t="shared" ref="G401:G413" si="172">IF(M401&gt;0, "1", "0")</f>
        <v>0</v>
      </c>
      <c r="H401" s="233" t="str">
        <f t="shared" ref="H401:H413" si="173">IF(S401&gt;0, "1", "0")</f>
        <v>1</v>
      </c>
      <c r="I401" s="233" t="str">
        <f t="shared" ref="I401:I413" si="174">IF(AI401&gt;0, "1", "0")</f>
        <v>0</v>
      </c>
      <c r="J401" s="233" t="str">
        <f t="shared" ref="J401:J413" si="175">IF(AZ401&gt;0, "1", "0")</f>
        <v>0</v>
      </c>
      <c r="K401" s="233" t="str">
        <f t="shared" ref="K401:K413" si="176">CONCATENATE(G401,H401,I401,J401)</f>
        <v>0100</v>
      </c>
      <c r="L401" s="247" t="str">
        <f t="shared" ref="L401:L413" si="177">A401&amp;B401&amp;E401</f>
        <v>15600510Turnaround Network</v>
      </c>
      <c r="M401" s="225"/>
      <c r="N401" s="225"/>
      <c r="O401" s="225"/>
      <c r="P401" s="225"/>
      <c r="Q401" s="225">
        <f t="shared" ref="Q401" si="178">SUM(M401:P401)</f>
        <v>0</v>
      </c>
      <c r="R401" s="225"/>
      <c r="S401" s="225">
        <v>30000</v>
      </c>
      <c r="T401" s="225"/>
      <c r="U401" s="225"/>
      <c r="V401" s="225"/>
      <c r="W401" s="225"/>
      <c r="X401" s="225"/>
      <c r="Y401" s="225"/>
      <c r="Z401" s="225"/>
      <c r="AA401" s="225"/>
      <c r="AB401" s="225"/>
      <c r="AC401" s="225"/>
      <c r="AD401" s="225"/>
      <c r="AE401" s="225"/>
      <c r="AF401" s="225">
        <f t="shared" ref="AF401:AF413" si="179">SUM(Q401:AE401)</f>
        <v>30000</v>
      </c>
      <c r="AG401" s="225"/>
      <c r="AH401" s="225">
        <v>0</v>
      </c>
      <c r="AI401" s="225"/>
      <c r="AJ401" s="225">
        <v>-5789.06</v>
      </c>
      <c r="AK401" s="225"/>
      <c r="AL401" s="225">
        <v>-4617.3999999999996</v>
      </c>
      <c r="AM401" s="225">
        <v>-2800</v>
      </c>
      <c r="AN401" s="225">
        <v>0</v>
      </c>
      <c r="AO401" s="225">
        <v>0</v>
      </c>
      <c r="AP401" s="225">
        <v>-8812.8900000000012</v>
      </c>
      <c r="AQ401" s="225"/>
      <c r="AR401" s="225"/>
      <c r="AS401" s="225"/>
      <c r="AT401" s="248">
        <v>-1799.12</v>
      </c>
      <c r="AU401" s="248">
        <v>-5271.92</v>
      </c>
      <c r="AV401" s="248">
        <v>0</v>
      </c>
      <c r="AW401" s="227">
        <f t="shared" ref="AW401:AW413" si="180">SUM(AF401:AV401)</f>
        <v>909.60999999999967</v>
      </c>
      <c r="AX401" s="249">
        <v>105459.25140000001</v>
      </c>
      <c r="AY401" s="225">
        <v>0</v>
      </c>
      <c r="AZ401" s="227"/>
      <c r="BA401" s="250">
        <v>-2285.5300000000002</v>
      </c>
      <c r="BB401" s="225">
        <v>0</v>
      </c>
      <c r="BC401" s="225">
        <v>0</v>
      </c>
      <c r="BD401" s="225">
        <v>0</v>
      </c>
      <c r="BE401" s="225"/>
      <c r="BF401" s="225">
        <v>-13419.36</v>
      </c>
      <c r="BG401" s="225">
        <v>-3253.37</v>
      </c>
      <c r="BH401" s="225">
        <v>0</v>
      </c>
      <c r="BI401" s="225">
        <v>-7028.94</v>
      </c>
      <c r="BJ401" s="248"/>
      <c r="BK401" s="248"/>
      <c r="BL401" s="248"/>
      <c r="BM401" s="248">
        <f t="shared" ref="BM401:BM413" si="181">SUM(AW401:BL401)</f>
        <v>80381.661400000012</v>
      </c>
      <c r="BN401" s="249">
        <v>36036</v>
      </c>
      <c r="BO401" s="225"/>
      <c r="BP401" s="248"/>
      <c r="BQ401" s="249">
        <v>-18782.330000000002</v>
      </c>
      <c r="BR401" s="225"/>
      <c r="BS401" s="225"/>
      <c r="BT401" s="225"/>
      <c r="BU401" s="225"/>
      <c r="BV401" s="225"/>
      <c r="BW401" s="225"/>
      <c r="BX401" s="225"/>
      <c r="BY401" s="225"/>
      <c r="BZ401" s="225"/>
      <c r="CA401" s="225"/>
      <c r="CB401" s="225"/>
      <c r="CC401" s="227">
        <f t="shared" ref="CC401:CC438" si="182">SUM(BM401:CB401)</f>
        <v>97635.33140000001</v>
      </c>
      <c r="CD401" s="244"/>
      <c r="CE401" s="244"/>
      <c r="CF401" s="244"/>
    </row>
    <row r="402" spans="1:85" x14ac:dyDescent="0.2">
      <c r="A402" s="245" t="s">
        <v>222</v>
      </c>
      <c r="B402" s="247" t="s">
        <v>242</v>
      </c>
      <c r="C402" s="246" t="s">
        <v>223</v>
      </c>
      <c r="D402" s="246" t="s">
        <v>307</v>
      </c>
      <c r="E402" s="247" t="s">
        <v>228</v>
      </c>
      <c r="F402" s="247" t="s">
        <v>716</v>
      </c>
      <c r="G402" s="233" t="str">
        <f t="shared" si="172"/>
        <v>0</v>
      </c>
      <c r="H402" s="233" t="str">
        <f t="shared" si="173"/>
        <v>0</v>
      </c>
      <c r="I402" s="233" t="str">
        <f t="shared" si="174"/>
        <v>0</v>
      </c>
      <c r="J402" s="233" t="str">
        <f t="shared" si="175"/>
        <v>0</v>
      </c>
      <c r="K402" s="233" t="str">
        <f t="shared" si="176"/>
        <v>0000</v>
      </c>
      <c r="L402" s="247" t="str">
        <f t="shared" si="177"/>
        <v>15605170Turnaround Network</v>
      </c>
      <c r="M402" s="225"/>
      <c r="N402" s="225"/>
      <c r="O402" s="225"/>
      <c r="P402" s="225"/>
      <c r="Q402" s="225">
        <v>7943</v>
      </c>
      <c r="R402" s="225"/>
      <c r="S402" s="225">
        <v>0</v>
      </c>
      <c r="T402" s="225"/>
      <c r="U402" s="225"/>
      <c r="V402" s="225"/>
      <c r="W402" s="225"/>
      <c r="X402" s="225"/>
      <c r="Y402" s="225"/>
      <c r="Z402" s="225"/>
      <c r="AA402" s="225"/>
      <c r="AB402" s="225"/>
      <c r="AC402" s="225"/>
      <c r="AD402" s="225"/>
      <c r="AE402" s="225"/>
      <c r="AF402" s="225">
        <f t="shared" si="179"/>
        <v>7943</v>
      </c>
      <c r="AG402" s="225"/>
      <c r="AH402" s="225">
        <v>0</v>
      </c>
      <c r="AI402" s="225"/>
      <c r="AJ402" s="225"/>
      <c r="AK402" s="225"/>
      <c r="AL402" s="225"/>
      <c r="AM402" s="225"/>
      <c r="AN402" s="225">
        <v>0</v>
      </c>
      <c r="AO402" s="225">
        <v>0</v>
      </c>
      <c r="AP402" s="225">
        <v>-1017.7</v>
      </c>
      <c r="AQ402" s="225">
        <v>-729.96</v>
      </c>
      <c r="AR402" s="225">
        <v>-1128.75</v>
      </c>
      <c r="AS402" s="225">
        <v>-1414.21</v>
      </c>
      <c r="AT402" s="248">
        <v>-1834.14</v>
      </c>
      <c r="AU402" s="248">
        <v>-220</v>
      </c>
      <c r="AV402" s="248">
        <v>0</v>
      </c>
      <c r="AW402" s="227">
        <f t="shared" si="180"/>
        <v>1598.24</v>
      </c>
      <c r="AX402" s="249">
        <v>0</v>
      </c>
      <c r="AY402" s="225">
        <v>0</v>
      </c>
      <c r="AZ402" s="227"/>
      <c r="BA402" s="250">
        <v>0</v>
      </c>
      <c r="BB402" s="225">
        <v>0</v>
      </c>
      <c r="BC402" s="225">
        <v>0</v>
      </c>
      <c r="BD402" s="225">
        <v>0</v>
      </c>
      <c r="BE402" s="225"/>
      <c r="BF402" s="225"/>
      <c r="BG402" s="225">
        <v>0</v>
      </c>
      <c r="BH402" s="225">
        <v>0</v>
      </c>
      <c r="BI402" s="225">
        <v>0</v>
      </c>
      <c r="BJ402" s="248"/>
      <c r="BK402" s="248"/>
      <c r="BL402" s="248"/>
      <c r="BM402" s="248">
        <f t="shared" si="181"/>
        <v>1598.24</v>
      </c>
      <c r="BN402" s="249"/>
      <c r="BO402" s="225"/>
      <c r="BP402" s="248"/>
      <c r="BQ402" s="249">
        <v>-1598.24</v>
      </c>
      <c r="BR402" s="225"/>
      <c r="BS402" s="225"/>
      <c r="BT402" s="225"/>
      <c r="BU402" s="225"/>
      <c r="BV402" s="225"/>
      <c r="BW402" s="225"/>
      <c r="BX402" s="225"/>
      <c r="BY402" s="225"/>
      <c r="BZ402" s="225"/>
      <c r="CA402" s="225"/>
      <c r="CB402" s="225"/>
      <c r="CC402" s="227">
        <f t="shared" si="182"/>
        <v>0</v>
      </c>
      <c r="CD402" s="244"/>
      <c r="CE402" s="244"/>
      <c r="CF402" s="244"/>
    </row>
    <row r="403" spans="1:85" x14ac:dyDescent="0.2">
      <c r="A403" s="245" t="s">
        <v>222</v>
      </c>
      <c r="B403" s="247" t="s">
        <v>242</v>
      </c>
      <c r="C403" s="246" t="s">
        <v>223</v>
      </c>
      <c r="D403" s="246" t="s">
        <v>260</v>
      </c>
      <c r="E403" s="247" t="s">
        <v>228</v>
      </c>
      <c r="F403" s="247" t="s">
        <v>716</v>
      </c>
      <c r="G403" s="233" t="str">
        <f t="shared" si="172"/>
        <v>1</v>
      </c>
      <c r="H403" s="233" t="str">
        <f t="shared" si="173"/>
        <v>1</v>
      </c>
      <c r="I403" s="233" t="str">
        <f t="shared" si="174"/>
        <v>0</v>
      </c>
      <c r="J403" s="233" t="str">
        <f t="shared" si="175"/>
        <v>0</v>
      </c>
      <c r="K403" s="233" t="str">
        <f t="shared" si="176"/>
        <v>1100</v>
      </c>
      <c r="L403" s="247" t="str">
        <f t="shared" si="177"/>
        <v>15605170Turnaround Network</v>
      </c>
      <c r="M403" s="225">
        <v>100260</v>
      </c>
      <c r="N403" s="225"/>
      <c r="O403" s="225"/>
      <c r="P403" s="225"/>
      <c r="Q403" s="225">
        <f>SUM(M403:P403)</f>
        <v>100260</v>
      </c>
      <c r="R403" s="225"/>
      <c r="S403" s="225">
        <v>29924</v>
      </c>
      <c r="T403" s="225"/>
      <c r="U403" s="225"/>
      <c r="V403" s="225"/>
      <c r="W403" s="225"/>
      <c r="X403" s="225">
        <v>-54417</v>
      </c>
      <c r="Y403" s="225">
        <v>-2375</v>
      </c>
      <c r="Z403" s="225">
        <v>-2815</v>
      </c>
      <c r="AA403" s="225">
        <v>-231</v>
      </c>
      <c r="AB403" s="225">
        <v>-6385</v>
      </c>
      <c r="AC403" s="225">
        <v>-2064</v>
      </c>
      <c r="AD403" s="225">
        <v>-2838</v>
      </c>
      <c r="AE403" s="225"/>
      <c r="AF403" s="225">
        <f t="shared" si="179"/>
        <v>59059</v>
      </c>
      <c r="AG403" s="225"/>
      <c r="AH403" s="225">
        <v>0</v>
      </c>
      <c r="AI403" s="225"/>
      <c r="AJ403" s="225"/>
      <c r="AK403" s="225"/>
      <c r="AL403" s="225">
        <v>-3635.09</v>
      </c>
      <c r="AM403" s="225">
        <v>-5900.04</v>
      </c>
      <c r="AN403" s="225">
        <v>0</v>
      </c>
      <c r="AO403" s="225">
        <v>0</v>
      </c>
      <c r="AP403" s="225">
        <v>-14194.13</v>
      </c>
      <c r="AQ403" s="225"/>
      <c r="AR403" s="225"/>
      <c r="AS403" s="225"/>
      <c r="AT403" s="248">
        <v>0</v>
      </c>
      <c r="AU403" s="248">
        <v>0</v>
      </c>
      <c r="AV403" s="248">
        <v>0</v>
      </c>
      <c r="AW403" s="227">
        <f t="shared" si="180"/>
        <v>35329.740000000005</v>
      </c>
      <c r="AX403" s="249">
        <v>0</v>
      </c>
      <c r="AY403" s="225">
        <v>0</v>
      </c>
      <c r="AZ403" s="227"/>
      <c r="BA403" s="250">
        <v>0</v>
      </c>
      <c r="BB403" s="225">
        <v>0</v>
      </c>
      <c r="BC403" s="225">
        <v>0</v>
      </c>
      <c r="BD403" s="225">
        <v>0</v>
      </c>
      <c r="BE403" s="225"/>
      <c r="BF403" s="225">
        <v>-406</v>
      </c>
      <c r="BG403" s="225">
        <v>0</v>
      </c>
      <c r="BH403" s="225">
        <v>0</v>
      </c>
      <c r="BI403" s="225">
        <v>-2916</v>
      </c>
      <c r="BJ403" s="248"/>
      <c r="BK403" s="248"/>
      <c r="BL403" s="248"/>
      <c r="BM403" s="248">
        <f t="shared" si="181"/>
        <v>32007.740000000005</v>
      </c>
      <c r="BN403" s="249"/>
      <c r="BO403" s="225"/>
      <c r="BP403" s="248"/>
      <c r="BQ403" s="249">
        <v>-14643.41</v>
      </c>
      <c r="BR403" s="225"/>
      <c r="BS403" s="225"/>
      <c r="BT403" s="225"/>
      <c r="BU403" s="225"/>
      <c r="BV403" s="225"/>
      <c r="BW403" s="225"/>
      <c r="BX403" s="225"/>
      <c r="BY403" s="225"/>
      <c r="BZ403" s="225"/>
      <c r="CA403" s="225"/>
      <c r="CB403" s="225"/>
      <c r="CC403" s="227">
        <f t="shared" si="182"/>
        <v>17364.330000000005</v>
      </c>
      <c r="CD403" s="244"/>
      <c r="CE403" s="244"/>
      <c r="CF403" s="244"/>
    </row>
    <row r="404" spans="1:85" x14ac:dyDescent="0.2">
      <c r="A404" s="245" t="s">
        <v>222</v>
      </c>
      <c r="B404" s="246" t="s">
        <v>443</v>
      </c>
      <c r="C404" s="246" t="s">
        <v>223</v>
      </c>
      <c r="D404" s="246" t="s">
        <v>502</v>
      </c>
      <c r="E404" s="247" t="s">
        <v>228</v>
      </c>
      <c r="F404" s="247" t="s">
        <v>716</v>
      </c>
      <c r="G404" s="233" t="str">
        <f t="shared" si="172"/>
        <v>0</v>
      </c>
      <c r="H404" s="233" t="str">
        <f t="shared" si="173"/>
        <v>1</v>
      </c>
      <c r="I404" s="233" t="str">
        <f t="shared" si="174"/>
        <v>0</v>
      </c>
      <c r="J404" s="233" t="str">
        <f t="shared" si="175"/>
        <v>0</v>
      </c>
      <c r="K404" s="233" t="str">
        <f t="shared" si="176"/>
        <v>0100</v>
      </c>
      <c r="L404" s="247" t="str">
        <f t="shared" si="177"/>
        <v>15606194Turnaround Network</v>
      </c>
      <c r="M404" s="225"/>
      <c r="N404" s="225"/>
      <c r="O404" s="225"/>
      <c r="P404" s="225"/>
      <c r="Q404" s="225">
        <f>SUM(M404:P404)</f>
        <v>0</v>
      </c>
      <c r="R404" s="225"/>
      <c r="S404" s="225">
        <v>30000</v>
      </c>
      <c r="T404" s="225"/>
      <c r="U404" s="225"/>
      <c r="V404" s="225"/>
      <c r="W404" s="225"/>
      <c r="X404" s="225"/>
      <c r="Y404" s="225"/>
      <c r="Z404" s="225"/>
      <c r="AA404" s="225"/>
      <c r="AB404" s="225"/>
      <c r="AC404" s="225"/>
      <c r="AD404" s="225"/>
      <c r="AE404" s="225"/>
      <c r="AF404" s="225">
        <f t="shared" si="179"/>
        <v>30000</v>
      </c>
      <c r="AG404" s="225"/>
      <c r="AH404" s="225">
        <v>0</v>
      </c>
      <c r="AI404" s="225"/>
      <c r="AJ404" s="225"/>
      <c r="AK404" s="225"/>
      <c r="AL404" s="225"/>
      <c r="AM404" s="225"/>
      <c r="AN404" s="225">
        <v>0</v>
      </c>
      <c r="AO404" s="225">
        <v>0</v>
      </c>
      <c r="AP404" s="225">
        <v>-5261.91</v>
      </c>
      <c r="AQ404" s="225">
        <v>-1158.43</v>
      </c>
      <c r="AR404" s="225">
        <v>-140.66</v>
      </c>
      <c r="AS404" s="225">
        <v>-855.2</v>
      </c>
      <c r="AT404" s="248">
        <v>-320</v>
      </c>
      <c r="AU404" s="248">
        <v>-512.64</v>
      </c>
      <c r="AV404" s="248">
        <v>-1491.46</v>
      </c>
      <c r="AW404" s="227">
        <f t="shared" si="180"/>
        <v>20259.7</v>
      </c>
      <c r="AX404" s="249">
        <v>0</v>
      </c>
      <c r="AY404" s="225">
        <v>0</v>
      </c>
      <c r="AZ404" s="227"/>
      <c r="BA404" s="250">
        <v>0</v>
      </c>
      <c r="BB404" s="225">
        <v>0</v>
      </c>
      <c r="BC404" s="225">
        <v>0</v>
      </c>
      <c r="BD404" s="225">
        <v>0</v>
      </c>
      <c r="BE404" s="225"/>
      <c r="BF404" s="225"/>
      <c r="BG404" s="225">
        <v>0</v>
      </c>
      <c r="BH404" s="225">
        <v>0</v>
      </c>
      <c r="BI404" s="225">
        <v>-907.19</v>
      </c>
      <c r="BJ404" s="248"/>
      <c r="BK404" s="248"/>
      <c r="BL404" s="248"/>
      <c r="BM404" s="248">
        <f t="shared" si="181"/>
        <v>19352.510000000002</v>
      </c>
      <c r="BN404" s="249"/>
      <c r="BO404" s="225"/>
      <c r="BP404" s="248"/>
      <c r="BQ404" s="249">
        <v>-10347.23</v>
      </c>
      <c r="BR404" s="225"/>
      <c r="BS404" s="225"/>
      <c r="BT404" s="225"/>
      <c r="BU404" s="225"/>
      <c r="BV404" s="225"/>
      <c r="BW404" s="225"/>
      <c r="BX404" s="225"/>
      <c r="BY404" s="225"/>
      <c r="BZ404" s="225"/>
      <c r="CA404" s="225"/>
      <c r="CB404" s="225"/>
      <c r="CC404" s="227">
        <f t="shared" si="182"/>
        <v>9005.2800000000025</v>
      </c>
      <c r="CD404" s="244"/>
      <c r="CE404" s="244"/>
      <c r="CF404" s="244"/>
    </row>
    <row r="405" spans="1:85" x14ac:dyDescent="0.2">
      <c r="A405" s="245" t="s">
        <v>222</v>
      </c>
      <c r="B405" s="246" t="s">
        <v>243</v>
      </c>
      <c r="C405" s="246" t="s">
        <v>223</v>
      </c>
      <c r="D405" s="246" t="s">
        <v>308</v>
      </c>
      <c r="E405" s="247" t="s">
        <v>228</v>
      </c>
      <c r="F405" s="247" t="s">
        <v>716</v>
      </c>
      <c r="G405" s="233" t="str">
        <f t="shared" si="172"/>
        <v>0</v>
      </c>
      <c r="H405" s="233" t="str">
        <f>IF(S405&gt;0, "1", "0")</f>
        <v>0</v>
      </c>
      <c r="I405" s="233" t="str">
        <f t="shared" si="174"/>
        <v>0</v>
      </c>
      <c r="J405" s="233" t="str">
        <f t="shared" si="175"/>
        <v>0</v>
      </c>
      <c r="K405" s="233" t="str">
        <f t="shared" si="176"/>
        <v>0000</v>
      </c>
      <c r="L405" s="247" t="str">
        <f t="shared" si="177"/>
        <v>15608918Turnaround Network</v>
      </c>
      <c r="M405" s="225"/>
      <c r="N405" s="225"/>
      <c r="O405" s="225"/>
      <c r="P405" s="225"/>
      <c r="Q405" s="225">
        <v>11883</v>
      </c>
      <c r="R405" s="225"/>
      <c r="S405" s="225">
        <v>0</v>
      </c>
      <c r="T405" s="225"/>
      <c r="U405" s="225"/>
      <c r="V405" s="225"/>
      <c r="W405" s="225"/>
      <c r="X405" s="225"/>
      <c r="Y405" s="225"/>
      <c r="Z405" s="225"/>
      <c r="AA405" s="225"/>
      <c r="AB405" s="225"/>
      <c r="AC405" s="225"/>
      <c r="AD405" s="225"/>
      <c r="AE405" s="225"/>
      <c r="AF405" s="225">
        <f t="shared" si="179"/>
        <v>11883</v>
      </c>
      <c r="AG405" s="225"/>
      <c r="AH405" s="225">
        <v>0</v>
      </c>
      <c r="AI405" s="225"/>
      <c r="AJ405" s="225"/>
      <c r="AK405" s="225"/>
      <c r="AL405" s="225"/>
      <c r="AM405" s="225"/>
      <c r="AN405" s="225">
        <v>0</v>
      </c>
      <c r="AO405" s="225">
        <v>0</v>
      </c>
      <c r="AP405" s="225">
        <v>-54.83</v>
      </c>
      <c r="AQ405" s="225">
        <v>-151.83000000000001</v>
      </c>
      <c r="AR405" s="225">
        <v>-7732.03</v>
      </c>
      <c r="AS405" s="225">
        <v>-700</v>
      </c>
      <c r="AT405" s="248">
        <v>0</v>
      </c>
      <c r="AU405" s="248">
        <v>-252.84</v>
      </c>
      <c r="AV405" s="248">
        <v>-56</v>
      </c>
      <c r="AW405" s="227">
        <f t="shared" si="180"/>
        <v>2935.4700000000003</v>
      </c>
      <c r="AX405" s="249">
        <v>0</v>
      </c>
      <c r="AY405" s="225">
        <v>0</v>
      </c>
      <c r="AZ405" s="227"/>
      <c r="BA405" s="250">
        <v>0</v>
      </c>
      <c r="BB405" s="225">
        <v>0</v>
      </c>
      <c r="BC405" s="225">
        <v>0</v>
      </c>
      <c r="BD405" s="225">
        <v>0</v>
      </c>
      <c r="BE405" s="225"/>
      <c r="BF405" s="225"/>
      <c r="BG405" s="225">
        <v>0</v>
      </c>
      <c r="BH405" s="225">
        <v>0</v>
      </c>
      <c r="BI405" s="225">
        <v>-661</v>
      </c>
      <c r="BJ405" s="248"/>
      <c r="BK405" s="248"/>
      <c r="BL405" s="248"/>
      <c r="BM405" s="248">
        <f t="shared" si="181"/>
        <v>2274.4700000000003</v>
      </c>
      <c r="BN405" s="249"/>
      <c r="BO405" s="225"/>
      <c r="BP405" s="248"/>
      <c r="BQ405" s="249">
        <v>-2274.4699999999998</v>
      </c>
      <c r="BR405" s="225"/>
      <c r="BS405" s="225"/>
      <c r="BT405" s="225"/>
      <c r="BU405" s="225"/>
      <c r="BV405" s="225"/>
      <c r="BW405" s="225"/>
      <c r="BX405" s="225"/>
      <c r="BY405" s="225"/>
      <c r="BZ405" s="225"/>
      <c r="CA405" s="225"/>
      <c r="CB405" s="225"/>
      <c r="CC405" s="227">
        <f t="shared" si="182"/>
        <v>0</v>
      </c>
      <c r="CD405" s="244"/>
      <c r="CE405" s="244"/>
      <c r="CF405" s="244"/>
    </row>
    <row r="406" spans="1:85" x14ac:dyDescent="0.2">
      <c r="A406" s="245" t="s">
        <v>222</v>
      </c>
      <c r="B406" s="247" t="s">
        <v>243</v>
      </c>
      <c r="C406" s="246" t="s">
        <v>223</v>
      </c>
      <c r="D406" s="246" t="s">
        <v>261</v>
      </c>
      <c r="E406" s="247" t="s">
        <v>228</v>
      </c>
      <c r="F406" s="247" t="s">
        <v>716</v>
      </c>
      <c r="G406" s="233" t="str">
        <f t="shared" si="172"/>
        <v>1</v>
      </c>
      <c r="H406" s="233" t="str">
        <f>IF(S406&gt;0, "1", "0")</f>
        <v>1</v>
      </c>
      <c r="I406" s="233" t="str">
        <f t="shared" si="174"/>
        <v>0</v>
      </c>
      <c r="J406" s="233" t="str">
        <f t="shared" si="175"/>
        <v>0</v>
      </c>
      <c r="K406" s="233" t="str">
        <f t="shared" si="176"/>
        <v>1100</v>
      </c>
      <c r="L406" s="247" t="str">
        <f t="shared" si="177"/>
        <v>15608918Turnaround Network</v>
      </c>
      <c r="M406" s="225">
        <v>100270</v>
      </c>
      <c r="N406" s="225"/>
      <c r="O406" s="225"/>
      <c r="P406" s="225"/>
      <c r="Q406" s="225">
        <f>SUM(M406:P406)</f>
        <v>100270</v>
      </c>
      <c r="R406" s="225"/>
      <c r="S406" s="225">
        <v>30000</v>
      </c>
      <c r="T406" s="225"/>
      <c r="U406" s="225"/>
      <c r="V406" s="225"/>
      <c r="W406" s="225"/>
      <c r="X406" s="225">
        <v>-14192</v>
      </c>
      <c r="Y406" s="225">
        <v>-5294</v>
      </c>
      <c r="Z406" s="225">
        <v>-415</v>
      </c>
      <c r="AA406" s="225">
        <v>-14677</v>
      </c>
      <c r="AB406" s="225">
        <v>-3998</v>
      </c>
      <c r="AC406" s="225">
        <v>-2980</v>
      </c>
      <c r="AD406" s="225">
        <v>-3431</v>
      </c>
      <c r="AE406" s="225"/>
      <c r="AF406" s="225">
        <f t="shared" si="179"/>
        <v>85283</v>
      </c>
      <c r="AG406" s="225"/>
      <c r="AH406" s="225">
        <v>0</v>
      </c>
      <c r="AI406" s="225"/>
      <c r="AJ406" s="225">
        <v>-2295.06</v>
      </c>
      <c r="AK406" s="225"/>
      <c r="AL406" s="225">
        <v>-759.2</v>
      </c>
      <c r="AM406" s="225">
        <v>-626</v>
      </c>
      <c r="AN406" s="225">
        <v>0</v>
      </c>
      <c r="AO406" s="225">
        <v>0</v>
      </c>
      <c r="AP406" s="225">
        <v>-11826.69</v>
      </c>
      <c r="AQ406" s="225"/>
      <c r="AR406" s="225"/>
      <c r="AS406" s="225"/>
      <c r="AT406" s="248">
        <v>0</v>
      </c>
      <c r="AU406" s="248">
        <v>0</v>
      </c>
      <c r="AV406" s="248">
        <v>0</v>
      </c>
      <c r="AW406" s="227">
        <f t="shared" si="180"/>
        <v>69776.05</v>
      </c>
      <c r="AX406" s="249">
        <v>0</v>
      </c>
      <c r="AY406" s="225">
        <v>0</v>
      </c>
      <c r="AZ406" s="227"/>
      <c r="BA406" s="250">
        <v>-1144</v>
      </c>
      <c r="BB406" s="225">
        <v>0</v>
      </c>
      <c r="BC406" s="225">
        <v>0</v>
      </c>
      <c r="BD406" s="225">
        <v>0</v>
      </c>
      <c r="BE406" s="225"/>
      <c r="BF406" s="225">
        <v>-26105.13</v>
      </c>
      <c r="BG406" s="225">
        <v>0</v>
      </c>
      <c r="BH406" s="225">
        <v>0</v>
      </c>
      <c r="BI406" s="225">
        <v>0</v>
      </c>
      <c r="BJ406" s="248"/>
      <c r="BK406" s="248"/>
      <c r="BL406" s="248"/>
      <c r="BM406" s="248">
        <f t="shared" si="181"/>
        <v>42526.92</v>
      </c>
      <c r="BN406" s="249"/>
      <c r="BO406" s="225"/>
      <c r="BP406" s="248"/>
      <c r="BQ406" s="249">
        <v>-11372.339999999998</v>
      </c>
      <c r="BR406" s="225"/>
      <c r="BS406" s="225"/>
      <c r="BT406" s="225"/>
      <c r="BU406" s="225"/>
      <c r="BV406" s="225"/>
      <c r="BW406" s="225"/>
      <c r="BX406" s="225"/>
      <c r="BY406" s="225"/>
      <c r="BZ406" s="225"/>
      <c r="CA406" s="225"/>
      <c r="CB406" s="225"/>
      <c r="CC406" s="227">
        <f t="shared" si="182"/>
        <v>31154.58</v>
      </c>
      <c r="CD406" s="244"/>
      <c r="CE406" s="244"/>
      <c r="CF406" s="244"/>
    </row>
    <row r="407" spans="1:85" x14ac:dyDescent="0.2">
      <c r="A407" s="245" t="s">
        <v>222</v>
      </c>
      <c r="B407" s="246" t="s">
        <v>444</v>
      </c>
      <c r="C407" s="246" t="s">
        <v>223</v>
      </c>
      <c r="D407" s="246" t="s">
        <v>505</v>
      </c>
      <c r="E407" s="247" t="s">
        <v>228</v>
      </c>
      <c r="F407" s="247" t="s">
        <v>716</v>
      </c>
      <c r="G407" s="233" t="str">
        <f t="shared" si="172"/>
        <v>0</v>
      </c>
      <c r="H407" s="233" t="str">
        <f t="shared" si="173"/>
        <v>1</v>
      </c>
      <c r="I407" s="233" t="str">
        <f t="shared" si="174"/>
        <v>0</v>
      </c>
      <c r="J407" s="233" t="str">
        <f t="shared" si="175"/>
        <v>0</v>
      </c>
      <c r="K407" s="233" t="str">
        <f t="shared" si="176"/>
        <v>0100</v>
      </c>
      <c r="L407" s="247" t="str">
        <f t="shared" si="177"/>
        <v>15609228Turnaround Network</v>
      </c>
      <c r="M407" s="225"/>
      <c r="N407" s="225"/>
      <c r="O407" s="225"/>
      <c r="P407" s="225"/>
      <c r="Q407" s="225">
        <f>SUM(M407:P407)</f>
        <v>0</v>
      </c>
      <c r="R407" s="225"/>
      <c r="S407" s="225">
        <v>30000</v>
      </c>
      <c r="T407" s="225"/>
      <c r="U407" s="225"/>
      <c r="V407" s="225"/>
      <c r="W407" s="225"/>
      <c r="X407" s="225"/>
      <c r="Y407" s="225"/>
      <c r="Z407" s="225"/>
      <c r="AA407" s="225"/>
      <c r="AB407" s="225"/>
      <c r="AC407" s="225"/>
      <c r="AD407" s="225"/>
      <c r="AE407" s="225"/>
      <c r="AF407" s="225">
        <f t="shared" si="179"/>
        <v>30000</v>
      </c>
      <c r="AG407" s="225"/>
      <c r="AH407" s="225">
        <v>0</v>
      </c>
      <c r="AI407" s="225"/>
      <c r="AJ407" s="225"/>
      <c r="AK407" s="225"/>
      <c r="AL407" s="225">
        <v>-4865.1400000000003</v>
      </c>
      <c r="AM407" s="225">
        <v>-3470</v>
      </c>
      <c r="AN407" s="225">
        <v>0</v>
      </c>
      <c r="AO407" s="225">
        <v>0</v>
      </c>
      <c r="AP407" s="225">
        <v>-10851.22</v>
      </c>
      <c r="AQ407" s="225"/>
      <c r="AR407" s="225">
        <v>-1327.36</v>
      </c>
      <c r="AS407" s="225">
        <v>-1486.43</v>
      </c>
      <c r="AT407" s="248">
        <v>-7410</v>
      </c>
      <c r="AU407" s="248">
        <v>-589.85</v>
      </c>
      <c r="AV407" s="248">
        <v>0</v>
      </c>
      <c r="AW407" s="227">
        <f t="shared" si="180"/>
        <v>3.4106051316484809E-13</v>
      </c>
      <c r="AX407" s="249">
        <v>94479.242400000003</v>
      </c>
      <c r="AY407" s="225">
        <v>0</v>
      </c>
      <c r="AZ407" s="227"/>
      <c r="BA407" s="250">
        <v>0</v>
      </c>
      <c r="BB407" s="225">
        <v>0</v>
      </c>
      <c r="BC407" s="225">
        <v>0</v>
      </c>
      <c r="BD407" s="225">
        <v>0</v>
      </c>
      <c r="BE407" s="225"/>
      <c r="BF407" s="225">
        <v>-21983.26</v>
      </c>
      <c r="BG407" s="225">
        <v>-3582.23</v>
      </c>
      <c r="BH407" s="225">
        <v>0</v>
      </c>
      <c r="BI407" s="225">
        <v>-8325.17</v>
      </c>
      <c r="BJ407" s="248"/>
      <c r="BK407" s="248">
        <v>-9187.69</v>
      </c>
      <c r="BL407" s="248"/>
      <c r="BM407" s="248">
        <f t="shared" si="181"/>
        <v>51400.892400000012</v>
      </c>
      <c r="BN407" s="249">
        <v>36036</v>
      </c>
      <c r="BO407" s="225"/>
      <c r="BP407" s="248"/>
      <c r="BQ407" s="249">
        <v>-19396.07</v>
      </c>
      <c r="BR407" s="225"/>
      <c r="BS407" s="225"/>
      <c r="BT407" s="225"/>
      <c r="BU407" s="225"/>
      <c r="BV407" s="225"/>
      <c r="BW407" s="225"/>
      <c r="BX407" s="225"/>
      <c r="BY407" s="225"/>
      <c r="BZ407" s="225"/>
      <c r="CA407" s="225"/>
      <c r="CB407" s="225"/>
      <c r="CC407" s="227">
        <f t="shared" si="182"/>
        <v>68040.822400000005</v>
      </c>
      <c r="CD407" s="244"/>
      <c r="CE407" s="244"/>
      <c r="CF407" s="244"/>
    </row>
    <row r="408" spans="1:85" x14ac:dyDescent="0.2">
      <c r="A408" s="245" t="s">
        <v>222</v>
      </c>
      <c r="B408" s="247" t="s">
        <v>244</v>
      </c>
      <c r="C408" s="246" t="s">
        <v>223</v>
      </c>
      <c r="D408" s="246" t="s">
        <v>309</v>
      </c>
      <c r="E408" s="247" t="s">
        <v>228</v>
      </c>
      <c r="F408" s="247" t="s">
        <v>716</v>
      </c>
      <c r="G408" s="233" t="str">
        <f t="shared" si="172"/>
        <v>0</v>
      </c>
      <c r="H408" s="233" t="str">
        <f t="shared" si="173"/>
        <v>0</v>
      </c>
      <c r="I408" s="233" t="str">
        <f t="shared" si="174"/>
        <v>0</v>
      </c>
      <c r="J408" s="233" t="str">
        <f t="shared" si="175"/>
        <v>0</v>
      </c>
      <c r="K408" s="233" t="str">
        <f t="shared" si="176"/>
        <v>0000</v>
      </c>
      <c r="L408" s="247" t="str">
        <f t="shared" si="177"/>
        <v>15609674Turnaround Network</v>
      </c>
      <c r="M408" s="225"/>
      <c r="N408" s="225"/>
      <c r="O408" s="225"/>
      <c r="P408" s="225"/>
      <c r="Q408" s="225">
        <v>6463</v>
      </c>
      <c r="R408" s="225"/>
      <c r="S408" s="225">
        <v>0</v>
      </c>
      <c r="T408" s="225"/>
      <c r="U408" s="225"/>
      <c r="V408" s="225"/>
      <c r="W408" s="225"/>
      <c r="X408" s="225"/>
      <c r="Y408" s="225"/>
      <c r="Z408" s="225"/>
      <c r="AA408" s="225"/>
      <c r="AB408" s="225"/>
      <c r="AC408" s="225"/>
      <c r="AD408" s="225"/>
      <c r="AE408" s="225"/>
      <c r="AF408" s="225">
        <f t="shared" si="179"/>
        <v>6463</v>
      </c>
      <c r="AG408" s="225"/>
      <c r="AH408" s="225">
        <v>0</v>
      </c>
      <c r="AI408" s="225"/>
      <c r="AJ408" s="225"/>
      <c r="AK408" s="225"/>
      <c r="AL408" s="225"/>
      <c r="AM408" s="225"/>
      <c r="AN408" s="225">
        <v>0</v>
      </c>
      <c r="AO408" s="225">
        <v>0</v>
      </c>
      <c r="AP408" s="225"/>
      <c r="AQ408" s="225"/>
      <c r="AR408" s="225"/>
      <c r="AS408" s="225"/>
      <c r="AT408" s="248">
        <v>0</v>
      </c>
      <c r="AU408" s="248">
        <v>0</v>
      </c>
      <c r="AV408" s="248">
        <v>0</v>
      </c>
      <c r="AW408" s="227">
        <f t="shared" si="180"/>
        <v>6463</v>
      </c>
      <c r="AX408" s="249">
        <v>0</v>
      </c>
      <c r="AY408" s="225">
        <v>0</v>
      </c>
      <c r="AZ408" s="227"/>
      <c r="BA408" s="250">
        <v>0</v>
      </c>
      <c r="BB408" s="225">
        <v>0</v>
      </c>
      <c r="BC408" s="225">
        <v>0</v>
      </c>
      <c r="BD408" s="225">
        <v>0</v>
      </c>
      <c r="BE408" s="225"/>
      <c r="BF408" s="225"/>
      <c r="BG408" s="225">
        <v>0</v>
      </c>
      <c r="BH408" s="225">
        <v>0</v>
      </c>
      <c r="BI408" s="225">
        <v>0</v>
      </c>
      <c r="BJ408" s="248"/>
      <c r="BK408" s="248"/>
      <c r="BL408" s="248"/>
      <c r="BM408" s="248">
        <f t="shared" si="181"/>
        <v>6463</v>
      </c>
      <c r="BN408" s="249"/>
      <c r="BO408" s="225"/>
      <c r="BP408" s="248"/>
      <c r="BQ408" s="249">
        <v>-6463</v>
      </c>
      <c r="BR408" s="225"/>
      <c r="BS408" s="225"/>
      <c r="BT408" s="225"/>
      <c r="BU408" s="225"/>
      <c r="BV408" s="225"/>
      <c r="BW408" s="225"/>
      <c r="BX408" s="225"/>
      <c r="BY408" s="225"/>
      <c r="BZ408" s="225"/>
      <c r="CA408" s="225"/>
      <c r="CB408" s="225"/>
      <c r="CC408" s="227">
        <f t="shared" si="182"/>
        <v>0</v>
      </c>
      <c r="CD408" s="244"/>
      <c r="CE408" s="244"/>
      <c r="CF408" s="244"/>
    </row>
    <row r="409" spans="1:85" x14ac:dyDescent="0.2">
      <c r="A409" s="245" t="s">
        <v>222</v>
      </c>
      <c r="B409" s="247" t="s">
        <v>244</v>
      </c>
      <c r="C409" s="246" t="s">
        <v>223</v>
      </c>
      <c r="D409" s="246" t="s">
        <v>262</v>
      </c>
      <c r="E409" s="247" t="s">
        <v>228</v>
      </c>
      <c r="F409" s="247" t="s">
        <v>716</v>
      </c>
      <c r="G409" s="233" t="str">
        <f t="shared" si="172"/>
        <v>1</v>
      </c>
      <c r="H409" s="233" t="str">
        <f t="shared" si="173"/>
        <v>0</v>
      </c>
      <c r="I409" s="233" t="str">
        <f t="shared" si="174"/>
        <v>0</v>
      </c>
      <c r="J409" s="233" t="str">
        <f t="shared" si="175"/>
        <v>0</v>
      </c>
      <c r="K409" s="233" t="str">
        <f t="shared" si="176"/>
        <v>1000</v>
      </c>
      <c r="L409" s="247" t="str">
        <f t="shared" si="177"/>
        <v>15609674Turnaround Network</v>
      </c>
      <c r="M409" s="225">
        <v>100265</v>
      </c>
      <c r="N409" s="225"/>
      <c r="O409" s="225"/>
      <c r="P409" s="225"/>
      <c r="Q409" s="225">
        <f>SUM(M409:P409)</f>
        <v>100265</v>
      </c>
      <c r="R409" s="225"/>
      <c r="S409" s="225">
        <v>0</v>
      </c>
      <c r="T409" s="225"/>
      <c r="U409" s="225"/>
      <c r="V409" s="225"/>
      <c r="W409" s="225"/>
      <c r="X409" s="225">
        <v>-23683</v>
      </c>
      <c r="Y409" s="225">
        <v>-3020</v>
      </c>
      <c r="Z409" s="225">
        <v>-2814</v>
      </c>
      <c r="AA409" s="225">
        <v>-7838</v>
      </c>
      <c r="AB409" s="225">
        <v>-2909</v>
      </c>
      <c r="AC409" s="225">
        <v>-6620</v>
      </c>
      <c r="AD409" s="225">
        <v>-10732</v>
      </c>
      <c r="AE409" s="225"/>
      <c r="AF409" s="225">
        <f t="shared" si="179"/>
        <v>42649</v>
      </c>
      <c r="AG409" s="225"/>
      <c r="AH409" s="225">
        <v>0</v>
      </c>
      <c r="AI409" s="225"/>
      <c r="AJ409" s="225">
        <v>-6995.38</v>
      </c>
      <c r="AK409" s="225"/>
      <c r="AL409" s="225">
        <v>-8235.86</v>
      </c>
      <c r="AM409" s="225">
        <v>-1283</v>
      </c>
      <c r="AN409" s="225">
        <v>0</v>
      </c>
      <c r="AO409" s="225">
        <v>0</v>
      </c>
      <c r="AP409" s="225"/>
      <c r="AQ409" s="225"/>
      <c r="AR409" s="225"/>
      <c r="AS409" s="225"/>
      <c r="AT409" s="248">
        <v>0</v>
      </c>
      <c r="AU409" s="248">
        <v>0</v>
      </c>
      <c r="AV409" s="248">
        <v>0</v>
      </c>
      <c r="AW409" s="227">
        <f t="shared" si="180"/>
        <v>26134.760000000002</v>
      </c>
      <c r="AX409" s="249">
        <v>0</v>
      </c>
      <c r="AY409" s="225">
        <v>0</v>
      </c>
      <c r="AZ409" s="227"/>
      <c r="BA409" s="250">
        <v>0</v>
      </c>
      <c r="BB409" s="225">
        <v>0</v>
      </c>
      <c r="BC409" s="225">
        <v>0</v>
      </c>
      <c r="BD409" s="225">
        <v>0</v>
      </c>
      <c r="BE409" s="225"/>
      <c r="BF409" s="225"/>
      <c r="BG409" s="225">
        <v>0</v>
      </c>
      <c r="BH409" s="225">
        <v>0</v>
      </c>
      <c r="BI409" s="225">
        <v>0</v>
      </c>
      <c r="BJ409" s="248"/>
      <c r="BK409" s="248"/>
      <c r="BL409" s="248"/>
      <c r="BM409" s="248">
        <f t="shared" si="181"/>
        <v>26134.760000000002</v>
      </c>
      <c r="BN409" s="249"/>
      <c r="BO409" s="225"/>
      <c r="BP409" s="248"/>
      <c r="BQ409" s="249">
        <v>-6529.9599999999991</v>
      </c>
      <c r="BR409" s="225"/>
      <c r="BS409" s="225"/>
      <c r="BT409" s="225"/>
      <c r="BU409" s="225"/>
      <c r="BV409" s="225"/>
      <c r="BW409" s="225"/>
      <c r="BX409" s="225"/>
      <c r="BY409" s="225"/>
      <c r="BZ409" s="225"/>
      <c r="CA409" s="225"/>
      <c r="CB409" s="225"/>
      <c r="CC409" s="227">
        <f t="shared" si="182"/>
        <v>19604.800000000003</v>
      </c>
      <c r="CD409" s="244"/>
      <c r="CE409" s="244"/>
      <c r="CF409" s="244"/>
    </row>
    <row r="410" spans="1:85" x14ac:dyDescent="0.2">
      <c r="A410" s="245" t="s">
        <v>222</v>
      </c>
      <c r="B410" s="247" t="s">
        <v>34</v>
      </c>
      <c r="C410" s="246" t="s">
        <v>223</v>
      </c>
      <c r="D410" s="246" t="s">
        <v>111</v>
      </c>
      <c r="E410" s="247" t="s">
        <v>228</v>
      </c>
      <c r="F410" s="247" t="s">
        <v>716</v>
      </c>
      <c r="G410" s="233" t="str">
        <f t="shared" si="172"/>
        <v>0</v>
      </c>
      <c r="H410" s="233" t="str">
        <f t="shared" si="173"/>
        <v>0</v>
      </c>
      <c r="I410" s="233" t="str">
        <f t="shared" si="174"/>
        <v>0</v>
      </c>
      <c r="J410" s="233" t="str">
        <f t="shared" si="175"/>
        <v>0</v>
      </c>
      <c r="K410" s="233" t="str">
        <f t="shared" si="176"/>
        <v>0000</v>
      </c>
      <c r="L410" s="247" t="str">
        <f t="shared" si="177"/>
        <v>1560N/ATurnaround Network</v>
      </c>
      <c r="M410" s="225"/>
      <c r="N410" s="225"/>
      <c r="O410" s="225"/>
      <c r="P410" s="225"/>
      <c r="Q410" s="225">
        <v>11982.41</v>
      </c>
      <c r="R410" s="225"/>
      <c r="S410" s="225">
        <v>0</v>
      </c>
      <c r="T410" s="225"/>
      <c r="U410" s="225"/>
      <c r="V410" s="225"/>
      <c r="W410" s="225"/>
      <c r="X410" s="225"/>
      <c r="Y410" s="225"/>
      <c r="Z410" s="225"/>
      <c r="AA410" s="225"/>
      <c r="AB410" s="225"/>
      <c r="AC410" s="225"/>
      <c r="AD410" s="225"/>
      <c r="AE410" s="225"/>
      <c r="AF410" s="225">
        <f t="shared" si="179"/>
        <v>11982.41</v>
      </c>
      <c r="AG410" s="225"/>
      <c r="AH410" s="225">
        <v>0</v>
      </c>
      <c r="AI410" s="225"/>
      <c r="AJ410" s="225"/>
      <c r="AK410" s="225"/>
      <c r="AL410" s="225"/>
      <c r="AM410" s="225"/>
      <c r="AN410" s="225">
        <v>0</v>
      </c>
      <c r="AO410" s="225">
        <v>0</v>
      </c>
      <c r="AP410" s="225"/>
      <c r="AQ410" s="225"/>
      <c r="AR410" s="225"/>
      <c r="AS410" s="225"/>
      <c r="AT410" s="248">
        <v>-403.45</v>
      </c>
      <c r="AU410" s="248">
        <v>0</v>
      </c>
      <c r="AV410" s="248">
        <v>0</v>
      </c>
      <c r="AW410" s="227">
        <f t="shared" si="180"/>
        <v>11578.96</v>
      </c>
      <c r="AX410" s="249">
        <v>0</v>
      </c>
      <c r="AY410" s="225">
        <v>0</v>
      </c>
      <c r="AZ410" s="227"/>
      <c r="BA410" s="250">
        <v>0</v>
      </c>
      <c r="BB410" s="225">
        <v>0</v>
      </c>
      <c r="BC410" s="225">
        <v>0</v>
      </c>
      <c r="BD410" s="225">
        <v>0</v>
      </c>
      <c r="BE410" s="225"/>
      <c r="BF410" s="225"/>
      <c r="BG410" s="225">
        <v>0</v>
      </c>
      <c r="BH410" s="225">
        <v>0</v>
      </c>
      <c r="BI410" s="225">
        <v>0</v>
      </c>
      <c r="BJ410" s="248"/>
      <c r="BK410" s="248"/>
      <c r="BL410" s="248"/>
      <c r="BM410" s="248">
        <f t="shared" si="181"/>
        <v>11578.96</v>
      </c>
      <c r="BN410" s="249"/>
      <c r="BO410" s="225"/>
      <c r="BP410" s="248"/>
      <c r="BQ410" s="249"/>
      <c r="BR410" s="225"/>
      <c r="BS410" s="225"/>
      <c r="BT410" s="225"/>
      <c r="BU410" s="225"/>
      <c r="BV410" s="225"/>
      <c r="BW410" s="225"/>
      <c r="BX410" s="225"/>
      <c r="BY410" s="225"/>
      <c r="BZ410" s="225"/>
      <c r="CA410" s="225"/>
      <c r="CB410" s="225"/>
      <c r="CC410" s="227">
        <f t="shared" si="182"/>
        <v>11578.96</v>
      </c>
      <c r="CD410" s="244"/>
      <c r="CE410" s="244"/>
      <c r="CF410" s="244"/>
    </row>
    <row r="411" spans="1:85" x14ac:dyDescent="0.2">
      <c r="A411" s="245" t="s">
        <v>222</v>
      </c>
      <c r="B411" s="247" t="s">
        <v>34</v>
      </c>
      <c r="C411" s="246" t="s">
        <v>223</v>
      </c>
      <c r="D411" s="246" t="s">
        <v>111</v>
      </c>
      <c r="E411" s="247" t="s">
        <v>228</v>
      </c>
      <c r="F411" s="247" t="s">
        <v>716</v>
      </c>
      <c r="G411" s="233" t="str">
        <f t="shared" si="172"/>
        <v>1</v>
      </c>
      <c r="H411" s="233" t="str">
        <f t="shared" si="173"/>
        <v>1</v>
      </c>
      <c r="I411" s="233" t="str">
        <f t="shared" si="174"/>
        <v>0</v>
      </c>
      <c r="J411" s="233" t="str">
        <f t="shared" si="175"/>
        <v>0</v>
      </c>
      <c r="K411" s="233" t="str">
        <f t="shared" si="176"/>
        <v>1100</v>
      </c>
      <c r="L411" s="247" t="str">
        <f t="shared" si="177"/>
        <v>1560N/ATurnaround Network</v>
      </c>
      <c r="M411" s="225">
        <v>49998</v>
      </c>
      <c r="N411" s="225"/>
      <c r="O411" s="225"/>
      <c r="P411" s="225"/>
      <c r="Q411" s="225">
        <f>SUM(M411:P411)</f>
        <v>49998</v>
      </c>
      <c r="R411" s="225"/>
      <c r="S411" s="225">
        <v>50000</v>
      </c>
      <c r="T411" s="225"/>
      <c r="U411" s="225"/>
      <c r="V411" s="225"/>
      <c r="W411" s="225"/>
      <c r="X411" s="225">
        <v>-8868</v>
      </c>
      <c r="Y411" s="225">
        <v>-304</v>
      </c>
      <c r="Z411" s="225">
        <v>-170</v>
      </c>
      <c r="AA411" s="225">
        <v>-14000</v>
      </c>
      <c r="AB411" s="225"/>
      <c r="AC411" s="225">
        <v>-1189</v>
      </c>
      <c r="AD411" s="225">
        <v>-2462</v>
      </c>
      <c r="AE411" s="225"/>
      <c r="AF411" s="225">
        <f t="shared" si="179"/>
        <v>73005</v>
      </c>
      <c r="AG411" s="225"/>
      <c r="AH411" s="225">
        <v>0</v>
      </c>
      <c r="AI411" s="225"/>
      <c r="AJ411" s="225">
        <v>-129.08000000000001</v>
      </c>
      <c r="AK411" s="225"/>
      <c r="AL411" s="225">
        <v>-4531.6000000000004</v>
      </c>
      <c r="AM411" s="225">
        <v>-473</v>
      </c>
      <c r="AN411" s="225">
        <v>0</v>
      </c>
      <c r="AO411" s="225">
        <v>0</v>
      </c>
      <c r="AP411" s="225">
        <v>-1322.02</v>
      </c>
      <c r="AQ411" s="225"/>
      <c r="AR411" s="225">
        <v>-1565.84</v>
      </c>
      <c r="AS411" s="225"/>
      <c r="AT411" s="248">
        <v>0</v>
      </c>
      <c r="AU411" s="248">
        <v>0</v>
      </c>
      <c r="AV411" s="248">
        <v>0</v>
      </c>
      <c r="AW411" s="227">
        <f t="shared" si="180"/>
        <v>64983.459999999992</v>
      </c>
      <c r="AX411" s="249">
        <v>20466</v>
      </c>
      <c r="AY411" s="225">
        <v>0</v>
      </c>
      <c r="AZ411" s="227"/>
      <c r="BA411" s="250">
        <v>0</v>
      </c>
      <c r="BB411" s="225">
        <v>0</v>
      </c>
      <c r="BC411" s="225">
        <v>0</v>
      </c>
      <c r="BD411" s="225">
        <v>0</v>
      </c>
      <c r="BE411" s="225"/>
      <c r="BF411" s="225">
        <v>-1683.59</v>
      </c>
      <c r="BG411" s="225">
        <v>0</v>
      </c>
      <c r="BH411" s="225">
        <v>0</v>
      </c>
      <c r="BI411" s="225">
        <v>-5372</v>
      </c>
      <c r="BJ411" s="248"/>
      <c r="BK411" s="248"/>
      <c r="BL411" s="248"/>
      <c r="BM411" s="248">
        <f t="shared" si="181"/>
        <v>78393.87</v>
      </c>
      <c r="BN411" s="249">
        <v>20592</v>
      </c>
      <c r="BO411" s="225"/>
      <c r="BP411" s="248"/>
      <c r="BQ411" s="249"/>
      <c r="BR411" s="225"/>
      <c r="BS411" s="225"/>
      <c r="BT411" s="225"/>
      <c r="BU411" s="225"/>
      <c r="BV411" s="225"/>
      <c r="BW411" s="225"/>
      <c r="BX411" s="225"/>
      <c r="BY411" s="225"/>
      <c r="BZ411" s="225"/>
      <c r="CA411" s="225"/>
      <c r="CB411" s="225"/>
      <c r="CC411" s="227">
        <f t="shared" si="182"/>
        <v>98985.87</v>
      </c>
      <c r="CD411" s="244"/>
      <c r="CE411" s="244"/>
      <c r="CF411" s="244"/>
    </row>
    <row r="412" spans="1:85" x14ac:dyDescent="0.2">
      <c r="A412" s="245" t="s">
        <v>381</v>
      </c>
      <c r="B412" s="246" t="s">
        <v>17</v>
      </c>
      <c r="C412" s="246" t="s">
        <v>605</v>
      </c>
      <c r="D412" s="246" t="s">
        <v>683</v>
      </c>
      <c r="E412" s="247" t="s">
        <v>228</v>
      </c>
      <c r="F412" s="247" t="s">
        <v>716</v>
      </c>
      <c r="G412" s="233" t="str">
        <f t="shared" si="172"/>
        <v>0</v>
      </c>
      <c r="H412" s="233" t="str">
        <f t="shared" si="173"/>
        <v>0</v>
      </c>
      <c r="I412" s="233" t="str">
        <f t="shared" si="174"/>
        <v>1</v>
      </c>
      <c r="J412" s="233" t="str">
        <f t="shared" si="175"/>
        <v>0</v>
      </c>
      <c r="K412" s="233" t="str">
        <f t="shared" si="176"/>
        <v>0010</v>
      </c>
      <c r="L412" s="247" t="str">
        <f t="shared" si="177"/>
        <v>20001520Turnaround Network</v>
      </c>
      <c r="M412" s="225"/>
      <c r="N412" s="225"/>
      <c r="O412" s="225"/>
      <c r="P412" s="225"/>
      <c r="Q412" s="225">
        <f>SUM(M412:P412)</f>
        <v>0</v>
      </c>
      <c r="R412" s="225"/>
      <c r="S412" s="225">
        <v>0</v>
      </c>
      <c r="T412" s="225"/>
      <c r="U412" s="225"/>
      <c r="V412" s="225"/>
      <c r="W412" s="225"/>
      <c r="X412" s="225"/>
      <c r="Y412" s="225"/>
      <c r="Z412" s="225"/>
      <c r="AA412" s="225"/>
      <c r="AB412" s="225"/>
      <c r="AC412" s="225"/>
      <c r="AD412" s="225"/>
      <c r="AE412" s="225"/>
      <c r="AF412" s="225">
        <f t="shared" si="179"/>
        <v>0</v>
      </c>
      <c r="AG412" s="225"/>
      <c r="AH412" s="225">
        <v>0</v>
      </c>
      <c r="AI412" s="225">
        <v>15738</v>
      </c>
      <c r="AJ412" s="225"/>
      <c r="AK412" s="225"/>
      <c r="AL412" s="225"/>
      <c r="AM412" s="225"/>
      <c r="AN412" s="225">
        <v>0</v>
      </c>
      <c r="AO412" s="225">
        <v>0</v>
      </c>
      <c r="AP412" s="225"/>
      <c r="AQ412" s="225"/>
      <c r="AR412" s="225"/>
      <c r="AS412" s="225"/>
      <c r="AT412" s="248">
        <v>0</v>
      </c>
      <c r="AU412" s="248">
        <v>0</v>
      </c>
      <c r="AV412" s="248">
        <v>0</v>
      </c>
      <c r="AW412" s="227">
        <f t="shared" si="180"/>
        <v>15738</v>
      </c>
      <c r="AX412" s="249">
        <v>0</v>
      </c>
      <c r="AY412" s="225">
        <v>15249</v>
      </c>
      <c r="AZ412" s="227"/>
      <c r="BA412" s="250">
        <v>0</v>
      </c>
      <c r="BB412" s="225">
        <v>0</v>
      </c>
      <c r="BC412" s="225">
        <v>0</v>
      </c>
      <c r="BD412" s="225">
        <v>-29377.599999999999</v>
      </c>
      <c r="BE412" s="225"/>
      <c r="BF412" s="225"/>
      <c r="BG412" s="225">
        <v>0</v>
      </c>
      <c r="BH412" s="225">
        <v>0</v>
      </c>
      <c r="BI412" s="225">
        <v>0</v>
      </c>
      <c r="BJ412" s="248"/>
      <c r="BK412" s="248" t="s">
        <v>701</v>
      </c>
      <c r="BL412" s="248"/>
      <c r="BM412" s="248">
        <f t="shared" si="181"/>
        <v>1609.4000000000015</v>
      </c>
      <c r="BN412" s="249"/>
      <c r="BO412" s="225">
        <v>78368</v>
      </c>
      <c r="BP412" s="248"/>
      <c r="BQ412" s="249"/>
      <c r="BR412" s="225"/>
      <c r="BS412" s="225"/>
      <c r="BT412" s="225"/>
      <c r="BU412" s="225"/>
      <c r="BV412" s="225"/>
      <c r="BW412" s="225"/>
      <c r="BX412" s="225">
        <v>-17002.330000000002</v>
      </c>
      <c r="BY412" s="225"/>
      <c r="BZ412" s="225"/>
      <c r="CA412" s="225"/>
      <c r="CB412" s="225"/>
      <c r="CC412" s="227">
        <f t="shared" si="182"/>
        <v>62975.069999999992</v>
      </c>
      <c r="CD412" s="244"/>
      <c r="CE412" s="244"/>
      <c r="CF412" s="244"/>
    </row>
    <row r="413" spans="1:85" x14ac:dyDescent="0.2">
      <c r="A413" s="264" t="s">
        <v>224</v>
      </c>
      <c r="B413" s="265" t="s">
        <v>318</v>
      </c>
      <c r="C413" s="266" t="s">
        <v>225</v>
      </c>
      <c r="D413" s="266" t="s">
        <v>288</v>
      </c>
      <c r="E413" s="265" t="s">
        <v>228</v>
      </c>
      <c r="F413" s="265" t="s">
        <v>716</v>
      </c>
      <c r="G413" s="267" t="str">
        <f t="shared" si="172"/>
        <v>1</v>
      </c>
      <c r="H413" s="267" t="str">
        <f t="shared" si="173"/>
        <v>0</v>
      </c>
      <c r="I413" s="267" t="str">
        <f t="shared" si="174"/>
        <v>0</v>
      </c>
      <c r="J413" s="267" t="str">
        <f t="shared" si="175"/>
        <v>0</v>
      </c>
      <c r="K413" s="267" t="str">
        <f t="shared" si="176"/>
        <v>1000</v>
      </c>
      <c r="L413" s="265" t="str">
        <f t="shared" si="177"/>
        <v>21806366Turnaround Network</v>
      </c>
      <c r="M413" s="268">
        <v>109068</v>
      </c>
      <c r="N413" s="268"/>
      <c r="O413" s="268"/>
      <c r="P413" s="268"/>
      <c r="Q413" s="268">
        <f>SUM(M413:P413)</f>
        <v>109068</v>
      </c>
      <c r="R413" s="268"/>
      <c r="S413" s="268">
        <v>0</v>
      </c>
      <c r="T413" s="268"/>
      <c r="U413" s="268"/>
      <c r="V413" s="268">
        <v>-45575</v>
      </c>
      <c r="W413" s="268"/>
      <c r="X413" s="268"/>
      <c r="Y413" s="268"/>
      <c r="Z413" s="268"/>
      <c r="AA413" s="268">
        <v>-33320</v>
      </c>
      <c r="AB413" s="268"/>
      <c r="AC413" s="268"/>
      <c r="AD413" s="268"/>
      <c r="AE413" s="268"/>
      <c r="AF413" s="268">
        <f t="shared" si="179"/>
        <v>30173</v>
      </c>
      <c r="AG413" s="268">
        <v>25000</v>
      </c>
      <c r="AH413" s="268">
        <v>0</v>
      </c>
      <c r="AI413" s="268"/>
      <c r="AJ413" s="268"/>
      <c r="AK413" s="268"/>
      <c r="AL413" s="268">
        <v>-23514</v>
      </c>
      <c r="AM413" s="268"/>
      <c r="AN413" s="268">
        <v>-6659</v>
      </c>
      <c r="AO413" s="268">
        <v>0</v>
      </c>
      <c r="AP413" s="268"/>
      <c r="AQ413" s="268"/>
      <c r="AR413" s="268"/>
      <c r="AS413" s="268"/>
      <c r="AT413" s="269">
        <v>0</v>
      </c>
      <c r="AU413" s="269">
        <v>0</v>
      </c>
      <c r="AV413" s="269">
        <v>0</v>
      </c>
      <c r="AW413" s="270">
        <f t="shared" si="180"/>
        <v>25000</v>
      </c>
      <c r="AX413" s="260">
        <v>47508.0363</v>
      </c>
      <c r="AY413" s="268">
        <v>0</v>
      </c>
      <c r="AZ413" s="270"/>
      <c r="BA413" s="271">
        <v>0</v>
      </c>
      <c r="BB413" s="268">
        <v>-24401.5</v>
      </c>
      <c r="BC413" s="268">
        <v>0</v>
      </c>
      <c r="BD413" s="268">
        <v>0</v>
      </c>
      <c r="BE413" s="268"/>
      <c r="BF413" s="268"/>
      <c r="BG413" s="268">
        <v>-3055.2</v>
      </c>
      <c r="BH413" s="268">
        <v>-9930.18</v>
      </c>
      <c r="BI413" s="268">
        <v>0</v>
      </c>
      <c r="BJ413" s="269"/>
      <c r="BK413" s="269"/>
      <c r="BL413" s="269"/>
      <c r="BM413" s="269">
        <f t="shared" si="181"/>
        <v>35121.15630000001</v>
      </c>
      <c r="BN413" s="260"/>
      <c r="BO413" s="268"/>
      <c r="BP413" s="269"/>
      <c r="BQ413" s="260">
        <v>-3225.9</v>
      </c>
      <c r="BR413" s="268"/>
      <c r="BS413" s="268">
        <v>-2949.3</v>
      </c>
      <c r="BT413" s="268"/>
      <c r="BU413" s="268"/>
      <c r="BV413" s="268"/>
      <c r="BW413" s="268">
        <v>-10745.94</v>
      </c>
      <c r="BX413" s="268"/>
      <c r="BY413" s="268"/>
      <c r="BZ413" s="268"/>
      <c r="CA413" s="268"/>
      <c r="CB413" s="268"/>
      <c r="CC413" s="227">
        <f t="shared" si="182"/>
        <v>18200.01630000001</v>
      </c>
      <c r="CD413" s="244"/>
      <c r="CE413" s="244"/>
      <c r="CF413" s="244"/>
    </row>
    <row r="414" spans="1:85" x14ac:dyDescent="0.2">
      <c r="A414" s="247" t="s">
        <v>224</v>
      </c>
      <c r="B414" s="247" t="s">
        <v>808</v>
      </c>
      <c r="C414" s="246" t="s">
        <v>225</v>
      </c>
      <c r="D414" s="246" t="s">
        <v>330</v>
      </c>
      <c r="E414" s="247" t="s">
        <v>228</v>
      </c>
      <c r="F414" s="246"/>
      <c r="G414" s="272"/>
      <c r="H414" s="261"/>
      <c r="I414" s="261"/>
      <c r="J414" s="261"/>
      <c r="K414" s="261"/>
      <c r="L414" s="247" t="str">
        <f t="shared" ref="L414:L435" si="183">A414&amp;B414&amp;E414</f>
        <v>21804458Turnaround Network</v>
      </c>
      <c r="M414" s="261"/>
      <c r="N414" s="261"/>
      <c r="O414" s="261"/>
      <c r="P414" s="261"/>
      <c r="Q414" s="261"/>
      <c r="R414" s="261"/>
      <c r="S414" s="261"/>
      <c r="T414" s="261"/>
      <c r="U414" s="261"/>
      <c r="V414" s="261"/>
      <c r="W414" s="261"/>
      <c r="X414" s="261"/>
      <c r="Y414" s="261"/>
      <c r="Z414" s="261"/>
      <c r="AA414" s="261"/>
      <c r="AB414" s="261"/>
      <c r="AC414" s="261"/>
      <c r="AD414" s="261"/>
      <c r="AE414" s="261"/>
      <c r="AF414" s="261"/>
      <c r="AG414" s="261"/>
      <c r="AH414" s="261">
        <v>30000</v>
      </c>
      <c r="AI414" s="261"/>
      <c r="AJ414" s="252"/>
      <c r="AK414" s="252"/>
      <c r="AL414" s="252"/>
      <c r="AM414" s="252"/>
      <c r="AN414" s="252"/>
      <c r="AO414" s="252"/>
      <c r="AP414" s="252">
        <v>-3502.92</v>
      </c>
      <c r="AQ414" s="252">
        <v>-3502.92</v>
      </c>
      <c r="AR414" s="273">
        <v>26497.08</v>
      </c>
      <c r="AS414" s="255"/>
      <c r="AT414" s="246"/>
      <c r="AU414" s="246"/>
      <c r="AV414" s="246"/>
      <c r="AW414" s="246"/>
      <c r="AX414" s="246"/>
      <c r="AY414" s="246"/>
      <c r="AZ414" s="246"/>
      <c r="BA414" s="246"/>
      <c r="BB414" s="246"/>
      <c r="BC414" s="246"/>
      <c r="BD414" s="246"/>
      <c r="BE414" s="246"/>
      <c r="BF414" s="246"/>
      <c r="BG414" s="246"/>
      <c r="BH414" s="246"/>
      <c r="BI414" s="246"/>
      <c r="BJ414" s="246"/>
      <c r="BK414" s="246"/>
      <c r="BL414" s="246"/>
      <c r="BM414" s="246"/>
      <c r="BN414" s="246"/>
      <c r="BO414" s="246"/>
      <c r="BP414" s="256">
        <v>30000</v>
      </c>
      <c r="BQ414" s="245"/>
      <c r="BR414" s="246"/>
      <c r="BS414" s="246"/>
      <c r="BT414" s="246"/>
      <c r="BU414" s="246"/>
      <c r="BV414" s="246"/>
      <c r="BW414" s="255">
        <v>-3502.92</v>
      </c>
      <c r="BX414" s="246"/>
      <c r="BY414" s="246"/>
      <c r="BZ414" s="246"/>
      <c r="CA414" s="246"/>
      <c r="CB414" s="246"/>
      <c r="CC414" s="227">
        <f t="shared" si="182"/>
        <v>26497.08</v>
      </c>
      <c r="CD414" s="274"/>
      <c r="CE414" s="246"/>
      <c r="CF414" s="246"/>
      <c r="CG414" s="246"/>
    </row>
    <row r="415" spans="1:85" x14ac:dyDescent="0.2">
      <c r="A415" s="275" t="s">
        <v>224</v>
      </c>
      <c r="B415" s="233" t="s">
        <v>428</v>
      </c>
      <c r="C415" s="276" t="s">
        <v>225</v>
      </c>
      <c r="D415" s="276" t="s">
        <v>801</v>
      </c>
      <c r="E415" s="233" t="s">
        <v>228</v>
      </c>
      <c r="F415" s="233"/>
      <c r="G415" s="233"/>
      <c r="H415" s="233"/>
      <c r="I415" s="233"/>
      <c r="J415" s="233"/>
      <c r="K415" s="233"/>
      <c r="L415" s="247" t="str">
        <f t="shared" si="183"/>
        <v>21806466Turnaround Network</v>
      </c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  <c r="AJ415" s="242"/>
      <c r="AK415" s="242"/>
      <c r="AL415" s="242"/>
      <c r="AM415" s="242"/>
      <c r="AN415" s="242"/>
      <c r="AO415" s="242"/>
      <c r="AP415" s="242"/>
      <c r="AQ415" s="242"/>
      <c r="AR415" s="242"/>
      <c r="AS415" s="242"/>
      <c r="AT415" s="240"/>
      <c r="AU415" s="240"/>
      <c r="AV415" s="240"/>
      <c r="AW415" s="243"/>
      <c r="AX415" s="241"/>
      <c r="AY415" s="242"/>
      <c r="AZ415" s="243">
        <v>30000</v>
      </c>
      <c r="BA415" s="277"/>
      <c r="BB415" s="242"/>
      <c r="BC415" s="242"/>
      <c r="BD415" s="242"/>
      <c r="BE415" s="242"/>
      <c r="BF415" s="242"/>
      <c r="BG415" s="242"/>
      <c r="BH415" s="242"/>
      <c r="BI415" s="242"/>
      <c r="BJ415" s="240"/>
      <c r="BK415" s="240"/>
      <c r="BL415" s="240"/>
      <c r="BM415" s="240"/>
      <c r="BN415" s="241"/>
      <c r="BO415" s="242"/>
      <c r="BP415" s="240">
        <v>30000</v>
      </c>
      <c r="BQ415" s="241"/>
      <c r="BR415" s="242"/>
      <c r="BS415" s="242"/>
      <c r="BT415" s="242"/>
      <c r="BU415" s="242"/>
      <c r="BV415" s="242"/>
      <c r="BW415" s="242">
        <v>-9159.56</v>
      </c>
      <c r="BX415" s="242"/>
      <c r="BY415" s="242"/>
      <c r="BZ415" s="242"/>
      <c r="CA415" s="242"/>
      <c r="CB415" s="242"/>
      <c r="CC415" s="227">
        <f t="shared" si="182"/>
        <v>20840.440000000002</v>
      </c>
      <c r="CD415" s="244"/>
      <c r="CE415" s="244"/>
      <c r="CF415" s="244"/>
    </row>
    <row r="416" spans="1:85" x14ac:dyDescent="0.2">
      <c r="A416" s="245" t="s">
        <v>224</v>
      </c>
      <c r="B416" s="247" t="s">
        <v>310</v>
      </c>
      <c r="C416" s="246" t="s">
        <v>225</v>
      </c>
      <c r="D416" s="246" t="s">
        <v>289</v>
      </c>
      <c r="E416" s="247" t="s">
        <v>228</v>
      </c>
      <c r="F416" s="247" t="s">
        <v>716</v>
      </c>
      <c r="G416" s="233" t="str">
        <f t="shared" ref="G416:G435" si="184">IF(M416&gt;0, "1", "0")</f>
        <v>0</v>
      </c>
      <c r="H416" s="233" t="str">
        <f t="shared" ref="H416:H435" si="185">IF(S416&gt;0, "1", "0")</f>
        <v>0</v>
      </c>
      <c r="I416" s="233" t="str">
        <f t="shared" ref="I416:I435" si="186">IF(AI416&gt;0, "1", "0")</f>
        <v>0</v>
      </c>
      <c r="J416" s="233" t="str">
        <f t="shared" ref="J416:J435" si="187">IF(AZ416&gt;0, "1", "0")</f>
        <v>0</v>
      </c>
      <c r="K416" s="233" t="str">
        <f t="shared" ref="K416:K435" si="188">CONCATENATE(G416,H416,I416,J416)</f>
        <v>0000</v>
      </c>
      <c r="L416" s="247" t="str">
        <f t="shared" si="183"/>
        <v>21806486Turnaround Network</v>
      </c>
      <c r="M416" s="225"/>
      <c r="N416" s="225"/>
      <c r="O416" s="225"/>
      <c r="P416" s="225"/>
      <c r="Q416" s="225">
        <v>9285</v>
      </c>
      <c r="R416" s="225"/>
      <c r="S416" s="225">
        <v>0</v>
      </c>
      <c r="T416" s="225"/>
      <c r="U416" s="225"/>
      <c r="V416" s="225"/>
      <c r="W416" s="225"/>
      <c r="X416" s="225"/>
      <c r="Y416" s="225"/>
      <c r="Z416" s="225"/>
      <c r="AA416" s="225"/>
      <c r="AB416" s="225"/>
      <c r="AC416" s="225"/>
      <c r="AD416" s="225"/>
      <c r="AE416" s="225"/>
      <c r="AF416" s="225">
        <f t="shared" ref="AF416:AF435" si="189">SUM(Q416:AE416)</f>
        <v>9285</v>
      </c>
      <c r="AG416" s="225"/>
      <c r="AH416" s="225">
        <v>0</v>
      </c>
      <c r="AI416" s="225"/>
      <c r="AJ416" s="225">
        <v>-3372</v>
      </c>
      <c r="AK416" s="225"/>
      <c r="AL416" s="225"/>
      <c r="AM416" s="225"/>
      <c r="AN416" s="225">
        <v>-5771</v>
      </c>
      <c r="AO416" s="225">
        <v>0</v>
      </c>
      <c r="AP416" s="225"/>
      <c r="AQ416" s="225"/>
      <c r="AR416" s="225"/>
      <c r="AS416" s="225"/>
      <c r="AT416" s="248">
        <v>-142</v>
      </c>
      <c r="AU416" s="248">
        <v>0</v>
      </c>
      <c r="AV416" s="248">
        <v>0</v>
      </c>
      <c r="AW416" s="227">
        <f t="shared" ref="AW416:AW435" si="190">SUM(AF416:AV416)</f>
        <v>0</v>
      </c>
      <c r="AX416" s="249">
        <v>0</v>
      </c>
      <c r="AY416" s="225">
        <v>0</v>
      </c>
      <c r="AZ416" s="227"/>
      <c r="BA416" s="250">
        <v>0</v>
      </c>
      <c r="BB416" s="225">
        <v>0</v>
      </c>
      <c r="BC416" s="225">
        <v>0</v>
      </c>
      <c r="BD416" s="225">
        <v>0</v>
      </c>
      <c r="BE416" s="225"/>
      <c r="BF416" s="225"/>
      <c r="BG416" s="225">
        <v>0</v>
      </c>
      <c r="BH416" s="225">
        <v>0</v>
      </c>
      <c r="BI416" s="225">
        <v>0</v>
      </c>
      <c r="BJ416" s="248"/>
      <c r="BK416" s="248"/>
      <c r="BL416" s="248"/>
      <c r="BM416" s="248">
        <f t="shared" ref="BM416:BM435" si="191">SUM(AW416:BL416)</f>
        <v>0</v>
      </c>
      <c r="BN416" s="249"/>
      <c r="BO416" s="225"/>
      <c r="BP416" s="248">
        <v>30000</v>
      </c>
      <c r="BQ416" s="249"/>
      <c r="BR416" s="225"/>
      <c r="BS416" s="225"/>
      <c r="BT416" s="225"/>
      <c r="BU416" s="225">
        <v>-1485</v>
      </c>
      <c r="BV416" s="225"/>
      <c r="BW416" s="225">
        <v>-13410.1</v>
      </c>
      <c r="BX416" s="225"/>
      <c r="BY416" s="225"/>
      <c r="BZ416" s="225"/>
      <c r="CA416" s="225"/>
      <c r="CB416" s="225"/>
      <c r="CC416" s="227">
        <f t="shared" si="182"/>
        <v>15104.9</v>
      </c>
      <c r="CD416" s="244"/>
      <c r="CE416" s="244"/>
      <c r="CF416" s="244"/>
    </row>
    <row r="417" spans="1:84" x14ac:dyDescent="0.2">
      <c r="A417" s="245" t="s">
        <v>224</v>
      </c>
      <c r="B417" s="247" t="s">
        <v>319</v>
      </c>
      <c r="C417" s="246" t="s">
        <v>225</v>
      </c>
      <c r="D417" s="246" t="s">
        <v>289</v>
      </c>
      <c r="E417" s="247" t="s">
        <v>228</v>
      </c>
      <c r="F417" s="247" t="s">
        <v>716</v>
      </c>
      <c r="G417" s="233" t="str">
        <f t="shared" si="184"/>
        <v>1</v>
      </c>
      <c r="H417" s="233" t="str">
        <f t="shared" si="185"/>
        <v>0</v>
      </c>
      <c r="I417" s="233" t="str">
        <f t="shared" si="186"/>
        <v>0</v>
      </c>
      <c r="J417" s="233" t="str">
        <f t="shared" si="187"/>
        <v>0</v>
      </c>
      <c r="K417" s="233" t="str">
        <f t="shared" si="188"/>
        <v>1000</v>
      </c>
      <c r="L417" s="247" t="str">
        <f t="shared" si="183"/>
        <v>21806490Turnaround Network</v>
      </c>
      <c r="M417" s="225">
        <v>100631</v>
      </c>
      <c r="N417" s="225"/>
      <c r="O417" s="225"/>
      <c r="P417" s="225"/>
      <c r="Q417" s="225">
        <f>SUM(M417:P417)</f>
        <v>100631</v>
      </c>
      <c r="R417" s="225">
        <v>26485</v>
      </c>
      <c r="S417" s="225">
        <v>0</v>
      </c>
      <c r="T417" s="225"/>
      <c r="U417" s="225">
        <v>-21470</v>
      </c>
      <c r="V417" s="225"/>
      <c r="W417" s="225">
        <v>-32413</v>
      </c>
      <c r="X417" s="225"/>
      <c r="Y417" s="225"/>
      <c r="Z417" s="225"/>
      <c r="AA417" s="225">
        <v>-38483</v>
      </c>
      <c r="AB417" s="225"/>
      <c r="AC417" s="225"/>
      <c r="AD417" s="225"/>
      <c r="AE417" s="225"/>
      <c r="AF417" s="225">
        <f t="shared" si="189"/>
        <v>34750</v>
      </c>
      <c r="AG417" s="225"/>
      <c r="AH417" s="225">
        <v>0</v>
      </c>
      <c r="AI417" s="225"/>
      <c r="AJ417" s="225">
        <v>-8265</v>
      </c>
      <c r="AK417" s="225"/>
      <c r="AL417" s="225"/>
      <c r="AM417" s="225"/>
      <c r="AN417" s="225">
        <v>0</v>
      </c>
      <c r="AO417" s="225">
        <v>0</v>
      </c>
      <c r="AP417" s="225"/>
      <c r="AQ417" s="225"/>
      <c r="AR417" s="225"/>
      <c r="AS417" s="225"/>
      <c r="AT417" s="248">
        <v>0</v>
      </c>
      <c r="AU417" s="248">
        <v>0</v>
      </c>
      <c r="AV417" s="248">
        <v>-25000</v>
      </c>
      <c r="AW417" s="227">
        <f t="shared" si="190"/>
        <v>1485</v>
      </c>
      <c r="AX417" s="249">
        <v>0</v>
      </c>
      <c r="AY417" s="225">
        <v>0</v>
      </c>
      <c r="AZ417" s="227"/>
      <c r="BA417" s="250">
        <v>0</v>
      </c>
      <c r="BB417" s="225">
        <v>0</v>
      </c>
      <c r="BC417" s="225">
        <v>0</v>
      </c>
      <c r="BD417" s="225">
        <v>0</v>
      </c>
      <c r="BE417" s="225"/>
      <c r="BF417" s="225"/>
      <c r="BG417" s="225">
        <v>0</v>
      </c>
      <c r="BH417" s="225">
        <v>0</v>
      </c>
      <c r="BI417" s="225">
        <v>0</v>
      </c>
      <c r="BJ417" s="248"/>
      <c r="BK417" s="248"/>
      <c r="BL417" s="248"/>
      <c r="BM417" s="248">
        <f t="shared" si="191"/>
        <v>1485</v>
      </c>
      <c r="BN417" s="249"/>
      <c r="BO417" s="225"/>
      <c r="BP417" s="248"/>
      <c r="BQ417" s="249"/>
      <c r="BR417" s="225"/>
      <c r="BS417" s="225"/>
      <c r="BT417" s="225"/>
      <c r="BU417" s="225"/>
      <c r="BV417" s="225"/>
      <c r="BW417" s="225"/>
      <c r="BX417" s="225"/>
      <c r="BY417" s="225"/>
      <c r="BZ417" s="225"/>
      <c r="CA417" s="225"/>
      <c r="CB417" s="225"/>
      <c r="CC417" s="227">
        <f t="shared" si="182"/>
        <v>1485</v>
      </c>
      <c r="CD417" s="244"/>
      <c r="CE417" s="244"/>
      <c r="CF417" s="244"/>
    </row>
    <row r="418" spans="1:84" x14ac:dyDescent="0.2">
      <c r="A418" s="245" t="s">
        <v>224</v>
      </c>
      <c r="B418" s="247" t="s">
        <v>320</v>
      </c>
      <c r="C418" s="246" t="s">
        <v>225</v>
      </c>
      <c r="D418" s="246" t="s">
        <v>290</v>
      </c>
      <c r="E418" s="247" t="s">
        <v>228</v>
      </c>
      <c r="F418" s="247" t="s">
        <v>716</v>
      </c>
      <c r="G418" s="233" t="str">
        <f t="shared" si="184"/>
        <v>1</v>
      </c>
      <c r="H418" s="233" t="str">
        <f t="shared" si="185"/>
        <v>0</v>
      </c>
      <c r="I418" s="233" t="str">
        <f t="shared" si="186"/>
        <v>0</v>
      </c>
      <c r="J418" s="233" t="str">
        <f t="shared" si="187"/>
        <v>0</v>
      </c>
      <c r="K418" s="233" t="str">
        <f t="shared" si="188"/>
        <v>1000</v>
      </c>
      <c r="L418" s="247" t="str">
        <f t="shared" si="183"/>
        <v>21807106Turnaround Network</v>
      </c>
      <c r="M418" s="225">
        <v>125997</v>
      </c>
      <c r="N418" s="225"/>
      <c r="O418" s="225"/>
      <c r="P418" s="225"/>
      <c r="Q418" s="225">
        <f>SUM(M418:P418)</f>
        <v>125997</v>
      </c>
      <c r="R418" s="225"/>
      <c r="S418" s="225">
        <v>0</v>
      </c>
      <c r="T418" s="225"/>
      <c r="U418" s="225"/>
      <c r="V418" s="225">
        <v>-27142</v>
      </c>
      <c r="W418" s="225"/>
      <c r="X418" s="225"/>
      <c r="Y418" s="225"/>
      <c r="Z418" s="225"/>
      <c r="AA418" s="225">
        <v>-19346</v>
      </c>
      <c r="AB418" s="225"/>
      <c r="AC418" s="225"/>
      <c r="AD418" s="225"/>
      <c r="AE418" s="225"/>
      <c r="AF418" s="225">
        <f t="shared" si="189"/>
        <v>79509</v>
      </c>
      <c r="AG418" s="225">
        <v>25000</v>
      </c>
      <c r="AH418" s="225">
        <v>0</v>
      </c>
      <c r="AI418" s="225"/>
      <c r="AJ418" s="225">
        <v>-7225</v>
      </c>
      <c r="AK418" s="225"/>
      <c r="AL418" s="225"/>
      <c r="AM418" s="225"/>
      <c r="AN418" s="225">
        <v>-72284</v>
      </c>
      <c r="AO418" s="225">
        <v>0</v>
      </c>
      <c r="AP418" s="225"/>
      <c r="AQ418" s="225"/>
      <c r="AR418" s="225"/>
      <c r="AS418" s="225"/>
      <c r="AT418" s="248">
        <v>0</v>
      </c>
      <c r="AU418" s="248">
        <v>0</v>
      </c>
      <c r="AV418" s="248">
        <v>0</v>
      </c>
      <c r="AW418" s="227">
        <f t="shared" si="190"/>
        <v>25000</v>
      </c>
      <c r="AX418" s="249">
        <v>47290.5</v>
      </c>
      <c r="AY418" s="225">
        <v>0</v>
      </c>
      <c r="AZ418" s="227"/>
      <c r="BA418" s="250">
        <v>0</v>
      </c>
      <c r="BB418" s="225">
        <v>-15658.05</v>
      </c>
      <c r="BC418" s="225">
        <v>0</v>
      </c>
      <c r="BD418" s="225">
        <v>0</v>
      </c>
      <c r="BE418" s="225"/>
      <c r="BF418" s="225"/>
      <c r="BG418" s="225">
        <v>-7286.99</v>
      </c>
      <c r="BH418" s="225">
        <v>-8718.74</v>
      </c>
      <c r="BI418" s="225">
        <v>0</v>
      </c>
      <c r="BJ418" s="248"/>
      <c r="BK418" s="248"/>
      <c r="BL418" s="248"/>
      <c r="BM418" s="248">
        <f t="shared" si="191"/>
        <v>40626.720000000001</v>
      </c>
      <c r="BN418" s="249"/>
      <c r="BO418" s="225"/>
      <c r="BP418" s="248"/>
      <c r="BQ418" s="249">
        <v>-14259.51</v>
      </c>
      <c r="BR418" s="225"/>
      <c r="BS418" s="225"/>
      <c r="BT418" s="225"/>
      <c r="BU418" s="225"/>
      <c r="BV418" s="225"/>
      <c r="BW418" s="225">
        <v>-16690.89</v>
      </c>
      <c r="BX418" s="225"/>
      <c r="BY418" s="225"/>
      <c r="BZ418" s="225"/>
      <c r="CA418" s="225"/>
      <c r="CB418" s="225"/>
      <c r="CC418" s="227">
        <f t="shared" si="182"/>
        <v>9676.32</v>
      </c>
      <c r="CD418" s="244"/>
      <c r="CE418" s="244"/>
      <c r="CF418" s="244"/>
    </row>
    <row r="419" spans="1:84" x14ac:dyDescent="0.2">
      <c r="A419" s="245" t="s">
        <v>224</v>
      </c>
      <c r="B419" s="247" t="s">
        <v>34</v>
      </c>
      <c r="C419" s="246" t="s">
        <v>225</v>
      </c>
      <c r="D419" s="246" t="s">
        <v>111</v>
      </c>
      <c r="E419" s="247" t="s">
        <v>228</v>
      </c>
      <c r="F419" s="247" t="s">
        <v>716</v>
      </c>
      <c r="G419" s="233" t="str">
        <f t="shared" si="184"/>
        <v>1</v>
      </c>
      <c r="H419" s="233" t="str">
        <f t="shared" si="185"/>
        <v>1</v>
      </c>
      <c r="I419" s="233" t="str">
        <f t="shared" si="186"/>
        <v>0</v>
      </c>
      <c r="J419" s="233" t="str">
        <f t="shared" si="187"/>
        <v>0</v>
      </c>
      <c r="K419" s="233" t="str">
        <f t="shared" si="188"/>
        <v>1100</v>
      </c>
      <c r="L419" s="247" t="str">
        <f t="shared" si="183"/>
        <v>2180N/ATurnaround Network</v>
      </c>
      <c r="M419" s="225">
        <v>52843</v>
      </c>
      <c r="N419" s="225"/>
      <c r="O419" s="225"/>
      <c r="P419" s="225"/>
      <c r="Q419" s="225">
        <f>SUM(M419:P419)</f>
        <v>52843</v>
      </c>
      <c r="R419" s="225"/>
      <c r="S419" s="225">
        <v>42376</v>
      </c>
      <c r="T419" s="225"/>
      <c r="U419" s="225">
        <v>-1947</v>
      </c>
      <c r="V419" s="225"/>
      <c r="W419" s="225"/>
      <c r="X419" s="225"/>
      <c r="Y419" s="225"/>
      <c r="Z419" s="225"/>
      <c r="AA419" s="225">
        <v>-14940</v>
      </c>
      <c r="AB419" s="225"/>
      <c r="AC419" s="225"/>
      <c r="AD419" s="225"/>
      <c r="AE419" s="225"/>
      <c r="AF419" s="225">
        <f t="shared" si="189"/>
        <v>78332</v>
      </c>
      <c r="AG419" s="225"/>
      <c r="AH419" s="225">
        <v>0</v>
      </c>
      <c r="AI419" s="225"/>
      <c r="AJ419" s="225">
        <v>-27124</v>
      </c>
      <c r="AK419" s="225"/>
      <c r="AL419" s="225"/>
      <c r="AM419" s="225"/>
      <c r="AN419" s="225">
        <v>0</v>
      </c>
      <c r="AO419" s="225">
        <v>0</v>
      </c>
      <c r="AP419" s="225">
        <v>-41524.57</v>
      </c>
      <c r="AQ419" s="225"/>
      <c r="AR419" s="225"/>
      <c r="AS419" s="225"/>
      <c r="AT419" s="248">
        <v>0</v>
      </c>
      <c r="AU419" s="248">
        <v>0</v>
      </c>
      <c r="AV419" s="248">
        <v>0</v>
      </c>
      <c r="AW419" s="227">
        <f t="shared" si="190"/>
        <v>9683.43</v>
      </c>
      <c r="AX419" s="249">
        <v>94581</v>
      </c>
      <c r="AY419" s="225">
        <v>0</v>
      </c>
      <c r="AZ419" s="227"/>
      <c r="BA419" s="250">
        <v>0</v>
      </c>
      <c r="BB419" s="225">
        <v>0</v>
      </c>
      <c r="BC419" s="225">
        <v>0</v>
      </c>
      <c r="BD419" s="225">
        <v>0</v>
      </c>
      <c r="BE419" s="225"/>
      <c r="BF419" s="225"/>
      <c r="BG419" s="225">
        <v>0</v>
      </c>
      <c r="BH419" s="225">
        <v>-1462.17</v>
      </c>
      <c r="BI419" s="225">
        <v>0</v>
      </c>
      <c r="BJ419" s="248"/>
      <c r="BK419" s="248"/>
      <c r="BL419" s="248"/>
      <c r="BM419" s="248">
        <f t="shared" si="191"/>
        <v>102802.26</v>
      </c>
      <c r="BN419" s="249"/>
      <c r="BO419" s="225"/>
      <c r="BP419" s="248"/>
      <c r="BQ419" s="249">
        <v>-52966.05</v>
      </c>
      <c r="BR419" s="225"/>
      <c r="BS419" s="225">
        <v>-37549.300000000003</v>
      </c>
      <c r="BT419" s="225"/>
      <c r="BU419" s="225">
        <v>-9366.24</v>
      </c>
      <c r="BV419" s="225"/>
      <c r="BW419" s="225"/>
      <c r="BX419" s="225"/>
      <c r="BY419" s="225"/>
      <c r="BZ419" s="225"/>
      <c r="CA419" s="225"/>
      <c r="CB419" s="225"/>
      <c r="CC419" s="227">
        <f t="shared" si="182"/>
        <v>2920.6699999999892</v>
      </c>
      <c r="CD419" s="244"/>
      <c r="CE419" s="244"/>
      <c r="CF419" s="244"/>
    </row>
    <row r="420" spans="1:84" x14ac:dyDescent="0.2">
      <c r="A420" s="245" t="s">
        <v>19</v>
      </c>
      <c r="B420" s="247" t="s">
        <v>311</v>
      </c>
      <c r="C420" s="246" t="s">
        <v>98</v>
      </c>
      <c r="D420" s="246" t="s">
        <v>312</v>
      </c>
      <c r="E420" s="247" t="s">
        <v>228</v>
      </c>
      <c r="F420" s="247" t="s">
        <v>716</v>
      </c>
      <c r="G420" s="233" t="str">
        <f t="shared" si="184"/>
        <v>0</v>
      </c>
      <c r="H420" s="233" t="str">
        <f t="shared" si="185"/>
        <v>0</v>
      </c>
      <c r="I420" s="233" t="str">
        <f t="shared" si="186"/>
        <v>0</v>
      </c>
      <c r="J420" s="233" t="str">
        <f t="shared" si="187"/>
        <v>0</v>
      </c>
      <c r="K420" s="233" t="str">
        <f t="shared" si="188"/>
        <v>0000</v>
      </c>
      <c r="L420" s="247" t="str">
        <f t="shared" si="183"/>
        <v>26901304Turnaround Network</v>
      </c>
      <c r="M420" s="225"/>
      <c r="N420" s="225"/>
      <c r="O420" s="225"/>
      <c r="P420" s="225"/>
      <c r="Q420" s="225">
        <v>204</v>
      </c>
      <c r="R420" s="225"/>
      <c r="S420" s="225">
        <v>0</v>
      </c>
      <c r="T420" s="225"/>
      <c r="U420" s="225"/>
      <c r="V420" s="225"/>
      <c r="W420" s="225"/>
      <c r="X420" s="225"/>
      <c r="Y420" s="225"/>
      <c r="Z420" s="225"/>
      <c r="AA420" s="225"/>
      <c r="AB420" s="225"/>
      <c r="AC420" s="225"/>
      <c r="AD420" s="225"/>
      <c r="AE420" s="225"/>
      <c r="AF420" s="225">
        <f t="shared" si="189"/>
        <v>204</v>
      </c>
      <c r="AG420" s="225"/>
      <c r="AH420" s="225">
        <v>0</v>
      </c>
      <c r="AI420" s="225"/>
      <c r="AJ420" s="225"/>
      <c r="AK420" s="225"/>
      <c r="AL420" s="225"/>
      <c r="AM420" s="225"/>
      <c r="AN420" s="225">
        <v>0</v>
      </c>
      <c r="AO420" s="225">
        <v>0</v>
      </c>
      <c r="AP420" s="225"/>
      <c r="AQ420" s="225"/>
      <c r="AR420" s="225"/>
      <c r="AS420" s="225"/>
      <c r="AT420" s="248">
        <v>0</v>
      </c>
      <c r="AU420" s="248">
        <v>0</v>
      </c>
      <c r="AV420" s="248">
        <v>0</v>
      </c>
      <c r="AW420" s="227">
        <f t="shared" si="190"/>
        <v>204</v>
      </c>
      <c r="AX420" s="249">
        <v>0</v>
      </c>
      <c r="AY420" s="225">
        <v>0</v>
      </c>
      <c r="AZ420" s="227"/>
      <c r="BA420" s="250">
        <v>0</v>
      </c>
      <c r="BB420" s="225">
        <v>0</v>
      </c>
      <c r="BC420" s="225">
        <v>0</v>
      </c>
      <c r="BD420" s="225">
        <v>0</v>
      </c>
      <c r="BE420" s="225"/>
      <c r="BF420" s="225"/>
      <c r="BG420" s="225">
        <v>0</v>
      </c>
      <c r="BH420" s="225">
        <v>0</v>
      </c>
      <c r="BI420" s="225">
        <v>0</v>
      </c>
      <c r="BJ420" s="248"/>
      <c r="BK420" s="248"/>
      <c r="BL420" s="248"/>
      <c r="BM420" s="248">
        <f t="shared" si="191"/>
        <v>204</v>
      </c>
      <c r="BN420" s="249"/>
      <c r="BO420" s="225"/>
      <c r="BP420" s="248"/>
      <c r="BQ420" s="249"/>
      <c r="BR420" s="225"/>
      <c r="BS420" s="225" t="s">
        <v>701</v>
      </c>
      <c r="BT420" s="225"/>
      <c r="BU420" s="225"/>
      <c r="BV420" s="225"/>
      <c r="BW420" s="225"/>
      <c r="BX420" s="225"/>
      <c r="BY420" s="225"/>
      <c r="BZ420" s="225"/>
      <c r="CA420" s="225"/>
      <c r="CB420" s="225"/>
      <c r="CC420" s="227">
        <f t="shared" si="182"/>
        <v>204</v>
      </c>
      <c r="CD420" s="244"/>
      <c r="CE420" s="244"/>
      <c r="CF420" s="244"/>
    </row>
    <row r="421" spans="1:84" x14ac:dyDescent="0.2">
      <c r="A421" s="245" t="s">
        <v>19</v>
      </c>
      <c r="B421" s="246" t="s">
        <v>440</v>
      </c>
      <c r="C421" s="246" t="s">
        <v>98</v>
      </c>
      <c r="D421" s="246" t="s">
        <v>503</v>
      </c>
      <c r="E421" s="247" t="s">
        <v>228</v>
      </c>
      <c r="F421" s="247" t="s">
        <v>716</v>
      </c>
      <c r="G421" s="233" t="str">
        <f t="shared" si="184"/>
        <v>0</v>
      </c>
      <c r="H421" s="233" t="str">
        <f t="shared" si="185"/>
        <v>1</v>
      </c>
      <c r="I421" s="233" t="str">
        <f t="shared" si="186"/>
        <v>0</v>
      </c>
      <c r="J421" s="233" t="str">
        <f t="shared" si="187"/>
        <v>0</v>
      </c>
      <c r="K421" s="233" t="str">
        <f t="shared" si="188"/>
        <v>0100</v>
      </c>
      <c r="L421" s="247" t="str">
        <f t="shared" si="183"/>
        <v>26901454Turnaround Network</v>
      </c>
      <c r="M421" s="225"/>
      <c r="N421" s="225"/>
      <c r="O421" s="225"/>
      <c r="P421" s="225"/>
      <c r="Q421" s="225">
        <f>SUM(M421:P421)</f>
        <v>0</v>
      </c>
      <c r="R421" s="225"/>
      <c r="S421" s="225">
        <v>80000</v>
      </c>
      <c r="T421" s="225"/>
      <c r="U421" s="225"/>
      <c r="V421" s="225"/>
      <c r="W421" s="225"/>
      <c r="X421" s="225"/>
      <c r="Y421" s="225"/>
      <c r="Z421" s="225"/>
      <c r="AA421" s="225"/>
      <c r="AB421" s="225"/>
      <c r="AC421" s="225"/>
      <c r="AD421" s="225"/>
      <c r="AE421" s="225"/>
      <c r="AF421" s="225">
        <f t="shared" si="189"/>
        <v>80000</v>
      </c>
      <c r="AG421" s="225"/>
      <c r="AH421" s="225">
        <v>0</v>
      </c>
      <c r="AI421" s="225"/>
      <c r="AJ421" s="225"/>
      <c r="AK421" s="225"/>
      <c r="AL421" s="225"/>
      <c r="AM421" s="225"/>
      <c r="AN421" s="225">
        <v>0</v>
      </c>
      <c r="AO421" s="225">
        <v>0</v>
      </c>
      <c r="AP421" s="225">
        <v>-61962.8</v>
      </c>
      <c r="AQ421" s="225"/>
      <c r="AR421" s="225"/>
      <c r="AS421" s="225">
        <v>-14061.29</v>
      </c>
      <c r="AT421" s="248">
        <v>0</v>
      </c>
      <c r="AU421" s="248">
        <v>0</v>
      </c>
      <c r="AV421" s="248">
        <v>0</v>
      </c>
      <c r="AW421" s="227">
        <f t="shared" si="190"/>
        <v>3975.9099999999962</v>
      </c>
      <c r="AX421" s="249">
        <v>30000</v>
      </c>
      <c r="AY421" s="225">
        <v>0</v>
      </c>
      <c r="AZ421" s="227"/>
      <c r="BA421" s="250">
        <v>0</v>
      </c>
      <c r="BB421" s="225">
        <v>0</v>
      </c>
      <c r="BC421" s="225">
        <v>0</v>
      </c>
      <c r="BD421" s="225">
        <v>0</v>
      </c>
      <c r="BE421" s="225">
        <v>-2897.16</v>
      </c>
      <c r="BF421" s="225"/>
      <c r="BG421" s="225">
        <v>0</v>
      </c>
      <c r="BH421" s="225">
        <v>0</v>
      </c>
      <c r="BI421" s="225">
        <v>0</v>
      </c>
      <c r="BJ421" s="248"/>
      <c r="BK421" s="248">
        <v>-7617.41</v>
      </c>
      <c r="BL421" s="248">
        <v>-4048.5</v>
      </c>
      <c r="BM421" s="248">
        <f t="shared" si="191"/>
        <v>19412.839999999997</v>
      </c>
      <c r="BN421" s="249"/>
      <c r="BO421" s="225"/>
      <c r="BP421" s="248"/>
      <c r="BQ421" s="249"/>
      <c r="BR421" s="225"/>
      <c r="BS421" s="225"/>
      <c r="BT421" s="225">
        <v>-15660.05</v>
      </c>
      <c r="BU421" s="225"/>
      <c r="BV421" s="225"/>
      <c r="BW421" s="225"/>
      <c r="BX421" s="225"/>
      <c r="BY421" s="225"/>
      <c r="BZ421" s="225"/>
      <c r="CA421" s="225"/>
      <c r="CB421" s="225"/>
      <c r="CC421" s="227">
        <f t="shared" si="182"/>
        <v>3752.7899999999972</v>
      </c>
      <c r="CD421" s="244"/>
      <c r="CE421" s="244"/>
      <c r="CF421" s="244"/>
    </row>
    <row r="422" spans="1:84" x14ac:dyDescent="0.2">
      <c r="A422" s="245" t="s">
        <v>19</v>
      </c>
      <c r="B422" s="247" t="s">
        <v>245</v>
      </c>
      <c r="C422" s="246" t="s">
        <v>98</v>
      </c>
      <c r="D422" s="246" t="s">
        <v>263</v>
      </c>
      <c r="E422" s="247" t="s">
        <v>228</v>
      </c>
      <c r="F422" s="247" t="s">
        <v>716</v>
      </c>
      <c r="G422" s="233" t="str">
        <f t="shared" si="184"/>
        <v>1</v>
      </c>
      <c r="H422" s="233" t="str">
        <f t="shared" si="185"/>
        <v>1</v>
      </c>
      <c r="I422" s="233" t="str">
        <f t="shared" si="186"/>
        <v>0</v>
      </c>
      <c r="J422" s="233" t="str">
        <f t="shared" si="187"/>
        <v>0</v>
      </c>
      <c r="K422" s="233" t="str">
        <f t="shared" si="188"/>
        <v>1100</v>
      </c>
      <c r="L422" s="247" t="str">
        <f t="shared" si="183"/>
        <v>26902394Turnaround Network</v>
      </c>
      <c r="M422" s="225">
        <v>50296</v>
      </c>
      <c r="N422" s="225"/>
      <c r="O422" s="225"/>
      <c r="P422" s="225"/>
      <c r="Q422" s="225">
        <f>SUM(M422:P422)</f>
        <v>50296</v>
      </c>
      <c r="R422" s="225"/>
      <c r="S422" s="225">
        <v>80000</v>
      </c>
      <c r="T422" s="225"/>
      <c r="U422" s="225"/>
      <c r="V422" s="225"/>
      <c r="W422" s="225"/>
      <c r="X422" s="225">
        <v>-33911</v>
      </c>
      <c r="Y422" s="225">
        <v>-10192</v>
      </c>
      <c r="Z422" s="225"/>
      <c r="AA422" s="225"/>
      <c r="AB422" s="225"/>
      <c r="AC422" s="225"/>
      <c r="AD422" s="225"/>
      <c r="AE422" s="225"/>
      <c r="AF422" s="225">
        <f t="shared" si="189"/>
        <v>86193</v>
      </c>
      <c r="AG422" s="225"/>
      <c r="AH422" s="225">
        <v>0</v>
      </c>
      <c r="AI422" s="225"/>
      <c r="AJ422" s="225"/>
      <c r="AK422" s="225"/>
      <c r="AL422" s="225"/>
      <c r="AM422" s="225">
        <v>-13318</v>
      </c>
      <c r="AN422" s="225">
        <v>0</v>
      </c>
      <c r="AO422" s="225">
        <v>0</v>
      </c>
      <c r="AP422" s="225">
        <v>-11493.2</v>
      </c>
      <c r="AQ422" s="225"/>
      <c r="AR422" s="225"/>
      <c r="AS422" s="225"/>
      <c r="AT422" s="248">
        <v>-30606.560000000001</v>
      </c>
      <c r="AU422" s="248">
        <v>0</v>
      </c>
      <c r="AV422" s="248">
        <v>-486</v>
      </c>
      <c r="AW422" s="227">
        <f t="shared" si="190"/>
        <v>30289.24</v>
      </c>
      <c r="AX422" s="249">
        <v>30000</v>
      </c>
      <c r="AY422" s="225">
        <v>0</v>
      </c>
      <c r="AZ422" s="227"/>
      <c r="BA422" s="250">
        <v>0</v>
      </c>
      <c r="BB422" s="225">
        <v>0</v>
      </c>
      <c r="BC422" s="225">
        <v>0</v>
      </c>
      <c r="BD422" s="225">
        <v>-3066.47</v>
      </c>
      <c r="BE422" s="225">
        <v>-4748</v>
      </c>
      <c r="BF422" s="225">
        <v>-5708.04</v>
      </c>
      <c r="BG422" s="225">
        <v>-500</v>
      </c>
      <c r="BH422" s="225">
        <v>-6967.09</v>
      </c>
      <c r="BI422" s="225">
        <v>-4671</v>
      </c>
      <c r="BJ422" s="248">
        <v>-921</v>
      </c>
      <c r="BK422" s="248">
        <v>-6950</v>
      </c>
      <c r="BL422" s="248">
        <v>-3758.05</v>
      </c>
      <c r="BM422" s="248">
        <f t="shared" si="191"/>
        <v>22999.59</v>
      </c>
      <c r="BN422" s="249"/>
      <c r="BO422" s="225"/>
      <c r="BP422" s="248"/>
      <c r="BQ422" s="249"/>
      <c r="BR422" s="225"/>
      <c r="BS422" s="225"/>
      <c r="BT422" s="225">
        <v>-2476</v>
      </c>
      <c r="BU422" s="225"/>
      <c r="BV422" s="225"/>
      <c r="BW422" s="225">
        <v>-3663.06</v>
      </c>
      <c r="BX422" s="225"/>
      <c r="BY422" s="225"/>
      <c r="BZ422" s="225"/>
      <c r="CA422" s="225"/>
      <c r="CB422" s="225"/>
      <c r="CC422" s="227">
        <f t="shared" si="182"/>
        <v>16860.53</v>
      </c>
      <c r="CD422" s="244"/>
      <c r="CE422" s="244"/>
      <c r="CF422" s="244"/>
    </row>
    <row r="423" spans="1:84" x14ac:dyDescent="0.2">
      <c r="A423" s="245" t="s">
        <v>19</v>
      </c>
      <c r="B423" s="247" t="s">
        <v>246</v>
      </c>
      <c r="C423" s="246" t="s">
        <v>98</v>
      </c>
      <c r="D423" s="246" t="s">
        <v>264</v>
      </c>
      <c r="E423" s="247" t="s">
        <v>228</v>
      </c>
      <c r="F423" s="247" t="s">
        <v>716</v>
      </c>
      <c r="G423" s="233" t="str">
        <f t="shared" si="184"/>
        <v>1</v>
      </c>
      <c r="H423" s="233" t="str">
        <f t="shared" si="185"/>
        <v>1</v>
      </c>
      <c r="I423" s="233" t="str">
        <f t="shared" si="186"/>
        <v>0</v>
      </c>
      <c r="J423" s="233" t="str">
        <f t="shared" si="187"/>
        <v>0</v>
      </c>
      <c r="K423" s="233" t="str">
        <f t="shared" si="188"/>
        <v>1100</v>
      </c>
      <c r="L423" s="247" t="str">
        <f t="shared" si="183"/>
        <v>26903976Turnaround Network</v>
      </c>
      <c r="M423" s="225">
        <v>50196</v>
      </c>
      <c r="N423" s="225"/>
      <c r="O423" s="225"/>
      <c r="P423" s="225"/>
      <c r="Q423" s="225">
        <f>SUM(M423:P423)</f>
        <v>50196</v>
      </c>
      <c r="R423" s="225"/>
      <c r="S423" s="225">
        <v>80000</v>
      </c>
      <c r="T423" s="225"/>
      <c r="U423" s="225"/>
      <c r="V423" s="225"/>
      <c r="W423" s="225"/>
      <c r="X423" s="225">
        <v>-5482</v>
      </c>
      <c r="Y423" s="225">
        <v>-668</v>
      </c>
      <c r="Z423" s="225">
        <v>-11618</v>
      </c>
      <c r="AA423" s="225">
        <v>-2550</v>
      </c>
      <c r="AB423" s="225">
        <v>-8622</v>
      </c>
      <c r="AC423" s="225"/>
      <c r="AD423" s="225"/>
      <c r="AE423" s="225">
        <v>-13444</v>
      </c>
      <c r="AF423" s="225">
        <f t="shared" si="189"/>
        <v>87812</v>
      </c>
      <c r="AG423" s="225"/>
      <c r="AH423" s="225">
        <v>0</v>
      </c>
      <c r="AI423" s="225"/>
      <c r="AJ423" s="225"/>
      <c r="AK423" s="225"/>
      <c r="AL423" s="225"/>
      <c r="AM423" s="225">
        <v>-3578</v>
      </c>
      <c r="AN423" s="225">
        <v>0</v>
      </c>
      <c r="AO423" s="225">
        <v>0</v>
      </c>
      <c r="AP423" s="225">
        <v>-52255.55</v>
      </c>
      <c r="AQ423" s="225"/>
      <c r="AR423" s="225">
        <v>-18096.59</v>
      </c>
      <c r="AS423" s="225"/>
      <c r="AT423" s="248">
        <v>0</v>
      </c>
      <c r="AU423" s="248">
        <v>0</v>
      </c>
      <c r="AV423" s="248">
        <v>0</v>
      </c>
      <c r="AW423" s="227">
        <f t="shared" si="190"/>
        <v>13881.859999999997</v>
      </c>
      <c r="AX423" s="249">
        <v>30000</v>
      </c>
      <c r="AY423" s="225">
        <v>0</v>
      </c>
      <c r="AZ423" s="227"/>
      <c r="BA423" s="250">
        <v>0</v>
      </c>
      <c r="BB423" s="225">
        <v>0</v>
      </c>
      <c r="BC423" s="225">
        <v>0</v>
      </c>
      <c r="BD423" s="225">
        <v>0</v>
      </c>
      <c r="BE423" s="225">
        <v>-35519.22</v>
      </c>
      <c r="BF423" s="225">
        <v>-457.14</v>
      </c>
      <c r="BG423" s="225">
        <v>-36</v>
      </c>
      <c r="BH423" s="225">
        <v>0</v>
      </c>
      <c r="BI423" s="225">
        <v>0</v>
      </c>
      <c r="BJ423" s="248"/>
      <c r="BK423" s="248"/>
      <c r="BL423" s="248"/>
      <c r="BM423" s="248">
        <f t="shared" si="191"/>
        <v>7869.4999999999991</v>
      </c>
      <c r="BN423" s="249"/>
      <c r="BO423" s="225"/>
      <c r="BP423" s="248"/>
      <c r="BQ423" s="249"/>
      <c r="BR423" s="225"/>
      <c r="BS423" s="225"/>
      <c r="BT423" s="225">
        <v>-456.07</v>
      </c>
      <c r="BU423" s="225"/>
      <c r="BV423" s="225"/>
      <c r="BW423" s="225"/>
      <c r="BX423" s="225"/>
      <c r="BY423" s="225"/>
      <c r="BZ423" s="225"/>
      <c r="CA423" s="225"/>
      <c r="CB423" s="225"/>
      <c r="CC423" s="227">
        <f t="shared" si="182"/>
        <v>7413.4299999999994</v>
      </c>
      <c r="CD423" s="244"/>
      <c r="CE423" s="244"/>
      <c r="CF423" s="244"/>
    </row>
    <row r="424" spans="1:84" x14ac:dyDescent="0.2">
      <c r="A424" s="245" t="s">
        <v>19</v>
      </c>
      <c r="B424" s="247" t="s">
        <v>313</v>
      </c>
      <c r="C424" s="246" t="s">
        <v>98</v>
      </c>
      <c r="D424" s="246" t="s">
        <v>314</v>
      </c>
      <c r="E424" s="247" t="s">
        <v>228</v>
      </c>
      <c r="F424" s="247" t="s">
        <v>716</v>
      </c>
      <c r="G424" s="233" t="str">
        <f t="shared" si="184"/>
        <v>0</v>
      </c>
      <c r="H424" s="233" t="str">
        <f t="shared" si="185"/>
        <v>0</v>
      </c>
      <c r="I424" s="233" t="str">
        <f t="shared" si="186"/>
        <v>0</v>
      </c>
      <c r="J424" s="233" t="str">
        <f t="shared" si="187"/>
        <v>0</v>
      </c>
      <c r="K424" s="233" t="str">
        <f t="shared" si="188"/>
        <v>0000</v>
      </c>
      <c r="L424" s="247" t="str">
        <f t="shared" si="183"/>
        <v>26905048Turnaround Network</v>
      </c>
      <c r="M424" s="225"/>
      <c r="N424" s="225"/>
      <c r="O424" s="225"/>
      <c r="P424" s="225"/>
      <c r="Q424" s="225">
        <v>225</v>
      </c>
      <c r="R424" s="225"/>
      <c r="S424" s="225">
        <v>0</v>
      </c>
      <c r="T424" s="225"/>
      <c r="U424" s="225"/>
      <c r="V424" s="225"/>
      <c r="W424" s="225"/>
      <c r="X424" s="225"/>
      <c r="Y424" s="225"/>
      <c r="Z424" s="225"/>
      <c r="AA424" s="225"/>
      <c r="AB424" s="225"/>
      <c r="AC424" s="225"/>
      <c r="AD424" s="225"/>
      <c r="AE424" s="225"/>
      <c r="AF424" s="225">
        <f t="shared" si="189"/>
        <v>225</v>
      </c>
      <c r="AG424" s="225"/>
      <c r="AH424" s="225">
        <v>0</v>
      </c>
      <c r="AI424" s="225"/>
      <c r="AJ424" s="225"/>
      <c r="AK424" s="225"/>
      <c r="AL424" s="225"/>
      <c r="AM424" s="225"/>
      <c r="AN424" s="225">
        <v>0</v>
      </c>
      <c r="AO424" s="225">
        <v>0</v>
      </c>
      <c r="AP424" s="225"/>
      <c r="AQ424" s="225"/>
      <c r="AR424" s="225"/>
      <c r="AS424" s="225"/>
      <c r="AT424" s="248">
        <v>0</v>
      </c>
      <c r="AU424" s="248">
        <v>0</v>
      </c>
      <c r="AV424" s="248">
        <v>0</v>
      </c>
      <c r="AW424" s="227">
        <f t="shared" si="190"/>
        <v>225</v>
      </c>
      <c r="AX424" s="249">
        <v>0</v>
      </c>
      <c r="AY424" s="225">
        <v>0</v>
      </c>
      <c r="AZ424" s="227"/>
      <c r="BA424" s="250">
        <v>0</v>
      </c>
      <c r="BB424" s="225">
        <v>0</v>
      </c>
      <c r="BC424" s="225">
        <v>0</v>
      </c>
      <c r="BD424" s="225">
        <v>0</v>
      </c>
      <c r="BE424" s="225"/>
      <c r="BF424" s="225"/>
      <c r="BG424" s="225">
        <v>0</v>
      </c>
      <c r="BH424" s="225">
        <v>0</v>
      </c>
      <c r="BI424" s="225">
        <v>0</v>
      </c>
      <c r="BJ424" s="248"/>
      <c r="BK424" s="248"/>
      <c r="BL424" s="248"/>
      <c r="BM424" s="248">
        <f t="shared" si="191"/>
        <v>225</v>
      </c>
      <c r="BN424" s="249"/>
      <c r="BO424" s="225"/>
      <c r="BP424" s="248"/>
      <c r="BQ424" s="249"/>
      <c r="BR424" s="225"/>
      <c r="BS424" s="225"/>
      <c r="BT424" s="225"/>
      <c r="BU424" s="225"/>
      <c r="BV424" s="225"/>
      <c r="BW424" s="225"/>
      <c r="BX424" s="225"/>
      <c r="BY424" s="225"/>
      <c r="BZ424" s="225"/>
      <c r="CA424" s="225"/>
      <c r="CB424" s="225"/>
      <c r="CC424" s="227">
        <f t="shared" si="182"/>
        <v>225</v>
      </c>
      <c r="CD424" s="244"/>
      <c r="CE424" s="244"/>
      <c r="CF424" s="244"/>
    </row>
    <row r="425" spans="1:84" x14ac:dyDescent="0.2">
      <c r="A425" s="245" t="s">
        <v>19</v>
      </c>
      <c r="B425" s="247" t="s">
        <v>34</v>
      </c>
      <c r="C425" s="246" t="s">
        <v>98</v>
      </c>
      <c r="D425" s="246" t="s">
        <v>809</v>
      </c>
      <c r="E425" s="247" t="s">
        <v>456</v>
      </c>
      <c r="F425" s="247"/>
      <c r="G425" s="233"/>
      <c r="H425" s="233"/>
      <c r="I425" s="233"/>
      <c r="J425" s="233"/>
      <c r="K425" s="233"/>
      <c r="L425" s="247"/>
      <c r="M425" s="225"/>
      <c r="N425" s="225"/>
      <c r="O425" s="225"/>
      <c r="P425" s="225"/>
      <c r="Q425" s="225"/>
      <c r="R425" s="225"/>
      <c r="S425" s="225"/>
      <c r="T425" s="225"/>
      <c r="U425" s="225"/>
      <c r="V425" s="225"/>
      <c r="W425" s="225"/>
      <c r="X425" s="225"/>
      <c r="Y425" s="225"/>
      <c r="Z425" s="225">
        <v>74600</v>
      </c>
      <c r="AA425" s="225"/>
      <c r="AB425" s="225"/>
      <c r="AC425" s="225"/>
      <c r="AD425" s="225">
        <v>74600</v>
      </c>
      <c r="AE425" s="225"/>
      <c r="AF425" s="225"/>
      <c r="AG425" s="225"/>
      <c r="AH425" s="225">
        <v>10400</v>
      </c>
      <c r="AI425" s="225"/>
      <c r="AJ425" s="225"/>
      <c r="AK425" s="225"/>
      <c r="AL425" s="225"/>
      <c r="AM425" s="225"/>
      <c r="AN425" s="225"/>
      <c r="AO425" s="225"/>
      <c r="AP425" s="225"/>
      <c r="AQ425" s="225"/>
      <c r="AR425" s="225"/>
      <c r="AS425" s="225"/>
      <c r="AT425" s="248"/>
      <c r="AU425" s="248">
        <v>0</v>
      </c>
      <c r="AV425" s="248">
        <v>0</v>
      </c>
      <c r="AW425" s="227">
        <v>0</v>
      </c>
      <c r="AX425" s="249">
        <v>85000</v>
      </c>
      <c r="AY425" s="225"/>
      <c r="AZ425" s="227"/>
      <c r="BA425" s="250"/>
      <c r="BB425" s="225"/>
      <c r="BC425" s="225"/>
      <c r="BD425" s="225"/>
      <c r="BE425" s="225"/>
      <c r="BF425" s="225"/>
      <c r="BG425" s="225"/>
      <c r="BH425" s="225"/>
      <c r="BI425" s="225"/>
      <c r="BJ425" s="248"/>
      <c r="BK425" s="248"/>
      <c r="BL425" s="248"/>
      <c r="BM425" s="248"/>
      <c r="BN425" s="249"/>
      <c r="BO425" s="225"/>
      <c r="BP425" s="248">
        <v>10400</v>
      </c>
      <c r="BQ425" s="249"/>
      <c r="BR425" s="225"/>
      <c r="BS425" s="225"/>
      <c r="BT425" s="225"/>
      <c r="BU425" s="225"/>
      <c r="BV425" s="225"/>
      <c r="BW425" s="225"/>
      <c r="BX425" s="225"/>
      <c r="BY425" s="225"/>
      <c r="BZ425" s="225"/>
      <c r="CA425" s="225"/>
      <c r="CB425" s="225"/>
      <c r="CC425" s="227">
        <f t="shared" si="182"/>
        <v>10400</v>
      </c>
      <c r="CD425" s="244"/>
      <c r="CE425" s="244"/>
      <c r="CF425" s="244"/>
    </row>
    <row r="426" spans="1:84" x14ac:dyDescent="0.2">
      <c r="A426" s="245" t="s">
        <v>19</v>
      </c>
      <c r="B426" s="247" t="s">
        <v>34</v>
      </c>
      <c r="C426" s="246" t="s">
        <v>98</v>
      </c>
      <c r="D426" s="246" t="s">
        <v>111</v>
      </c>
      <c r="E426" s="247" t="s">
        <v>456</v>
      </c>
      <c r="F426" s="247"/>
      <c r="G426" s="233"/>
      <c r="H426" s="233"/>
      <c r="I426" s="233"/>
      <c r="J426" s="233"/>
      <c r="K426" s="233"/>
      <c r="L426" s="247"/>
      <c r="M426" s="225"/>
      <c r="N426" s="225"/>
      <c r="O426" s="225"/>
      <c r="P426" s="225"/>
      <c r="Q426" s="225"/>
      <c r="R426" s="225"/>
      <c r="S426" s="225"/>
      <c r="T426" s="225"/>
      <c r="U426" s="225"/>
      <c r="V426" s="225"/>
      <c r="W426" s="225"/>
      <c r="X426" s="225"/>
      <c r="Y426" s="225"/>
      <c r="Z426" s="225">
        <v>74600</v>
      </c>
      <c r="AA426" s="225"/>
      <c r="AB426" s="225"/>
      <c r="AC426" s="225"/>
      <c r="AD426" s="225">
        <v>74600</v>
      </c>
      <c r="AE426" s="225"/>
      <c r="AF426" s="225"/>
      <c r="AG426" s="225"/>
      <c r="AH426" s="225">
        <v>10400</v>
      </c>
      <c r="AI426" s="225"/>
      <c r="AJ426" s="225"/>
      <c r="AK426" s="225"/>
      <c r="AL426" s="225"/>
      <c r="AM426" s="225"/>
      <c r="AN426" s="225"/>
      <c r="AO426" s="225"/>
      <c r="AP426" s="225"/>
      <c r="AQ426" s="225"/>
      <c r="AR426" s="225"/>
      <c r="AS426" s="225"/>
      <c r="AT426" s="248"/>
      <c r="AU426" s="248">
        <v>0</v>
      </c>
      <c r="AV426" s="248">
        <v>0</v>
      </c>
      <c r="AW426" s="227">
        <v>0</v>
      </c>
      <c r="AX426" s="249">
        <v>85000</v>
      </c>
      <c r="AY426" s="225"/>
      <c r="AZ426" s="227"/>
      <c r="BA426" s="250"/>
      <c r="BB426" s="225"/>
      <c r="BC426" s="225"/>
      <c r="BD426" s="225"/>
      <c r="BE426" s="225"/>
      <c r="BF426" s="225"/>
      <c r="BG426" s="225"/>
      <c r="BH426" s="225"/>
      <c r="BI426" s="225"/>
      <c r="BJ426" s="248"/>
      <c r="BK426" s="248"/>
      <c r="BL426" s="248"/>
      <c r="BM426" s="248"/>
      <c r="BN426" s="249"/>
      <c r="BO426" s="225"/>
      <c r="BP426" s="248">
        <v>10400</v>
      </c>
      <c r="BQ426" s="249"/>
      <c r="BR426" s="225"/>
      <c r="BS426" s="225"/>
      <c r="BT426" s="225"/>
      <c r="BU426" s="225"/>
      <c r="BV426" s="225"/>
      <c r="BW426" s="225"/>
      <c r="BX426" s="225"/>
      <c r="BY426" s="225"/>
      <c r="BZ426" s="225"/>
      <c r="CA426" s="225"/>
      <c r="CB426" s="225"/>
      <c r="CC426" s="227">
        <f t="shared" si="182"/>
        <v>10400</v>
      </c>
      <c r="CD426" s="244"/>
      <c r="CE426" s="244"/>
      <c r="CF426" s="244"/>
    </row>
    <row r="427" spans="1:84" x14ac:dyDescent="0.2">
      <c r="A427" s="245" t="s">
        <v>19</v>
      </c>
      <c r="B427" s="247" t="s">
        <v>247</v>
      </c>
      <c r="C427" s="246" t="s">
        <v>98</v>
      </c>
      <c r="D427" s="246" t="s">
        <v>275</v>
      </c>
      <c r="E427" s="247" t="s">
        <v>228</v>
      </c>
      <c r="F427" s="247" t="s">
        <v>716</v>
      </c>
      <c r="G427" s="233" t="str">
        <f t="shared" si="184"/>
        <v>1</v>
      </c>
      <c r="H427" s="233" t="str">
        <f t="shared" si="185"/>
        <v>1</v>
      </c>
      <c r="I427" s="233" t="str">
        <f t="shared" si="186"/>
        <v>0</v>
      </c>
      <c r="J427" s="233" t="str">
        <f t="shared" si="187"/>
        <v>0</v>
      </c>
      <c r="K427" s="233" t="str">
        <f t="shared" si="188"/>
        <v>1100</v>
      </c>
      <c r="L427" s="247" t="str">
        <f t="shared" si="183"/>
        <v>26906770Turnaround Network</v>
      </c>
      <c r="M427" s="225">
        <v>53525</v>
      </c>
      <c r="N427" s="225"/>
      <c r="O427" s="225"/>
      <c r="P427" s="225"/>
      <c r="Q427" s="225">
        <f t="shared" ref="Q427:Q435" si="192">SUM(M427:P427)</f>
        <v>53525</v>
      </c>
      <c r="R427" s="225"/>
      <c r="S427" s="225">
        <v>80000</v>
      </c>
      <c r="T427" s="225"/>
      <c r="U427" s="225"/>
      <c r="V427" s="225"/>
      <c r="W427" s="225"/>
      <c r="X427" s="225"/>
      <c r="Y427" s="225">
        <v>-3868</v>
      </c>
      <c r="Z427" s="225">
        <v>-4673</v>
      </c>
      <c r="AA427" s="225">
        <v>-9255</v>
      </c>
      <c r="AB427" s="225"/>
      <c r="AC427" s="225"/>
      <c r="AD427" s="225"/>
      <c r="AE427" s="225">
        <v>-1968</v>
      </c>
      <c r="AF427" s="225">
        <f t="shared" si="189"/>
        <v>113761</v>
      </c>
      <c r="AG427" s="225"/>
      <c r="AH427" s="225">
        <v>0</v>
      </c>
      <c r="AI427" s="225"/>
      <c r="AJ427" s="225"/>
      <c r="AK427" s="225"/>
      <c r="AL427" s="225"/>
      <c r="AM427" s="225">
        <v>-17086</v>
      </c>
      <c r="AN427" s="225">
        <v>0</v>
      </c>
      <c r="AO427" s="225">
        <v>0</v>
      </c>
      <c r="AP427" s="225">
        <v>-8999.44</v>
      </c>
      <c r="AQ427" s="225"/>
      <c r="AR427" s="225">
        <v>-14791.73</v>
      </c>
      <c r="AS427" s="225"/>
      <c r="AT427" s="248">
        <v>0</v>
      </c>
      <c r="AU427" s="248">
        <v>-4447.3999999999996</v>
      </c>
      <c r="AV427" s="248">
        <v>-1044</v>
      </c>
      <c r="AW427" s="227">
        <f t="shared" si="190"/>
        <v>67392.430000000008</v>
      </c>
      <c r="AX427" s="249">
        <v>30000</v>
      </c>
      <c r="AY427" s="225">
        <v>0</v>
      </c>
      <c r="AZ427" s="227"/>
      <c r="BA427" s="250">
        <v>0</v>
      </c>
      <c r="BB427" s="225">
        <v>0</v>
      </c>
      <c r="BC427" s="225">
        <v>0</v>
      </c>
      <c r="BD427" s="225">
        <v>0</v>
      </c>
      <c r="BE427" s="225"/>
      <c r="BF427" s="225"/>
      <c r="BG427" s="225">
        <v>-17183.45</v>
      </c>
      <c r="BH427" s="225">
        <v>-1575.57</v>
      </c>
      <c r="BI427" s="225">
        <v>-2263.0500000000002</v>
      </c>
      <c r="BJ427" s="248">
        <v>-2745.05</v>
      </c>
      <c r="BK427" s="248">
        <v>-2263.0500000000002</v>
      </c>
      <c r="BL427" s="248">
        <v>-2621.0500000000002</v>
      </c>
      <c r="BM427" s="248">
        <f t="shared" si="191"/>
        <v>68741.209999999992</v>
      </c>
      <c r="BN427" s="249"/>
      <c r="BO427" s="225"/>
      <c r="BP427" s="248"/>
      <c r="BQ427" s="249"/>
      <c r="BR427" s="225"/>
      <c r="BS427" s="225"/>
      <c r="BT427" s="225">
        <v>-7318.23</v>
      </c>
      <c r="BU427" s="225"/>
      <c r="BV427" s="225"/>
      <c r="BW427" s="225"/>
      <c r="BX427" s="225"/>
      <c r="BY427" s="225"/>
      <c r="BZ427" s="225"/>
      <c r="CA427" s="225"/>
      <c r="CB427" s="225"/>
      <c r="CC427" s="227">
        <f t="shared" si="182"/>
        <v>61422.979999999996</v>
      </c>
      <c r="CD427" s="244"/>
      <c r="CE427" s="244"/>
      <c r="CF427" s="244"/>
    </row>
    <row r="428" spans="1:84" x14ac:dyDescent="0.2">
      <c r="A428" s="245" t="s">
        <v>19</v>
      </c>
      <c r="B428" s="247" t="s">
        <v>34</v>
      </c>
      <c r="C428" s="246" t="s">
        <v>98</v>
      </c>
      <c r="D428" s="246" t="s">
        <v>111</v>
      </c>
      <c r="E428" s="247" t="s">
        <v>228</v>
      </c>
      <c r="F428" s="247" t="s">
        <v>716</v>
      </c>
      <c r="G428" s="233" t="str">
        <f t="shared" si="184"/>
        <v>1</v>
      </c>
      <c r="H428" s="233" t="str">
        <f t="shared" si="185"/>
        <v>1</v>
      </c>
      <c r="I428" s="233" t="str">
        <f t="shared" si="186"/>
        <v>0</v>
      </c>
      <c r="J428" s="233" t="str">
        <f t="shared" si="187"/>
        <v>0</v>
      </c>
      <c r="K428" s="233" t="str">
        <f t="shared" si="188"/>
        <v>1100</v>
      </c>
      <c r="L428" s="247" t="str">
        <f t="shared" si="183"/>
        <v>2690N/ATurnaround Network</v>
      </c>
      <c r="M428" s="225">
        <v>56202</v>
      </c>
      <c r="N428" s="225"/>
      <c r="O428" s="225"/>
      <c r="P428" s="225"/>
      <c r="Q428" s="225">
        <f t="shared" si="192"/>
        <v>56202</v>
      </c>
      <c r="R428" s="225"/>
      <c r="S428" s="225">
        <v>40000</v>
      </c>
      <c r="T428" s="225"/>
      <c r="U428" s="225"/>
      <c r="V428" s="225"/>
      <c r="W428" s="225"/>
      <c r="X428" s="225">
        <v>-56202</v>
      </c>
      <c r="Y428" s="225"/>
      <c r="Z428" s="225"/>
      <c r="AA428" s="225"/>
      <c r="AB428" s="225"/>
      <c r="AC428" s="225"/>
      <c r="AD428" s="225"/>
      <c r="AE428" s="225"/>
      <c r="AF428" s="225">
        <f t="shared" si="189"/>
        <v>40000</v>
      </c>
      <c r="AG428" s="225"/>
      <c r="AH428" s="225">
        <v>0</v>
      </c>
      <c r="AI428" s="225"/>
      <c r="AJ428" s="225"/>
      <c r="AK428" s="225"/>
      <c r="AL428" s="225"/>
      <c r="AM428" s="225">
        <v>-40000</v>
      </c>
      <c r="AN428" s="225">
        <v>0</v>
      </c>
      <c r="AO428" s="225">
        <v>0</v>
      </c>
      <c r="AP428" s="225"/>
      <c r="AQ428" s="225"/>
      <c r="AR428" s="225"/>
      <c r="AS428" s="225"/>
      <c r="AT428" s="248">
        <v>0</v>
      </c>
      <c r="AU428" s="248">
        <v>0</v>
      </c>
      <c r="AV428" s="248">
        <v>0</v>
      </c>
      <c r="AW428" s="227">
        <f t="shared" si="190"/>
        <v>0</v>
      </c>
      <c r="AX428" s="249">
        <v>40000</v>
      </c>
      <c r="AY428" s="225">
        <v>0</v>
      </c>
      <c r="AZ428" s="227"/>
      <c r="BA428" s="250">
        <v>0</v>
      </c>
      <c r="BB428" s="225">
        <v>0</v>
      </c>
      <c r="BC428" s="225">
        <v>0</v>
      </c>
      <c r="BD428" s="225">
        <v>0</v>
      </c>
      <c r="BE428" s="225">
        <v>-3917</v>
      </c>
      <c r="BF428" s="225"/>
      <c r="BG428" s="225">
        <v>0</v>
      </c>
      <c r="BH428" s="225">
        <v>0</v>
      </c>
      <c r="BI428" s="225">
        <v>0</v>
      </c>
      <c r="BJ428" s="248">
        <v>-10717.1</v>
      </c>
      <c r="BK428" s="248">
        <v>-4387.5</v>
      </c>
      <c r="BL428" s="248"/>
      <c r="BM428" s="248">
        <f t="shared" si="191"/>
        <v>20978.400000000001</v>
      </c>
      <c r="BN428" s="249"/>
      <c r="BO428" s="225"/>
      <c r="BP428" s="248"/>
      <c r="BQ428" s="249"/>
      <c r="BR428" s="225"/>
      <c r="BS428" s="225"/>
      <c r="BT428" s="225">
        <v>-4663.4799999999996</v>
      </c>
      <c r="BU428" s="225"/>
      <c r="BV428" s="225"/>
      <c r="BW428" s="225">
        <v>-3659.74</v>
      </c>
      <c r="BX428" s="225"/>
      <c r="BY428" s="225"/>
      <c r="BZ428" s="225"/>
      <c r="CA428" s="225"/>
      <c r="CB428" s="225"/>
      <c r="CC428" s="227">
        <f t="shared" si="182"/>
        <v>12655.180000000002</v>
      </c>
      <c r="CD428" s="244"/>
      <c r="CE428" s="244"/>
      <c r="CF428" s="244"/>
    </row>
    <row r="429" spans="1:84" x14ac:dyDescent="0.2">
      <c r="A429" s="245" t="s">
        <v>21</v>
      </c>
      <c r="B429" s="247" t="s">
        <v>48</v>
      </c>
      <c r="C429" s="246" t="s">
        <v>100</v>
      </c>
      <c r="D429" s="246" t="s">
        <v>124</v>
      </c>
      <c r="E429" s="247" t="s">
        <v>228</v>
      </c>
      <c r="F429" s="247" t="s">
        <v>716</v>
      </c>
      <c r="G429" s="233" t="str">
        <f t="shared" si="184"/>
        <v>1</v>
      </c>
      <c r="H429" s="233" t="str">
        <f t="shared" si="185"/>
        <v>0</v>
      </c>
      <c r="I429" s="233" t="str">
        <f t="shared" si="186"/>
        <v>0</v>
      </c>
      <c r="J429" s="233" t="str">
        <f t="shared" si="187"/>
        <v>0</v>
      </c>
      <c r="K429" s="233" t="str">
        <f t="shared" si="188"/>
        <v>1000</v>
      </c>
      <c r="L429" s="247" t="str">
        <f t="shared" si="183"/>
        <v>31201384Turnaround Network</v>
      </c>
      <c r="M429" s="225">
        <v>50000</v>
      </c>
      <c r="N429" s="225"/>
      <c r="O429" s="225"/>
      <c r="P429" s="225"/>
      <c r="Q429" s="225">
        <f t="shared" si="192"/>
        <v>50000</v>
      </c>
      <c r="R429" s="225"/>
      <c r="S429" s="225">
        <v>0</v>
      </c>
      <c r="T429" s="225"/>
      <c r="U429" s="225"/>
      <c r="V429" s="225"/>
      <c r="W429" s="225"/>
      <c r="X429" s="225">
        <v>-26395</v>
      </c>
      <c r="Y429" s="225">
        <v>-10969</v>
      </c>
      <c r="Z429" s="225">
        <v>-1314</v>
      </c>
      <c r="AA429" s="225"/>
      <c r="AB429" s="225"/>
      <c r="AC429" s="225">
        <v>-10732</v>
      </c>
      <c r="AD429" s="225">
        <v>-590</v>
      </c>
      <c r="AE429" s="225"/>
      <c r="AF429" s="225">
        <f t="shared" si="189"/>
        <v>0</v>
      </c>
      <c r="AG429" s="225"/>
      <c r="AH429" s="225">
        <v>0</v>
      </c>
      <c r="AI429" s="225"/>
      <c r="AJ429" s="225"/>
      <c r="AK429" s="225"/>
      <c r="AL429" s="225"/>
      <c r="AM429" s="225"/>
      <c r="AN429" s="225">
        <v>0</v>
      </c>
      <c r="AO429" s="225">
        <v>0</v>
      </c>
      <c r="AP429" s="225"/>
      <c r="AQ429" s="225"/>
      <c r="AR429" s="225"/>
      <c r="AS429" s="225"/>
      <c r="AT429" s="248">
        <v>0</v>
      </c>
      <c r="AU429" s="248">
        <v>0</v>
      </c>
      <c r="AV429" s="248">
        <v>0</v>
      </c>
      <c r="AW429" s="227">
        <f t="shared" si="190"/>
        <v>0</v>
      </c>
      <c r="AX429" s="249">
        <v>0</v>
      </c>
      <c r="AY429" s="225">
        <v>0</v>
      </c>
      <c r="AZ429" s="227"/>
      <c r="BA429" s="250">
        <v>0</v>
      </c>
      <c r="BB429" s="225">
        <v>0</v>
      </c>
      <c r="BC429" s="225">
        <v>0</v>
      </c>
      <c r="BD429" s="225">
        <v>0</v>
      </c>
      <c r="BE429" s="225"/>
      <c r="BF429" s="225"/>
      <c r="BG429" s="225">
        <v>0</v>
      </c>
      <c r="BH429" s="225">
        <v>0</v>
      </c>
      <c r="BI429" s="225">
        <v>0</v>
      </c>
      <c r="BJ429" s="248"/>
      <c r="BK429" s="248"/>
      <c r="BL429" s="248"/>
      <c r="BM429" s="248">
        <f t="shared" si="191"/>
        <v>0</v>
      </c>
      <c r="BN429" s="249"/>
      <c r="BO429" s="225"/>
      <c r="BP429" s="248"/>
      <c r="BQ429" s="249"/>
      <c r="BR429" s="225"/>
      <c r="BS429" s="225"/>
      <c r="BT429" s="225"/>
      <c r="BU429" s="225"/>
      <c r="BV429" s="225"/>
      <c r="BW429" s="225"/>
      <c r="BX429" s="225"/>
      <c r="BY429" s="225"/>
      <c r="BZ429" s="225"/>
      <c r="CA429" s="225"/>
      <c r="CB429" s="225"/>
      <c r="CC429" s="227">
        <f t="shared" si="182"/>
        <v>0</v>
      </c>
      <c r="CD429" s="244"/>
      <c r="CE429" s="244"/>
      <c r="CF429" s="244"/>
    </row>
    <row r="430" spans="1:84" x14ac:dyDescent="0.2">
      <c r="A430" s="245" t="s">
        <v>21</v>
      </c>
      <c r="B430" s="247" t="s">
        <v>248</v>
      </c>
      <c r="C430" s="246" t="s">
        <v>100</v>
      </c>
      <c r="D430" s="246" t="s">
        <v>265</v>
      </c>
      <c r="E430" s="247" t="s">
        <v>228</v>
      </c>
      <c r="F430" s="247" t="s">
        <v>716</v>
      </c>
      <c r="G430" s="233" t="str">
        <f t="shared" si="184"/>
        <v>1</v>
      </c>
      <c r="H430" s="233" t="str">
        <f t="shared" si="185"/>
        <v>0</v>
      </c>
      <c r="I430" s="233" t="str">
        <f t="shared" si="186"/>
        <v>0</v>
      </c>
      <c r="J430" s="233" t="str">
        <f t="shared" si="187"/>
        <v>0</v>
      </c>
      <c r="K430" s="233" t="str">
        <f t="shared" si="188"/>
        <v>1000</v>
      </c>
      <c r="L430" s="247" t="str">
        <f t="shared" si="183"/>
        <v>31203162Turnaround Network</v>
      </c>
      <c r="M430" s="225">
        <v>100000</v>
      </c>
      <c r="N430" s="225"/>
      <c r="O430" s="225"/>
      <c r="P430" s="225"/>
      <c r="Q430" s="225">
        <f t="shared" si="192"/>
        <v>100000</v>
      </c>
      <c r="R430" s="225"/>
      <c r="S430" s="225">
        <v>0</v>
      </c>
      <c r="T430" s="225"/>
      <c r="U430" s="225"/>
      <c r="V430" s="225"/>
      <c r="W430" s="225"/>
      <c r="X430" s="225">
        <v>-9633</v>
      </c>
      <c r="Y430" s="225">
        <v>-2485</v>
      </c>
      <c r="Z430" s="225">
        <v>-2686</v>
      </c>
      <c r="AA430" s="225">
        <v>-549</v>
      </c>
      <c r="AB430" s="225"/>
      <c r="AC430" s="225">
        <v>-3860</v>
      </c>
      <c r="AD430" s="225">
        <v>-3256.22</v>
      </c>
      <c r="AE430" s="225"/>
      <c r="AF430" s="225">
        <f t="shared" si="189"/>
        <v>77530.78</v>
      </c>
      <c r="AG430" s="225"/>
      <c r="AH430" s="225">
        <v>0</v>
      </c>
      <c r="AI430" s="225"/>
      <c r="AJ430" s="225"/>
      <c r="AK430" s="225"/>
      <c r="AL430" s="225">
        <v>-2097.8000000000002</v>
      </c>
      <c r="AM430" s="225">
        <v>-17224.150000000001</v>
      </c>
      <c r="AN430" s="225">
        <v>-58208.83</v>
      </c>
      <c r="AO430" s="225">
        <v>0</v>
      </c>
      <c r="AP430" s="225"/>
      <c r="AQ430" s="225"/>
      <c r="AR430" s="225"/>
      <c r="AS430" s="225"/>
      <c r="AT430" s="248">
        <v>0</v>
      </c>
      <c r="AU430" s="248">
        <v>0</v>
      </c>
      <c r="AV430" s="248">
        <v>0</v>
      </c>
      <c r="AW430" s="227">
        <f t="shared" si="190"/>
        <v>-7.2759576141834259E-12</v>
      </c>
      <c r="AX430" s="249">
        <v>0</v>
      </c>
      <c r="AY430" s="225">
        <v>0</v>
      </c>
      <c r="AZ430" s="227"/>
      <c r="BA430" s="250">
        <v>0</v>
      </c>
      <c r="BB430" s="225">
        <v>0</v>
      </c>
      <c r="BC430" s="225">
        <v>0</v>
      </c>
      <c r="BD430" s="225">
        <v>0</v>
      </c>
      <c r="BE430" s="225"/>
      <c r="BF430" s="225"/>
      <c r="BG430" s="225">
        <v>0</v>
      </c>
      <c r="BH430" s="225">
        <v>0</v>
      </c>
      <c r="BI430" s="225">
        <v>0</v>
      </c>
      <c r="BJ430" s="248"/>
      <c r="BK430" s="248"/>
      <c r="BL430" s="248"/>
      <c r="BM430" s="248">
        <f t="shared" si="191"/>
        <v>-7.2759576141834259E-12</v>
      </c>
      <c r="BN430" s="249"/>
      <c r="BO430" s="225"/>
      <c r="BP430" s="248"/>
      <c r="BQ430" s="249"/>
      <c r="BR430" s="225"/>
      <c r="BS430" s="225"/>
      <c r="BT430" s="225"/>
      <c r="BU430" s="225"/>
      <c r="BV430" s="225"/>
      <c r="BW430" s="225"/>
      <c r="BX430" s="225"/>
      <c r="BY430" s="225"/>
      <c r="BZ430" s="225"/>
      <c r="CA430" s="225"/>
      <c r="CB430" s="225"/>
      <c r="CC430" s="227">
        <f t="shared" si="182"/>
        <v>-7.2759576141834259E-12</v>
      </c>
      <c r="CD430" s="244"/>
      <c r="CE430" s="244"/>
      <c r="CF430" s="244"/>
    </row>
    <row r="431" spans="1:84" x14ac:dyDescent="0.2">
      <c r="A431" s="245" t="s">
        <v>21</v>
      </c>
      <c r="B431" s="247" t="s">
        <v>249</v>
      </c>
      <c r="C431" s="246" t="s">
        <v>100</v>
      </c>
      <c r="D431" s="246" t="s">
        <v>266</v>
      </c>
      <c r="E431" s="247" t="s">
        <v>228</v>
      </c>
      <c r="F431" s="247" t="s">
        <v>716</v>
      </c>
      <c r="G431" s="233" t="str">
        <f t="shared" si="184"/>
        <v>1</v>
      </c>
      <c r="H431" s="233" t="str">
        <f t="shared" si="185"/>
        <v>0</v>
      </c>
      <c r="I431" s="233" t="str">
        <f t="shared" si="186"/>
        <v>0</v>
      </c>
      <c r="J431" s="233" t="str">
        <f t="shared" si="187"/>
        <v>0</v>
      </c>
      <c r="K431" s="233" t="str">
        <f t="shared" si="188"/>
        <v>1000</v>
      </c>
      <c r="L431" s="247" t="str">
        <f t="shared" si="183"/>
        <v>31204438Turnaround Network</v>
      </c>
      <c r="M431" s="225">
        <v>80000</v>
      </c>
      <c r="N431" s="225"/>
      <c r="O431" s="225"/>
      <c r="P431" s="225">
        <v>-39154</v>
      </c>
      <c r="Q431" s="225">
        <f t="shared" si="192"/>
        <v>40846</v>
      </c>
      <c r="R431" s="225"/>
      <c r="S431" s="225">
        <v>0</v>
      </c>
      <c r="T431" s="225"/>
      <c r="U431" s="225"/>
      <c r="V431" s="225">
        <v>-1717</v>
      </c>
      <c r="W431" s="225"/>
      <c r="X431" s="225">
        <v>-3269</v>
      </c>
      <c r="Y431" s="225">
        <v>-1436</v>
      </c>
      <c r="Z431" s="225">
        <v>-373</v>
      </c>
      <c r="AA431" s="225">
        <v>-6660</v>
      </c>
      <c r="AB431" s="225"/>
      <c r="AC431" s="225">
        <v>-12448</v>
      </c>
      <c r="AD431" s="225">
        <v>-8294.19</v>
      </c>
      <c r="AE431" s="225"/>
      <c r="AF431" s="225">
        <f t="shared" si="189"/>
        <v>6648.8099999999995</v>
      </c>
      <c r="AG431" s="225"/>
      <c r="AH431" s="225">
        <v>0</v>
      </c>
      <c r="AI431" s="225"/>
      <c r="AJ431" s="225"/>
      <c r="AK431" s="225"/>
      <c r="AL431" s="225"/>
      <c r="AM431" s="225">
        <v>-5846.48</v>
      </c>
      <c r="AN431" s="225">
        <v>-802.19</v>
      </c>
      <c r="AO431" s="225">
        <v>0</v>
      </c>
      <c r="AP431" s="225"/>
      <c r="AQ431" s="225"/>
      <c r="AR431" s="225"/>
      <c r="AS431" s="225"/>
      <c r="AT431" s="248">
        <v>0</v>
      </c>
      <c r="AU431" s="248">
        <v>0</v>
      </c>
      <c r="AV431" s="248">
        <v>0</v>
      </c>
      <c r="AW431" s="227">
        <f t="shared" si="190"/>
        <v>0.13999999999987267</v>
      </c>
      <c r="AX431" s="249">
        <v>0</v>
      </c>
      <c r="AY431" s="225">
        <v>0</v>
      </c>
      <c r="AZ431" s="227"/>
      <c r="BA431" s="250">
        <v>0</v>
      </c>
      <c r="BB431" s="225">
        <v>0</v>
      </c>
      <c r="BC431" s="225">
        <v>0</v>
      </c>
      <c r="BD431" s="225">
        <v>0</v>
      </c>
      <c r="BE431" s="225"/>
      <c r="BF431" s="225"/>
      <c r="BG431" s="225">
        <v>0</v>
      </c>
      <c r="BH431" s="225">
        <v>0</v>
      </c>
      <c r="BI431" s="225">
        <v>0</v>
      </c>
      <c r="BJ431" s="248"/>
      <c r="BK431" s="248"/>
      <c r="BL431" s="248"/>
      <c r="BM431" s="248">
        <f t="shared" si="191"/>
        <v>0.13999999999987267</v>
      </c>
      <c r="BN431" s="249"/>
      <c r="BO431" s="225"/>
      <c r="BP431" s="248"/>
      <c r="BQ431" s="249"/>
      <c r="BR431" s="225"/>
      <c r="BS431" s="225"/>
      <c r="BT431" s="225"/>
      <c r="BU431" s="225"/>
      <c r="BV431" s="225"/>
      <c r="BW431" s="225"/>
      <c r="BX431" s="225"/>
      <c r="BY431" s="225"/>
      <c r="BZ431" s="225"/>
      <c r="CA431" s="225"/>
      <c r="CB431" s="225"/>
      <c r="CC431" s="227">
        <f t="shared" si="182"/>
        <v>0.13999999999987267</v>
      </c>
      <c r="CD431" s="244"/>
      <c r="CE431" s="244"/>
      <c r="CF431" s="244"/>
    </row>
    <row r="432" spans="1:84" x14ac:dyDescent="0.2">
      <c r="A432" s="245" t="s">
        <v>21</v>
      </c>
      <c r="B432" s="246" t="s">
        <v>441</v>
      </c>
      <c r="C432" s="246" t="s">
        <v>100</v>
      </c>
      <c r="D432" s="246" t="s">
        <v>504</v>
      </c>
      <c r="E432" s="247" t="s">
        <v>228</v>
      </c>
      <c r="F432" s="247" t="s">
        <v>716</v>
      </c>
      <c r="G432" s="233" t="str">
        <f t="shared" si="184"/>
        <v>0</v>
      </c>
      <c r="H432" s="233" t="str">
        <f t="shared" si="185"/>
        <v>1</v>
      </c>
      <c r="I432" s="233" t="str">
        <f t="shared" si="186"/>
        <v>0</v>
      </c>
      <c r="J432" s="233" t="str">
        <f t="shared" si="187"/>
        <v>0</v>
      </c>
      <c r="K432" s="233" t="str">
        <f t="shared" si="188"/>
        <v>0100</v>
      </c>
      <c r="L432" s="247" t="str">
        <f t="shared" si="183"/>
        <v>31205752Turnaround Network</v>
      </c>
      <c r="M432" s="225"/>
      <c r="N432" s="225"/>
      <c r="O432" s="225"/>
      <c r="P432" s="225"/>
      <c r="Q432" s="225">
        <f t="shared" si="192"/>
        <v>0</v>
      </c>
      <c r="R432" s="225"/>
      <c r="S432" s="225">
        <v>31061</v>
      </c>
      <c r="T432" s="225"/>
      <c r="U432" s="225"/>
      <c r="V432" s="225"/>
      <c r="W432" s="225"/>
      <c r="X432" s="225"/>
      <c r="Y432" s="225"/>
      <c r="Z432" s="225"/>
      <c r="AA432" s="225"/>
      <c r="AB432" s="225"/>
      <c r="AC432" s="225">
        <v>-6526</v>
      </c>
      <c r="AD432" s="225">
        <v>-4655.41</v>
      </c>
      <c r="AE432" s="225"/>
      <c r="AF432" s="225">
        <f t="shared" si="189"/>
        <v>19879.59</v>
      </c>
      <c r="AG432" s="225"/>
      <c r="AH432" s="225">
        <v>28939</v>
      </c>
      <c r="AI432" s="225"/>
      <c r="AJ432" s="225"/>
      <c r="AK432" s="225"/>
      <c r="AL432" s="225">
        <v>-1850.81</v>
      </c>
      <c r="AM432" s="225">
        <v>-18028.78</v>
      </c>
      <c r="AN432" s="225">
        <v>0</v>
      </c>
      <c r="AO432" s="225">
        <v>0</v>
      </c>
      <c r="AP432" s="225">
        <v>-16765.82</v>
      </c>
      <c r="AQ432" s="225"/>
      <c r="AR432" s="225"/>
      <c r="AS432" s="225">
        <v>-472</v>
      </c>
      <c r="AT432" s="248">
        <v>0</v>
      </c>
      <c r="AU432" s="248">
        <v>0</v>
      </c>
      <c r="AV432" s="248">
        <v>0</v>
      </c>
      <c r="AW432" s="227">
        <f t="shared" si="190"/>
        <v>11701.18</v>
      </c>
      <c r="AX432" s="249">
        <v>48043</v>
      </c>
      <c r="AY432" s="225">
        <v>0</v>
      </c>
      <c r="AZ432" s="227"/>
      <c r="BA432" s="250">
        <v>0</v>
      </c>
      <c r="BB432" s="225">
        <v>0</v>
      </c>
      <c r="BC432" s="225">
        <v>0</v>
      </c>
      <c r="BD432" s="225">
        <v>0</v>
      </c>
      <c r="BE432" s="225">
        <v>-11701.18</v>
      </c>
      <c r="BF432" s="225"/>
      <c r="BG432" s="225">
        <v>0</v>
      </c>
      <c r="BH432" s="225">
        <v>0</v>
      </c>
      <c r="BI432" s="225">
        <v>0</v>
      </c>
      <c r="BJ432" s="248"/>
      <c r="BK432" s="248">
        <v>-31301.39</v>
      </c>
      <c r="BL432" s="248">
        <v>-8665.91</v>
      </c>
      <c r="BM432" s="248">
        <f t="shared" si="191"/>
        <v>8075.7000000000007</v>
      </c>
      <c r="BN432" s="249">
        <v>34105</v>
      </c>
      <c r="BO432" s="225"/>
      <c r="BP432" s="248"/>
      <c r="BQ432" s="249"/>
      <c r="BR432" s="225"/>
      <c r="BS432" s="225"/>
      <c r="BT432" s="225"/>
      <c r="BU432" s="147">
        <v>-3929.7</v>
      </c>
      <c r="BV432" s="225"/>
      <c r="BW432" s="225"/>
      <c r="BX432" s="225"/>
      <c r="BY432" s="225"/>
      <c r="BZ432" s="225"/>
      <c r="CA432" s="225"/>
      <c r="CB432" s="225"/>
      <c r="CC432" s="227">
        <f t="shared" si="182"/>
        <v>38251</v>
      </c>
      <c r="CD432" s="244"/>
      <c r="CE432" s="244"/>
      <c r="CF432" s="244"/>
    </row>
    <row r="433" spans="1:84" x14ac:dyDescent="0.2">
      <c r="A433" s="264" t="s">
        <v>21</v>
      </c>
      <c r="B433" s="265" t="s">
        <v>250</v>
      </c>
      <c r="C433" s="266" t="s">
        <v>100</v>
      </c>
      <c r="D433" s="266" t="s">
        <v>267</v>
      </c>
      <c r="E433" s="265" t="s">
        <v>228</v>
      </c>
      <c r="F433" s="265" t="s">
        <v>716</v>
      </c>
      <c r="G433" s="267" t="str">
        <f t="shared" si="184"/>
        <v>1</v>
      </c>
      <c r="H433" s="267" t="str">
        <f t="shared" si="185"/>
        <v>1</v>
      </c>
      <c r="I433" s="267" t="str">
        <f t="shared" si="186"/>
        <v>0</v>
      </c>
      <c r="J433" s="267" t="str">
        <f t="shared" si="187"/>
        <v>0</v>
      </c>
      <c r="K433" s="267" t="str">
        <f t="shared" si="188"/>
        <v>1100</v>
      </c>
      <c r="L433" s="265" t="str">
        <f t="shared" si="183"/>
        <v>31206774Turnaround Network</v>
      </c>
      <c r="M433" s="268">
        <v>100000</v>
      </c>
      <c r="N433" s="268"/>
      <c r="O433" s="268"/>
      <c r="P433" s="268"/>
      <c r="Q433" s="268">
        <f t="shared" si="192"/>
        <v>100000</v>
      </c>
      <c r="R433" s="268"/>
      <c r="S433" s="268">
        <v>30000</v>
      </c>
      <c r="T433" s="268"/>
      <c r="U433" s="268"/>
      <c r="V433" s="268"/>
      <c r="W433" s="268"/>
      <c r="X433" s="268">
        <v>-44146</v>
      </c>
      <c r="Y433" s="268"/>
      <c r="Z433" s="268"/>
      <c r="AA433" s="268"/>
      <c r="AB433" s="268"/>
      <c r="AC433" s="268"/>
      <c r="AD433" s="268">
        <v>-16210.36</v>
      </c>
      <c r="AE433" s="268"/>
      <c r="AF433" s="268">
        <f t="shared" si="189"/>
        <v>69643.64</v>
      </c>
      <c r="AG433" s="268"/>
      <c r="AH433" s="268">
        <v>30000</v>
      </c>
      <c r="AI433" s="268"/>
      <c r="AJ433" s="268"/>
      <c r="AK433" s="268"/>
      <c r="AL433" s="268"/>
      <c r="AM433" s="268">
        <v>-9389.25</v>
      </c>
      <c r="AN433" s="268">
        <v>-56326.16</v>
      </c>
      <c r="AO433" s="268">
        <v>0</v>
      </c>
      <c r="AP433" s="268">
        <v>-31281.78</v>
      </c>
      <c r="AQ433" s="268"/>
      <c r="AR433" s="268"/>
      <c r="AS433" s="268"/>
      <c r="AT433" s="269">
        <v>0</v>
      </c>
      <c r="AU433" s="269">
        <v>0</v>
      </c>
      <c r="AV433" s="269">
        <v>0</v>
      </c>
      <c r="AW433" s="270">
        <f t="shared" si="190"/>
        <v>2646.4499999999971</v>
      </c>
      <c r="AX433" s="260">
        <v>0</v>
      </c>
      <c r="AY433" s="268">
        <v>0</v>
      </c>
      <c r="AZ433" s="270"/>
      <c r="BA433" s="271">
        <v>0</v>
      </c>
      <c r="BB433" s="268">
        <v>0</v>
      </c>
      <c r="BC433" s="268">
        <v>0</v>
      </c>
      <c r="BD433" s="268">
        <v>0</v>
      </c>
      <c r="BE433" s="268"/>
      <c r="BF433" s="268"/>
      <c r="BG433" s="268">
        <v>0</v>
      </c>
      <c r="BH433" s="268">
        <v>0</v>
      </c>
      <c r="BI433" s="268">
        <v>0</v>
      </c>
      <c r="BJ433" s="269"/>
      <c r="BK433" s="269"/>
      <c r="BL433" s="269"/>
      <c r="BM433" s="269">
        <f t="shared" si="191"/>
        <v>2646.4499999999971</v>
      </c>
      <c r="BN433" s="260"/>
      <c r="BO433" s="268"/>
      <c r="BP433" s="269"/>
      <c r="BQ433" s="249"/>
      <c r="BR433" s="225"/>
      <c r="BS433" s="225"/>
      <c r="BT433" s="225"/>
      <c r="BU433" s="225"/>
      <c r="BV433" s="225"/>
      <c r="BW433" s="225"/>
      <c r="BX433" s="225"/>
      <c r="BY433" s="225"/>
      <c r="BZ433" s="225"/>
      <c r="CA433" s="225"/>
      <c r="CB433" s="225"/>
      <c r="CC433" s="227">
        <f t="shared" si="182"/>
        <v>2646.4499999999971</v>
      </c>
      <c r="CD433" s="244"/>
      <c r="CE433" s="244"/>
      <c r="CF433" s="244"/>
    </row>
    <row r="434" spans="1:84" x14ac:dyDescent="0.2">
      <c r="A434" s="264" t="s">
        <v>21</v>
      </c>
      <c r="B434" s="266" t="s">
        <v>47</v>
      </c>
      <c r="C434" s="266" t="s">
        <v>100</v>
      </c>
      <c r="D434" s="266" t="s">
        <v>123</v>
      </c>
      <c r="E434" s="265" t="s">
        <v>228</v>
      </c>
      <c r="F434" s="265" t="s">
        <v>716</v>
      </c>
      <c r="G434" s="267" t="str">
        <f t="shared" si="184"/>
        <v>0</v>
      </c>
      <c r="H434" s="267" t="str">
        <f t="shared" si="185"/>
        <v>1</v>
      </c>
      <c r="I434" s="267" t="str">
        <f t="shared" si="186"/>
        <v>0</v>
      </c>
      <c r="J434" s="267" t="str">
        <f t="shared" si="187"/>
        <v>0</v>
      </c>
      <c r="K434" s="267" t="str">
        <f t="shared" si="188"/>
        <v>0100</v>
      </c>
      <c r="L434" s="265" t="str">
        <f t="shared" si="183"/>
        <v>31207700Turnaround Network</v>
      </c>
      <c r="M434" s="268"/>
      <c r="N434" s="268"/>
      <c r="O434" s="268"/>
      <c r="P434" s="268"/>
      <c r="Q434" s="268">
        <f t="shared" si="192"/>
        <v>0</v>
      </c>
      <c r="R434" s="268"/>
      <c r="S434" s="268">
        <v>4527</v>
      </c>
      <c r="T434" s="268"/>
      <c r="U434" s="268"/>
      <c r="V434" s="268"/>
      <c r="W434" s="268"/>
      <c r="X434" s="268"/>
      <c r="Y434" s="268"/>
      <c r="Z434" s="268"/>
      <c r="AA434" s="268"/>
      <c r="AB434" s="268"/>
      <c r="AC434" s="268"/>
      <c r="AD434" s="268"/>
      <c r="AE434" s="268"/>
      <c r="AF434" s="268">
        <f t="shared" si="189"/>
        <v>4527</v>
      </c>
      <c r="AG434" s="268"/>
      <c r="AH434" s="268">
        <v>55473</v>
      </c>
      <c r="AI434" s="268"/>
      <c r="AJ434" s="268"/>
      <c r="AK434" s="268"/>
      <c r="AL434" s="268"/>
      <c r="AM434" s="268">
        <v>-4527</v>
      </c>
      <c r="AN434" s="268">
        <v>-10876.07</v>
      </c>
      <c r="AO434" s="268">
        <v>0</v>
      </c>
      <c r="AP434" s="268"/>
      <c r="AQ434" s="268"/>
      <c r="AR434" s="268"/>
      <c r="AS434" s="268">
        <v>-5324.12</v>
      </c>
      <c r="AT434" s="269">
        <v>0</v>
      </c>
      <c r="AU434" s="269">
        <v>0</v>
      </c>
      <c r="AV434" s="269">
        <v>0</v>
      </c>
      <c r="AW434" s="270">
        <f t="shared" si="190"/>
        <v>39272.81</v>
      </c>
      <c r="AX434" s="260">
        <v>38770</v>
      </c>
      <c r="AY434" s="268">
        <v>0</v>
      </c>
      <c r="AZ434" s="270"/>
      <c r="BA434" s="271">
        <v>0</v>
      </c>
      <c r="BB434" s="268">
        <v>0</v>
      </c>
      <c r="BC434" s="268">
        <v>0</v>
      </c>
      <c r="BD434" s="268">
        <v>0</v>
      </c>
      <c r="BE434" s="268">
        <v>-32966.94</v>
      </c>
      <c r="BF434" s="268"/>
      <c r="BG434" s="268">
        <v>-1488.22</v>
      </c>
      <c r="BH434" s="268">
        <v>0</v>
      </c>
      <c r="BI434" s="268">
        <v>0</v>
      </c>
      <c r="BJ434" s="269"/>
      <c r="BK434" s="269"/>
      <c r="BL434" s="269">
        <v>-4170</v>
      </c>
      <c r="BM434" s="269">
        <f t="shared" si="191"/>
        <v>39417.649999999994</v>
      </c>
      <c r="BN434" s="260">
        <v>43221</v>
      </c>
      <c r="BO434" s="268"/>
      <c r="BP434" s="269"/>
      <c r="BQ434" s="249"/>
      <c r="BR434" s="225"/>
      <c r="BS434" s="225"/>
      <c r="BT434" s="225"/>
      <c r="BU434" s="225">
        <v>-17881.240000000002</v>
      </c>
      <c r="BV434" s="225"/>
      <c r="BW434" s="225"/>
      <c r="BX434" s="225"/>
      <c r="BY434" s="225"/>
      <c r="BZ434" s="225"/>
      <c r="CA434" s="225"/>
      <c r="CB434" s="225"/>
      <c r="CC434" s="227">
        <f t="shared" si="182"/>
        <v>64757.409999999989</v>
      </c>
      <c r="CD434" s="244"/>
      <c r="CE434" s="244"/>
      <c r="CF434" s="244"/>
    </row>
    <row r="435" spans="1:84" ht="13.5" thickBot="1" x14ac:dyDescent="0.25">
      <c r="A435" s="278" t="s">
        <v>21</v>
      </c>
      <c r="B435" s="279" t="s">
        <v>34</v>
      </c>
      <c r="C435" s="280" t="s">
        <v>100</v>
      </c>
      <c r="D435" s="280" t="s">
        <v>111</v>
      </c>
      <c r="E435" s="279" t="s">
        <v>228</v>
      </c>
      <c r="F435" s="279" t="s">
        <v>716</v>
      </c>
      <c r="G435" s="279" t="str">
        <f t="shared" si="184"/>
        <v>1</v>
      </c>
      <c r="H435" s="279" t="str">
        <f t="shared" si="185"/>
        <v>0</v>
      </c>
      <c r="I435" s="279" t="str">
        <f t="shared" si="186"/>
        <v>0</v>
      </c>
      <c r="J435" s="279" t="str">
        <f t="shared" si="187"/>
        <v>0</v>
      </c>
      <c r="K435" s="279" t="str">
        <f t="shared" si="188"/>
        <v>1000</v>
      </c>
      <c r="L435" s="279" t="str">
        <f t="shared" si="183"/>
        <v>3120N/ATurnaround Network</v>
      </c>
      <c r="M435" s="281">
        <v>40000</v>
      </c>
      <c r="N435" s="281"/>
      <c r="O435" s="281"/>
      <c r="P435" s="281"/>
      <c r="Q435" s="281">
        <f t="shared" si="192"/>
        <v>40000</v>
      </c>
      <c r="R435" s="281"/>
      <c r="S435" s="281">
        <v>0</v>
      </c>
      <c r="T435" s="281"/>
      <c r="U435" s="281"/>
      <c r="V435" s="281"/>
      <c r="W435" s="281"/>
      <c r="X435" s="281">
        <v>-16739</v>
      </c>
      <c r="Y435" s="281">
        <v>-2990</v>
      </c>
      <c r="Z435" s="281">
        <v>-3078</v>
      </c>
      <c r="AA435" s="281">
        <v>-3450</v>
      </c>
      <c r="AB435" s="281"/>
      <c r="AC435" s="281">
        <v>-8815</v>
      </c>
      <c r="AD435" s="281">
        <v>-3300.85</v>
      </c>
      <c r="AE435" s="281"/>
      <c r="AF435" s="281">
        <f t="shared" si="189"/>
        <v>1627.15</v>
      </c>
      <c r="AG435" s="281"/>
      <c r="AH435" s="281">
        <v>70000</v>
      </c>
      <c r="AI435" s="281"/>
      <c r="AJ435" s="281"/>
      <c r="AK435" s="281"/>
      <c r="AL435" s="281">
        <v>-1562.13</v>
      </c>
      <c r="AM435" s="281">
        <v>-65.02</v>
      </c>
      <c r="AN435" s="281">
        <v>0</v>
      </c>
      <c r="AO435" s="281">
        <v>0</v>
      </c>
      <c r="AP435" s="281"/>
      <c r="AQ435" s="281"/>
      <c r="AR435" s="281"/>
      <c r="AS435" s="281">
        <v>-503.27</v>
      </c>
      <c r="AT435" s="282">
        <v>0</v>
      </c>
      <c r="AU435" s="282">
        <v>0</v>
      </c>
      <c r="AV435" s="282">
        <v>-27057.440000000002</v>
      </c>
      <c r="AW435" s="283">
        <f t="shared" si="190"/>
        <v>42439.289999999979</v>
      </c>
      <c r="AX435" s="284">
        <v>44128</v>
      </c>
      <c r="AY435" s="281">
        <v>0</v>
      </c>
      <c r="AZ435" s="283"/>
      <c r="BA435" s="285">
        <v>0</v>
      </c>
      <c r="BB435" s="281">
        <v>0</v>
      </c>
      <c r="BC435" s="281">
        <v>0</v>
      </c>
      <c r="BD435" s="281">
        <v>0</v>
      </c>
      <c r="BE435" s="281">
        <v>-10420.469999999999</v>
      </c>
      <c r="BF435" s="281"/>
      <c r="BG435" s="281">
        <v>0</v>
      </c>
      <c r="BH435" s="281">
        <v>0</v>
      </c>
      <c r="BI435" s="281">
        <v>0</v>
      </c>
      <c r="BJ435" s="282"/>
      <c r="BK435" s="282"/>
      <c r="BL435" s="282"/>
      <c r="BM435" s="282">
        <f t="shared" si="191"/>
        <v>76146.819999999978</v>
      </c>
      <c r="BN435" s="284"/>
      <c r="BO435" s="281"/>
      <c r="BP435" s="282"/>
      <c r="BQ435" s="284"/>
      <c r="BR435" s="281"/>
      <c r="BS435" s="281"/>
      <c r="BT435" s="281"/>
      <c r="BU435" s="281">
        <v>-71993.14</v>
      </c>
      <c r="BV435" s="281"/>
      <c r="BW435" s="281"/>
      <c r="BX435" s="281"/>
      <c r="BY435" s="281"/>
      <c r="BZ435" s="281"/>
      <c r="CA435" s="281"/>
      <c r="CB435" s="281"/>
      <c r="CC435" s="283">
        <f t="shared" si="182"/>
        <v>4153.6799999999785</v>
      </c>
      <c r="CD435" s="244"/>
      <c r="CE435" s="244"/>
      <c r="CF435" s="244"/>
    </row>
    <row r="436" spans="1:84" x14ac:dyDescent="0.2">
      <c r="A436" s="286"/>
      <c r="B436" s="254"/>
      <c r="C436" s="286"/>
      <c r="D436" s="286"/>
      <c r="E436" s="254"/>
      <c r="F436" s="254"/>
      <c r="G436" s="254"/>
      <c r="H436" s="254"/>
      <c r="I436" s="254"/>
      <c r="J436" s="254"/>
      <c r="K436" s="254"/>
      <c r="L436" s="25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  <c r="AJ436" s="244"/>
      <c r="AK436" s="244"/>
      <c r="AL436" s="244"/>
      <c r="AM436" s="244"/>
      <c r="AN436" s="244"/>
      <c r="AO436" s="244"/>
      <c r="AP436" s="244"/>
      <c r="AQ436" s="244"/>
      <c r="AR436" s="244"/>
      <c r="AS436" s="244"/>
      <c r="AT436" s="244"/>
      <c r="AU436" s="244"/>
      <c r="AV436" s="244"/>
      <c r="AW436" s="244"/>
      <c r="AX436" s="244"/>
      <c r="AY436" s="244"/>
      <c r="AZ436" s="244"/>
      <c r="BA436" s="244"/>
      <c r="BB436" s="244"/>
      <c r="BC436" s="244"/>
      <c r="BD436" s="244"/>
      <c r="BE436" s="244"/>
      <c r="BF436" s="244"/>
      <c r="BG436" s="244"/>
      <c r="BH436" s="244"/>
      <c r="BI436" s="244"/>
      <c r="BJ436" s="244"/>
      <c r="BK436" s="244"/>
      <c r="BL436" s="244"/>
      <c r="BM436" s="244"/>
      <c r="BN436" s="244"/>
      <c r="BO436" s="244"/>
      <c r="BP436" s="244"/>
      <c r="BQ436" s="244"/>
      <c r="BR436" s="244"/>
      <c r="BS436" s="244"/>
      <c r="BT436" s="244"/>
      <c r="BU436" s="244"/>
      <c r="BV436" s="244"/>
      <c r="BW436" s="244"/>
      <c r="BX436" s="244"/>
      <c r="BY436" s="244"/>
      <c r="BZ436" s="244"/>
      <c r="CA436" s="244"/>
      <c r="CB436" s="244"/>
      <c r="CC436" s="242"/>
      <c r="CD436" s="244"/>
      <c r="CE436" s="244"/>
      <c r="CF436" s="244"/>
    </row>
    <row r="437" spans="1:84" ht="13.5" thickBot="1" x14ac:dyDescent="0.25">
      <c r="A437" s="286"/>
      <c r="B437" s="254"/>
      <c r="C437" s="286"/>
      <c r="D437" s="286"/>
      <c r="E437" s="254"/>
      <c r="F437" s="254"/>
      <c r="G437" s="254"/>
      <c r="H437" s="254"/>
      <c r="I437" s="254"/>
      <c r="J437" s="254"/>
      <c r="K437" s="254"/>
      <c r="L437" s="25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  <c r="AJ437" s="244"/>
      <c r="AK437" s="244"/>
      <c r="AL437" s="244"/>
      <c r="AM437" s="244"/>
      <c r="AN437" s="244"/>
      <c r="AO437" s="244"/>
      <c r="AP437" s="244"/>
      <c r="AQ437" s="244"/>
      <c r="AR437" s="244"/>
      <c r="AS437" s="244"/>
      <c r="AT437" s="244"/>
      <c r="AU437" s="244"/>
      <c r="AV437" s="244"/>
      <c r="AW437" s="244"/>
      <c r="AX437" s="244"/>
      <c r="AY437" s="244"/>
      <c r="AZ437" s="244"/>
      <c r="BA437" s="244"/>
      <c r="BB437" s="244"/>
      <c r="BC437" s="244"/>
      <c r="BD437" s="244"/>
      <c r="BE437" s="244"/>
      <c r="BF437" s="244"/>
      <c r="BG437" s="244"/>
      <c r="BH437" s="244"/>
      <c r="BI437" s="244"/>
      <c r="BJ437" s="244"/>
      <c r="BK437" s="244"/>
      <c r="BL437" s="244"/>
      <c r="BM437" s="244"/>
      <c r="BN437" s="244"/>
      <c r="BO437" s="244"/>
      <c r="BP437" s="244"/>
      <c r="BQ437" s="244"/>
      <c r="BR437" s="244"/>
      <c r="BS437" s="244"/>
      <c r="BT437" s="244"/>
      <c r="BU437" s="244"/>
      <c r="BV437" s="244"/>
      <c r="BW437" s="244"/>
      <c r="BX437" s="244"/>
      <c r="BY437" s="244"/>
      <c r="BZ437" s="244"/>
      <c r="CA437" s="244"/>
      <c r="CB437" s="244"/>
      <c r="CC437" s="225">
        <f t="shared" si="182"/>
        <v>0</v>
      </c>
      <c r="CD437" s="244"/>
      <c r="CE437" s="244"/>
      <c r="CF437" s="244"/>
    </row>
    <row r="438" spans="1:84" ht="13.5" thickBot="1" x14ac:dyDescent="0.25">
      <c r="E438" s="287" t="s">
        <v>189</v>
      </c>
      <c r="F438" s="288"/>
      <c r="G438" s="288"/>
      <c r="H438" s="288"/>
      <c r="I438" s="288"/>
      <c r="J438" s="288"/>
      <c r="K438" s="288"/>
      <c r="L438" s="288"/>
      <c r="M438" s="289">
        <f t="shared" ref="M438:AR438" si="193">SUM(M2:M435)</f>
        <v>6288047</v>
      </c>
      <c r="N438" s="289">
        <f t="shared" si="193"/>
        <v>-130038</v>
      </c>
      <c r="O438" s="289">
        <f t="shared" si="193"/>
        <v>-89800</v>
      </c>
      <c r="P438" s="289">
        <f t="shared" si="193"/>
        <v>-122380</v>
      </c>
      <c r="Q438" s="289">
        <f t="shared" si="193"/>
        <v>6050017.4100000001</v>
      </c>
      <c r="R438" s="289">
        <f t="shared" si="193"/>
        <v>3730196</v>
      </c>
      <c r="S438" s="289">
        <f t="shared" si="193"/>
        <v>7661323.6270000003</v>
      </c>
      <c r="T438" s="289">
        <f t="shared" si="193"/>
        <v>-103416</v>
      </c>
      <c r="U438" s="289">
        <f t="shared" si="193"/>
        <v>-196010</v>
      </c>
      <c r="V438" s="289">
        <f t="shared" si="193"/>
        <v>-228545</v>
      </c>
      <c r="W438" s="289">
        <f t="shared" si="193"/>
        <v>-633693</v>
      </c>
      <c r="X438" s="289">
        <f t="shared" si="193"/>
        <v>-638215</v>
      </c>
      <c r="Y438" s="289">
        <f t="shared" si="193"/>
        <v>-348436</v>
      </c>
      <c r="Z438" s="289">
        <f t="shared" si="193"/>
        <v>-297710</v>
      </c>
      <c r="AA438" s="289">
        <f t="shared" si="193"/>
        <v>-561805</v>
      </c>
      <c r="AB438" s="289">
        <f t="shared" si="193"/>
        <v>-335935</v>
      </c>
      <c r="AC438" s="289">
        <f t="shared" si="193"/>
        <v>-1028850</v>
      </c>
      <c r="AD438" s="289">
        <f t="shared" si="193"/>
        <v>-354862.66999999993</v>
      </c>
      <c r="AE438" s="289">
        <f t="shared" si="193"/>
        <v>-822982.54</v>
      </c>
      <c r="AF438" s="289">
        <f t="shared" si="193"/>
        <v>11540600.827000001</v>
      </c>
      <c r="AG438" s="289">
        <f t="shared" si="193"/>
        <v>3057637</v>
      </c>
      <c r="AH438" s="289">
        <f t="shared" si="193"/>
        <v>7558117</v>
      </c>
      <c r="AI438" s="289">
        <f t="shared" si="193"/>
        <v>1342923.8993804296</v>
      </c>
      <c r="AJ438" s="289">
        <f t="shared" si="193"/>
        <v>-741288.39000000013</v>
      </c>
      <c r="AK438" s="289">
        <f t="shared" si="193"/>
        <v>-203157.40000000002</v>
      </c>
      <c r="AL438" s="289">
        <f t="shared" si="193"/>
        <v>-295930.07999999996</v>
      </c>
      <c r="AM438" s="289">
        <f t="shared" si="193"/>
        <v>-581187.31999999995</v>
      </c>
      <c r="AN438" s="289">
        <f t="shared" si="193"/>
        <v>-1012910.57</v>
      </c>
      <c r="AO438" s="289">
        <f t="shared" si="193"/>
        <v>-1005541.8699999999</v>
      </c>
      <c r="AP438" s="289">
        <f t="shared" si="193"/>
        <v>-605930.9</v>
      </c>
      <c r="AQ438" s="289">
        <f t="shared" si="193"/>
        <v>-954727.54000000015</v>
      </c>
      <c r="AR438" s="289">
        <f t="shared" si="193"/>
        <v>-414333.19999999995</v>
      </c>
      <c r="AS438" s="289">
        <f t="shared" ref="AS438:CB438" si="194">SUM(AS2:AS435)</f>
        <v>-949436.14</v>
      </c>
      <c r="AT438" s="289">
        <f t="shared" si="194"/>
        <v>-1299829.4300000004</v>
      </c>
      <c r="AU438" s="289">
        <f t="shared" si="194"/>
        <v>-440167.9</v>
      </c>
      <c r="AV438" s="289">
        <f t="shared" si="194"/>
        <v>-734918.96</v>
      </c>
      <c r="AW438" s="290">
        <f t="shared" si="194"/>
        <v>13821998.496380428</v>
      </c>
      <c r="AX438" s="289">
        <f t="shared" si="194"/>
        <v>6285050.2868000008</v>
      </c>
      <c r="AY438" s="289">
        <f t="shared" si="194"/>
        <v>2421985.6455999999</v>
      </c>
      <c r="AZ438" s="289">
        <f t="shared" si="194"/>
        <v>1429902</v>
      </c>
      <c r="BA438" s="289">
        <f t="shared" si="194"/>
        <v>-475842.35899999994</v>
      </c>
      <c r="BB438" s="289">
        <f t="shared" si="194"/>
        <v>-360289.76</v>
      </c>
      <c r="BC438" s="289">
        <f t="shared" si="194"/>
        <v>-1179006.7300000002</v>
      </c>
      <c r="BD438" s="289">
        <f t="shared" si="194"/>
        <v>-1222051.08</v>
      </c>
      <c r="BE438" s="289">
        <f t="shared" si="194"/>
        <v>-1039336.3900000001</v>
      </c>
      <c r="BF438" s="289">
        <f t="shared" si="194"/>
        <v>-1103734.53</v>
      </c>
      <c r="BG438" s="289">
        <f t="shared" si="194"/>
        <v>-292801.34979999997</v>
      </c>
      <c r="BH438" s="289">
        <f t="shared" si="194"/>
        <v>-1348001.5299999998</v>
      </c>
      <c r="BI438" s="289">
        <f t="shared" si="194"/>
        <v>-673118.39999999991</v>
      </c>
      <c r="BJ438" s="289">
        <f t="shared" si="194"/>
        <v>-413897.04999999993</v>
      </c>
      <c r="BK438" s="289">
        <f t="shared" si="194"/>
        <v>-621249.32000000007</v>
      </c>
      <c r="BL438" s="289">
        <f t="shared" si="194"/>
        <v>-1161139.5899999996</v>
      </c>
      <c r="BM438" s="290">
        <f t="shared" si="194"/>
        <v>13684045.759980433</v>
      </c>
      <c r="BN438" s="289">
        <f t="shared" si="194"/>
        <v>169990</v>
      </c>
      <c r="BO438" s="289">
        <f t="shared" si="194"/>
        <v>1575291.2080000001</v>
      </c>
      <c r="BP438" s="289">
        <f t="shared" si="194"/>
        <v>2316751</v>
      </c>
      <c r="BQ438" s="290">
        <f t="shared" si="194"/>
        <v>-1775630.64</v>
      </c>
      <c r="BR438" s="290">
        <f t="shared" si="194"/>
        <v>-137489.74000000002</v>
      </c>
      <c r="BS438" s="290">
        <f t="shared" si="194"/>
        <v>-566704.17000000016</v>
      </c>
      <c r="BT438" s="290">
        <f t="shared" si="194"/>
        <v>-391551.36</v>
      </c>
      <c r="BU438" s="290">
        <f t="shared" si="194"/>
        <v>-2174472.9299999997</v>
      </c>
      <c r="BV438" s="290">
        <f t="shared" si="194"/>
        <v>-252375.67</v>
      </c>
      <c r="BW438" s="290">
        <f t="shared" si="194"/>
        <v>-255233.07</v>
      </c>
      <c r="BX438" s="290">
        <f t="shared" si="194"/>
        <v>-289966.53999999998</v>
      </c>
      <c r="BY438" s="290">
        <f t="shared" si="194"/>
        <v>-277267.03000000003</v>
      </c>
      <c r="BZ438" s="290">
        <f t="shared" si="194"/>
        <v>0</v>
      </c>
      <c r="CA438" s="290">
        <f t="shared" si="194"/>
        <v>0</v>
      </c>
      <c r="CB438" s="290">
        <f t="shared" si="194"/>
        <v>0</v>
      </c>
      <c r="CC438" s="225">
        <f t="shared" si="182"/>
        <v>11625386.817980435</v>
      </c>
      <c r="CD438" s="291"/>
      <c r="CE438" s="291"/>
      <c r="CF438" s="291"/>
    </row>
    <row r="439" spans="1:84" ht="13.5" thickTop="1" x14ac:dyDescent="0.2">
      <c r="BM439" s="292">
        <f>'70XC'!EM461</f>
        <v>13738033.659680428</v>
      </c>
    </row>
    <row r="440" spans="1:84" x14ac:dyDescent="0.2">
      <c r="R440" s="292"/>
      <c r="BM440" s="292">
        <f>BM439-BM438</f>
        <v>53987.899699995294</v>
      </c>
    </row>
  </sheetData>
  <sheetProtection algorithmName="SHA-512" hashValue="l/YiKeSqgIjDrMv0m1OOiQpsOcMfYMh0CMLQ3pan9GmX93+einG8/UmeENhQpUOlyIseKdrOVJR4wuDQis0aMA==" saltValue="pa2f9QHIchLED7UP8GFzFQ==" spinCount="100000" sheet="1" objects="1" scenarios="1"/>
  <sortState xmlns:xlrd2="http://schemas.microsoft.com/office/spreadsheetml/2017/richdata2" ref="A1:CE435">
    <sortCondition ref="A67:A159"/>
    <sortCondition ref="B67:B159"/>
  </sortState>
  <mergeCells count="1">
    <mergeCell ref="AK1:AL1"/>
  </mergeCells>
  <phoneticPr fontId="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6725-ABE3-4433-AA41-0C3B96EFD8CC}">
  <sheetPr codeName="Sheet5"/>
  <dimension ref="A1:C27"/>
  <sheetViews>
    <sheetView workbookViewId="0">
      <selection activeCell="E499" sqref="E499"/>
    </sheetView>
  </sheetViews>
  <sheetFormatPr defaultRowHeight="15" x14ac:dyDescent="0.25"/>
  <cols>
    <col min="1" max="1" width="8.85546875" style="70"/>
  </cols>
  <sheetData>
    <row r="1" spans="2:3" x14ac:dyDescent="0.25">
      <c r="B1" t="s">
        <v>707</v>
      </c>
      <c r="C1" t="s">
        <v>165</v>
      </c>
    </row>
    <row r="2" spans="2:3" x14ac:dyDescent="0.25">
      <c r="B2" s="70" t="s">
        <v>708</v>
      </c>
      <c r="C2" t="s">
        <v>474</v>
      </c>
    </row>
    <row r="3" spans="2:3" x14ac:dyDescent="0.25">
      <c r="B3" s="70" t="s">
        <v>709</v>
      </c>
      <c r="C3" t="s">
        <v>163</v>
      </c>
    </row>
    <row r="4" spans="2:3" x14ac:dyDescent="0.25">
      <c r="B4" s="70" t="s">
        <v>710</v>
      </c>
      <c r="C4" t="s">
        <v>166</v>
      </c>
    </row>
    <row r="5" spans="2:3" x14ac:dyDescent="0.25">
      <c r="B5" s="70" t="s">
        <v>711</v>
      </c>
      <c r="C5" t="s">
        <v>164</v>
      </c>
    </row>
    <row r="6" spans="2:3" s="70" customFormat="1" x14ac:dyDescent="0.25">
      <c r="B6" s="70" t="s">
        <v>712</v>
      </c>
      <c r="C6" t="s">
        <v>162</v>
      </c>
    </row>
    <row r="7" spans="2:3" x14ac:dyDescent="0.25">
      <c r="B7" s="70" t="s">
        <v>713</v>
      </c>
      <c r="C7" t="s">
        <v>723</v>
      </c>
    </row>
    <row r="8" spans="2:3" x14ac:dyDescent="0.25">
      <c r="B8" s="70" t="s">
        <v>714</v>
      </c>
      <c r="C8" t="s">
        <v>724</v>
      </c>
    </row>
    <row r="9" spans="2:3" x14ac:dyDescent="0.25">
      <c r="B9" s="70" t="s">
        <v>715</v>
      </c>
      <c r="C9" t="s">
        <v>725</v>
      </c>
    </row>
    <row r="10" spans="2:3" x14ac:dyDescent="0.25">
      <c r="B10" s="70" t="s">
        <v>716</v>
      </c>
      <c r="C10" t="s">
        <v>228</v>
      </c>
    </row>
    <row r="11" spans="2:3" x14ac:dyDescent="0.25">
      <c r="B11" s="70" t="s">
        <v>717</v>
      </c>
    </row>
    <row r="12" spans="2:3" x14ac:dyDescent="0.25">
      <c r="B12" s="70" t="s">
        <v>718</v>
      </c>
    </row>
    <row r="13" spans="2:3" x14ac:dyDescent="0.25">
      <c r="B13" s="70" t="s">
        <v>719</v>
      </c>
    </row>
    <row r="14" spans="2:3" x14ac:dyDescent="0.25">
      <c r="B14" s="70" t="s">
        <v>720</v>
      </c>
    </row>
    <row r="15" spans="2:3" x14ac:dyDescent="0.25">
      <c r="B15" s="70" t="s">
        <v>721</v>
      </c>
    </row>
    <row r="16" spans="2:3" x14ac:dyDescent="0.25">
      <c r="B16" s="70" t="s">
        <v>722</v>
      </c>
    </row>
    <row r="18" spans="1:3" x14ac:dyDescent="0.25">
      <c r="B18" t="s">
        <v>737</v>
      </c>
      <c r="C18" t="s">
        <v>701</v>
      </c>
    </row>
    <row r="19" spans="1:3" x14ac:dyDescent="0.25">
      <c r="B19" t="s">
        <v>726</v>
      </c>
    </row>
    <row r="20" spans="1:3" x14ac:dyDescent="0.25">
      <c r="A20" s="70" t="s">
        <v>738</v>
      </c>
      <c r="B20" t="s">
        <v>707</v>
      </c>
    </row>
    <row r="21" spans="1:3" x14ac:dyDescent="0.25">
      <c r="A21" s="70" t="s">
        <v>739</v>
      </c>
      <c r="B21" t="s">
        <v>708</v>
      </c>
      <c r="C21" s="70"/>
    </row>
    <row r="22" spans="1:3" x14ac:dyDescent="0.25">
      <c r="A22" s="70" t="s">
        <v>8</v>
      </c>
      <c r="B22" t="s">
        <v>709</v>
      </c>
      <c r="C22" s="70"/>
    </row>
    <row r="23" spans="1:3" x14ac:dyDescent="0.25">
      <c r="A23" s="70" t="s">
        <v>740</v>
      </c>
      <c r="B23" t="s">
        <v>710</v>
      </c>
      <c r="C23" s="70"/>
    </row>
    <row r="24" spans="1:3" x14ac:dyDescent="0.25">
      <c r="B24" t="s">
        <v>711</v>
      </c>
      <c r="C24" s="70"/>
    </row>
    <row r="25" spans="1:3" x14ac:dyDescent="0.25">
      <c r="B25" t="s">
        <v>712</v>
      </c>
      <c r="C25" s="70"/>
    </row>
    <row r="26" spans="1:3" x14ac:dyDescent="0.25">
      <c r="B26" t="s">
        <v>713</v>
      </c>
      <c r="C26" s="70"/>
    </row>
    <row r="27" spans="1:3" x14ac:dyDescent="0.25">
      <c r="B27" t="s">
        <v>714</v>
      </c>
      <c r="C27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FD73-7C1D-4625-8B9D-F9D40F35C9A4}">
  <dimension ref="A1:G2"/>
  <sheetViews>
    <sheetView workbookViewId="0">
      <selection activeCell="E499" sqref="E499"/>
    </sheetView>
  </sheetViews>
  <sheetFormatPr defaultRowHeight="15" x14ac:dyDescent="0.25"/>
  <cols>
    <col min="1" max="1" width="12.85546875" bestFit="1" customWidth="1"/>
    <col min="2" max="2" width="16" bestFit="1" customWidth="1"/>
    <col min="3" max="3" width="27" bestFit="1" customWidth="1"/>
    <col min="4" max="4" width="24.42578125" bestFit="1" customWidth="1"/>
    <col min="5" max="5" width="17.7109375" bestFit="1" customWidth="1"/>
    <col min="6" max="6" width="20" bestFit="1" customWidth="1"/>
    <col min="7" max="7" width="31.85546875" bestFit="1" customWidth="1"/>
  </cols>
  <sheetData>
    <row r="1" spans="1:7" x14ac:dyDescent="0.25">
      <c r="A1" t="s">
        <v>820</v>
      </c>
      <c r="B1" t="s">
        <v>814</v>
      </c>
      <c r="C1" t="s">
        <v>816</v>
      </c>
      <c r="D1" t="s">
        <v>815</v>
      </c>
      <c r="E1" t="s">
        <v>817</v>
      </c>
      <c r="F1" t="s">
        <v>818</v>
      </c>
      <c r="G1" t="s">
        <v>819</v>
      </c>
    </row>
    <row r="2" spans="1:7" x14ac:dyDescent="0.25">
      <c r="A2" s="223">
        <v>44211</v>
      </c>
      <c r="B2" t="s">
        <v>821</v>
      </c>
      <c r="C2" s="76" t="s">
        <v>302</v>
      </c>
      <c r="D2" s="77" t="s">
        <v>213</v>
      </c>
      <c r="E2">
        <v>195.37</v>
      </c>
      <c r="F2">
        <v>0</v>
      </c>
      <c r="G2" t="s">
        <v>822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F4"/>
  <sheetViews>
    <sheetView workbookViewId="0">
      <selection activeCell="E34" sqref="E34"/>
    </sheetView>
  </sheetViews>
  <sheetFormatPr defaultColWidth="9.140625" defaultRowHeight="12.75" x14ac:dyDescent="0.2"/>
  <cols>
    <col min="1" max="1" width="12" style="39" bestFit="1" customWidth="1"/>
    <col min="2" max="2" width="17.42578125" style="39" bestFit="1" customWidth="1"/>
    <col min="3" max="3" width="15.140625" style="39" bestFit="1" customWidth="1"/>
    <col min="4" max="4" width="14.28515625" style="39" bestFit="1" customWidth="1"/>
    <col min="5" max="16384" width="9.140625" style="39"/>
  </cols>
  <sheetData>
    <row r="1" spans="1:6" x14ac:dyDescent="0.2">
      <c r="A1" s="38" t="s">
        <v>337</v>
      </c>
      <c r="B1" s="38" t="s">
        <v>338</v>
      </c>
      <c r="C1" s="38" t="s">
        <v>339</v>
      </c>
      <c r="D1" s="38" t="s">
        <v>340</v>
      </c>
    </row>
    <row r="2" spans="1:6" x14ac:dyDescent="0.2">
      <c r="A2" s="37" t="s">
        <v>161</v>
      </c>
      <c r="B2" s="40">
        <f>'70XC'!B568</f>
        <v>9186562</v>
      </c>
      <c r="C2" s="40">
        <f>SUMIF('70XC'!N:N,'FAIN Award Amounts'!A2,'70XC'!S:S)+SUMIF('70XC'!AU:AU,'FAIN Award Amounts'!A2,'70XC'!AW:AW)</f>
        <v>6288047</v>
      </c>
      <c r="D2" s="40">
        <f>B2-C2</f>
        <v>2898515</v>
      </c>
    </row>
    <row r="3" spans="1:6" x14ac:dyDescent="0.2">
      <c r="A3" s="37" t="s">
        <v>336</v>
      </c>
      <c r="B3" s="40">
        <f>'70XC'!B569</f>
        <v>15744755.559999999</v>
      </c>
      <c r="C3" s="40">
        <f>SUMIF('70XC'!N:N,'FAIN Award Amounts'!A3,'70XC'!S:S)+SUMIF('70XC'!AU:AU,'FAIN Award Amounts'!A3,'70XC'!AW:AW)+SUMIF('70XC'!BY:BY,'FAIN Award Amounts'!A3,'70XC'!CA:CA)+3185</f>
        <v>7590466.6270000003</v>
      </c>
      <c r="D3" s="40">
        <f>B3-C3</f>
        <v>8154288.9329999983</v>
      </c>
      <c r="F3" s="55"/>
    </row>
    <row r="4" spans="1:6" x14ac:dyDescent="0.2">
      <c r="A4" s="37" t="s">
        <v>341</v>
      </c>
      <c r="B4" s="40">
        <f>'70XC'!B570</f>
        <v>7545375</v>
      </c>
      <c r="C4" s="40">
        <f>SUMIF('70XC'!N:N,'FAIN Award Amounts'!A4,'70XC'!S:S)+SUMIF('70XC'!AU:AU,'FAIN Award Amounts'!A4,'70XC'!AW:AW)+SUMIF('70XC'!BY:BY,'FAIN Award Amounts'!A4,'70XC'!CA:CA)+3010</f>
        <v>6197094</v>
      </c>
      <c r="D4" s="40">
        <f>B4-C4</f>
        <v>1348281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70XC</vt:lpstr>
      <vt:lpstr>Sheet1</vt:lpstr>
      <vt:lpstr>Distribution Report</vt:lpstr>
      <vt:lpstr>Sheet2</vt:lpstr>
      <vt:lpstr>Notes</vt:lpstr>
      <vt:lpstr>FAIN Award Amounts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Cody, Allisha</cp:lastModifiedBy>
  <dcterms:created xsi:type="dcterms:W3CDTF">2018-03-14T19:45:39Z</dcterms:created>
  <dcterms:modified xsi:type="dcterms:W3CDTF">2022-04-01T14:19:29Z</dcterms:modified>
</cp:coreProperties>
</file>